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45" windowWidth="14430" windowHeight="1246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'10MV'!$A$296</definedName>
    <definedName name="CL21C_15MV_ROF">'15MV'!$A$296</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'6MV'!$A$296</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Entry'!$A$1:$K$46</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E31" i="2" l="1"/>
  <c r="F59" i="4" l="1"/>
  <c r="E59" i="4"/>
  <c r="G60" i="4"/>
  <c r="G59" i="4"/>
  <c r="G58" i="4"/>
  <c r="B50" i="4"/>
  <c r="B293" i="44" l="1"/>
  <c r="B293" i="39" l="1"/>
  <c r="B293" i="11" l="1"/>
  <c r="C11" i="2" l="1"/>
  <c r="D11" i="2"/>
  <c r="E11" i="2"/>
  <c r="F11" i="2"/>
  <c r="F10" i="3" l="1"/>
  <c r="E10" i="3"/>
  <c r="D10" i="3"/>
  <c r="C10" i="3"/>
  <c r="D5" i="3" l="1"/>
  <c r="D88" i="4" l="1"/>
  <c r="F88" i="4"/>
  <c r="E88" i="4"/>
  <c r="C88" i="4"/>
  <c r="B49" i="4" l="1"/>
  <c r="F60" i="4"/>
  <c r="F58" i="4"/>
  <c r="E60" i="4"/>
  <c r="E58" i="4"/>
  <c r="D60" i="4"/>
  <c r="D58" i="4"/>
  <c r="C58" i="4"/>
  <c r="B41" i="2" l="1"/>
  <c r="B35" i="2"/>
  <c r="B34" i="2"/>
  <c r="A34" i="2"/>
  <c r="C6" i="3"/>
  <c r="F34" i="3"/>
  <c r="C11" i="7" l="1"/>
  <c r="C11" i="39"/>
  <c r="C11" i="11"/>
  <c r="B22" i="2" l="1"/>
  <c r="F149" i="4" l="1"/>
  <c r="E149" i="4"/>
  <c r="D149" i="4"/>
  <c r="F148" i="4"/>
  <c r="E148" i="4"/>
  <c r="D148" i="4"/>
  <c r="F146" i="4"/>
  <c r="E146" i="4"/>
  <c r="D146" i="4"/>
  <c r="F145" i="4"/>
  <c r="E145" i="4"/>
  <c r="D145" i="4"/>
  <c r="F144" i="4"/>
  <c r="E144" i="4"/>
  <c r="D144" i="4"/>
  <c r="F143" i="4"/>
  <c r="E143" i="4"/>
  <c r="D143" i="4"/>
  <c r="F141" i="4"/>
  <c r="E141" i="4"/>
  <c r="D141" i="4"/>
  <c r="F140" i="4"/>
  <c r="E140" i="4"/>
  <c r="D140" i="4"/>
  <c r="F97" i="4"/>
  <c r="E97" i="4"/>
  <c r="D97" i="4"/>
  <c r="F95" i="4"/>
  <c r="F99" i="4" s="1"/>
  <c r="E95" i="4"/>
  <c r="E99" i="4" s="1"/>
  <c r="D95" i="4"/>
  <c r="D99" i="4" s="1"/>
  <c r="F85" i="4"/>
  <c r="F87" i="4" s="1"/>
  <c r="F89" i="4" s="1"/>
  <c r="E85" i="4"/>
  <c r="E87" i="4" s="1"/>
  <c r="D85" i="4"/>
  <c r="D87" i="4" s="1"/>
  <c r="D89" i="4" s="1"/>
  <c r="E89" i="4" l="1"/>
  <c r="E98" i="4"/>
  <c r="D98" i="4"/>
  <c r="F98" i="4"/>
  <c r="D147" i="4"/>
  <c r="D159" i="4" s="1"/>
  <c r="D150" i="4"/>
  <c r="F147" i="4"/>
  <c r="F159" i="4" s="1"/>
  <c r="F150" i="4"/>
  <c r="F160" i="4" s="1"/>
  <c r="E147" i="4"/>
  <c r="E150" i="4"/>
  <c r="E159" i="4"/>
  <c r="E160" i="4"/>
  <c r="E96" i="4"/>
  <c r="D96" i="4"/>
  <c r="F96" i="4"/>
  <c r="E86" i="4"/>
  <c r="D86" i="4"/>
  <c r="F86" i="4"/>
  <c r="B63" i="4"/>
  <c r="D112" i="4" l="1"/>
  <c r="E112" i="4"/>
  <c r="F112" i="4"/>
  <c r="F161" i="4"/>
  <c r="F158" i="4"/>
  <c r="E161" i="4"/>
  <c r="E158" i="4"/>
  <c r="D160" i="4"/>
  <c r="D161" i="4" s="1"/>
  <c r="D158" i="4"/>
  <c r="D101" i="4"/>
  <c r="D100" i="4"/>
  <c r="F101" i="4"/>
  <c r="F100" i="4"/>
  <c r="E101" i="4"/>
  <c r="E100" i="4"/>
  <c r="C3" i="3" l="1"/>
  <c r="F19" i="3" l="1"/>
  <c r="E19" i="3"/>
  <c r="D19" i="3"/>
  <c r="F13" i="3"/>
  <c r="E13" i="3"/>
  <c r="D13" i="3"/>
  <c r="F7" i="3"/>
  <c r="E7" i="3"/>
  <c r="D7" i="3"/>
  <c r="C19" i="3"/>
  <c r="A20" i="2" l="1"/>
  <c r="B21" i="2"/>
  <c r="F33" i="4" l="1"/>
  <c r="E33" i="4"/>
  <c r="D33" i="4"/>
  <c r="C33" i="4"/>
  <c r="AM124" i="39" l="1"/>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39"/>
  <c r="B12" i="39"/>
  <c r="B11" i="39"/>
  <c r="C10" i="39"/>
  <c r="B10" i="39"/>
  <c r="C9" i="39"/>
  <c r="B9" i="39"/>
  <c r="C12" i="11"/>
  <c r="B12" i="11"/>
  <c r="B11" i="11"/>
  <c r="C10" i="11"/>
  <c r="B10" i="11"/>
  <c r="C9" i="11"/>
  <c r="B9" i="11"/>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B11" i="7"/>
  <c r="C9" i="7"/>
  <c r="C10" i="7"/>
  <c r="B10"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A124" i="7"/>
  <c r="B9" i="7"/>
  <c r="C141" i="4" l="1"/>
  <c r="B141" i="4"/>
  <c r="F28" i="2"/>
  <c r="E28" i="2"/>
  <c r="D28" i="2"/>
  <c r="F25" i="2"/>
  <c r="E25" i="2"/>
  <c r="D25" i="2"/>
  <c r="C25" i="2"/>
  <c r="B26" i="2" l="1"/>
  <c r="C97" i="4"/>
  <c r="E38" i="37"/>
  <c r="F136" i="5" s="1"/>
  <c r="E44" i="37"/>
  <c r="E43" i="37"/>
  <c r="E42" i="37"/>
  <c r="E41" i="37"/>
  <c r="E40" i="37"/>
  <c r="E39" i="37"/>
  <c r="E35" i="5" s="1"/>
  <c r="E37" i="37"/>
  <c r="F208" i="5"/>
  <c r="D164" i="5"/>
  <c r="D142" i="5"/>
  <c r="F123" i="5"/>
  <c r="C26" i="4"/>
  <c r="D26" i="4" s="1"/>
  <c r="C3" i="45" s="1"/>
  <c r="C25" i="4"/>
  <c r="D25" i="4" s="1"/>
  <c r="C2" i="45" s="1"/>
  <c r="C24" i="4"/>
  <c r="D24" i="4" s="1"/>
  <c r="C1" i="45" s="1"/>
  <c r="G11" i="37"/>
  <c r="D11" i="37"/>
  <c r="G12" i="37"/>
  <c r="D12" i="37"/>
  <c r="F12" i="37"/>
  <c r="F11" i="37"/>
  <c r="E12" i="37"/>
  <c r="E11" i="37"/>
  <c r="D222" i="5" l="1"/>
  <c r="C35" i="5"/>
  <c r="D123" i="5"/>
  <c r="F164" i="5"/>
  <c r="C222" i="5"/>
  <c r="E222" i="5"/>
  <c r="C136" i="5"/>
  <c r="E136" i="5"/>
  <c r="D136" i="5"/>
  <c r="F35" i="5"/>
  <c r="D35" i="5"/>
  <c r="F222" i="5"/>
  <c r="D186" i="5"/>
  <c r="F186" i="5"/>
  <c r="D34" i="4"/>
  <c r="F34" i="4"/>
  <c r="C186" i="5"/>
  <c r="E186" i="5"/>
  <c r="F142" i="5"/>
  <c r="D208" i="5"/>
  <c r="C142" i="5"/>
  <c r="E142" i="5"/>
  <c r="C208" i="5"/>
  <c r="E208" i="5"/>
  <c r="D13" i="37"/>
  <c r="F13" i="37"/>
  <c r="E13" i="37"/>
  <c r="G13" i="37"/>
  <c r="C123" i="5"/>
  <c r="E123" i="5"/>
  <c r="C164" i="5"/>
  <c r="E164" i="5"/>
  <c r="C34" i="4"/>
  <c r="E34" i="4"/>
  <c r="B46" i="4"/>
  <c r="E14" i="37"/>
  <c r="D14" i="37"/>
  <c r="G14" i="37"/>
  <c r="F14" i="37"/>
  <c r="E17" i="2" l="1"/>
  <c r="E18" i="2"/>
  <c r="E22" i="2"/>
  <c r="F17" i="2"/>
  <c r="F18" i="2"/>
  <c r="F22" i="2"/>
  <c r="D22" i="2"/>
  <c r="F8" i="45"/>
  <c r="F39" i="45"/>
  <c r="F38" i="45"/>
  <c r="F37" i="45"/>
  <c r="E8" i="45"/>
  <c r="D8" i="45"/>
  <c r="C8" i="45"/>
  <c r="F10" i="45"/>
  <c r="F11" i="45"/>
  <c r="F19" i="45"/>
  <c r="E10" i="45"/>
  <c r="E11" i="45"/>
  <c r="E19" i="45"/>
  <c r="C11" i="45"/>
  <c r="C10" i="45"/>
  <c r="D10" i="45"/>
  <c r="D11" i="45"/>
  <c r="D19" i="45"/>
  <c r="E207" i="4"/>
  <c r="D207" i="4"/>
  <c r="C207" i="4"/>
  <c r="F207" i="4"/>
  <c r="B18" i="2"/>
  <c r="B17" i="2"/>
  <c r="E51" i="37"/>
  <c r="D51" i="37"/>
  <c r="F51" i="37"/>
  <c r="G51" i="37"/>
  <c r="D39" i="45" l="1"/>
  <c r="E39" i="45"/>
  <c r="E16" i="45"/>
  <c r="E17" i="45"/>
  <c r="F30" i="45"/>
  <c r="F15" i="45"/>
  <c r="F17" i="45"/>
  <c r="F16" i="45"/>
  <c r="D17" i="45"/>
  <c r="D16" i="45"/>
  <c r="D90" i="4"/>
  <c r="D92" i="4"/>
  <c r="D19" i="2" s="1"/>
  <c r="F90" i="4"/>
  <c r="F165" i="4" s="1"/>
  <c r="F92" i="4"/>
  <c r="E92" i="4"/>
  <c r="E90" i="4"/>
  <c r="E166" i="4" s="1"/>
  <c r="B40" i="2"/>
  <c r="C7" i="3"/>
  <c r="D4" i="3"/>
  <c r="E4" i="3"/>
  <c r="D163" i="4" l="1"/>
  <c r="D17" i="2"/>
  <c r="E111" i="4"/>
  <c r="E19" i="2"/>
  <c r="F111" i="4"/>
  <c r="F19" i="2"/>
  <c r="D111" i="4"/>
  <c r="F166" i="4"/>
  <c r="F167" i="4" s="1"/>
  <c r="F171" i="4" s="1"/>
  <c r="F163" i="4"/>
  <c r="D165" i="4"/>
  <c r="D166" i="4"/>
  <c r="F162" i="4"/>
  <c r="D162" i="4"/>
  <c r="D164" i="4" s="1"/>
  <c r="D170" i="4" s="1"/>
  <c r="E162" i="4"/>
  <c r="E163" i="4"/>
  <c r="E165" i="4"/>
  <c r="E167" i="4" s="1"/>
  <c r="E171" i="4" s="1"/>
  <c r="A30" i="3"/>
  <c r="A29" i="3"/>
  <c r="A18" i="3"/>
  <c r="C13" i="3"/>
  <c r="F164" i="4" l="1"/>
  <c r="F168" i="4" s="1"/>
  <c r="D167" i="4"/>
  <c r="D171" i="4" s="1"/>
  <c r="D172" i="4" s="1"/>
  <c r="E164" i="4"/>
  <c r="E170" i="4" s="1"/>
  <c r="E172" i="4" s="1"/>
  <c r="F34" i="2"/>
  <c r="E34" i="2"/>
  <c r="D34" i="2"/>
  <c r="F170" i="4" l="1"/>
  <c r="F172" i="4" s="1"/>
  <c r="D168" i="4"/>
  <c r="E168" i="4"/>
  <c r="C34" i="2"/>
  <c r="B131" i="5"/>
  <c r="B132" i="5"/>
  <c r="B133" i="5"/>
  <c r="B130" i="5"/>
  <c r="B38" i="2" l="1"/>
  <c r="A24" i="3" s="1"/>
  <c r="D95" i="5"/>
  <c r="E95" i="5"/>
  <c r="F95" i="5"/>
  <c r="D96" i="5"/>
  <c r="E96" i="5"/>
  <c r="F96" i="5"/>
  <c r="D99" i="5"/>
  <c r="E99" i="5"/>
  <c r="F99" i="5"/>
  <c r="D100" i="5"/>
  <c r="E100" i="5"/>
  <c r="F100" i="5"/>
  <c r="C100" i="5"/>
  <c r="C99" i="5"/>
  <c r="C96" i="5"/>
  <c r="C95" i="5"/>
  <c r="D83" i="5"/>
  <c r="E83" i="5"/>
  <c r="F83" i="5"/>
  <c r="D84" i="5"/>
  <c r="E84" i="5"/>
  <c r="F84" i="5"/>
  <c r="C84" i="5"/>
  <c r="C83" i="5"/>
  <c r="D91" i="5"/>
  <c r="E91" i="5"/>
  <c r="F91" i="5"/>
  <c r="D92" i="5"/>
  <c r="E92" i="5"/>
  <c r="F92" i="5"/>
  <c r="C92" i="5"/>
  <c r="C91" i="5"/>
  <c r="D87" i="5"/>
  <c r="E87" i="5"/>
  <c r="F87" i="5"/>
  <c r="D88" i="5"/>
  <c r="E88" i="5"/>
  <c r="F88" i="5"/>
  <c r="C88" i="5"/>
  <c r="C87" i="5"/>
  <c r="D16" i="37"/>
  <c r="F16" i="37"/>
  <c r="G16" i="37"/>
  <c r="D15" i="37"/>
  <c r="E16" i="37"/>
  <c r="F15" i="37"/>
  <c r="G15" i="37"/>
  <c r="E15" i="37"/>
  <c r="G17" i="37" l="1"/>
  <c r="F17" i="37"/>
  <c r="E17" i="37"/>
  <c r="D17" i="37"/>
  <c r="B123" i="4"/>
  <c r="F18" i="37"/>
  <c r="E18" i="37"/>
  <c r="D18" i="37"/>
  <c r="G18" i="37"/>
  <c r="B80" i="4" l="1"/>
  <c r="D55" i="5"/>
  <c r="E55" i="5"/>
  <c r="F55" i="5"/>
  <c r="D56" i="5"/>
  <c r="E56" i="5"/>
  <c r="F56" i="5"/>
  <c r="D59" i="5"/>
  <c r="E59" i="5"/>
  <c r="F59" i="5"/>
  <c r="D60" i="5"/>
  <c r="E60" i="5"/>
  <c r="F60" i="5"/>
  <c r="D63" i="5"/>
  <c r="E63" i="5"/>
  <c r="F63" i="5"/>
  <c r="D64" i="5"/>
  <c r="E64" i="5"/>
  <c r="F64" i="5"/>
  <c r="D67" i="5"/>
  <c r="E67" i="5"/>
  <c r="F67" i="5"/>
  <c r="D68" i="5"/>
  <c r="E68" i="5"/>
  <c r="F68" i="5"/>
  <c r="D71" i="5"/>
  <c r="E71" i="5"/>
  <c r="F71" i="5"/>
  <c r="D72" i="5"/>
  <c r="E72" i="5"/>
  <c r="F72" i="5"/>
  <c r="D75" i="5"/>
  <c r="E75" i="5"/>
  <c r="F75" i="5"/>
  <c r="D76" i="5"/>
  <c r="E76" i="5"/>
  <c r="F76" i="5"/>
  <c r="D79" i="5"/>
  <c r="E79" i="5"/>
  <c r="F79" i="5"/>
  <c r="D80" i="5"/>
  <c r="E80" i="5"/>
  <c r="F80" i="5"/>
  <c r="D103" i="5"/>
  <c r="E103" i="5"/>
  <c r="F103" i="5"/>
  <c r="D104" i="5"/>
  <c r="E104" i="5"/>
  <c r="F104" i="5"/>
  <c r="D107" i="5"/>
  <c r="E107" i="5"/>
  <c r="F107" i="5"/>
  <c r="D108" i="5"/>
  <c r="E108" i="5"/>
  <c r="F108" i="5"/>
  <c r="D111" i="5"/>
  <c r="E111" i="5"/>
  <c r="F111" i="5"/>
  <c r="D112" i="5"/>
  <c r="E112" i="5"/>
  <c r="F112" i="5"/>
  <c r="D115" i="5"/>
  <c r="E115" i="5"/>
  <c r="F115" i="5"/>
  <c r="D116" i="5"/>
  <c r="E116" i="5"/>
  <c r="F116" i="5"/>
  <c r="C116" i="5"/>
  <c r="C115" i="5"/>
  <c r="C112" i="5"/>
  <c r="C111" i="5"/>
  <c r="C108" i="5"/>
  <c r="C107" i="5"/>
  <c r="C104" i="5"/>
  <c r="C103" i="5"/>
  <c r="C80" i="5"/>
  <c r="C79" i="5"/>
  <c r="C76" i="5"/>
  <c r="C75" i="5"/>
  <c r="C72" i="5"/>
  <c r="C71" i="5"/>
  <c r="C68" i="5"/>
  <c r="C67" i="5"/>
  <c r="C64" i="5"/>
  <c r="C63" i="5"/>
  <c r="C60" i="5"/>
  <c r="C59" i="5"/>
  <c r="C56" i="5"/>
  <c r="C55" i="5"/>
  <c r="E20" i="37"/>
  <c r="G19" i="37"/>
  <c r="G20" i="37"/>
  <c r="F20" i="37"/>
  <c r="F19" i="37"/>
  <c r="E52" i="37"/>
  <c r="F52" i="37"/>
  <c r="E19" i="37"/>
  <c r="B124" i="4" l="1"/>
  <c r="B125" i="4"/>
  <c r="B126" i="4"/>
  <c r="B127" i="4"/>
  <c r="B128" i="4"/>
  <c r="B129" i="4"/>
  <c r="B130" i="4"/>
  <c r="B135" i="4"/>
  <c r="B136" i="4"/>
  <c r="B79" i="4"/>
  <c r="C85" i="4" l="1"/>
  <c r="C87" i="4" s="1"/>
  <c r="D20" i="37"/>
  <c r="D19" i="37"/>
  <c r="C89" i="4" l="1"/>
  <c r="C18" i="2"/>
  <c r="C17" i="2"/>
  <c r="C37" i="45"/>
  <c r="C38" i="45"/>
  <c r="C86" i="4"/>
  <c r="C98" i="4"/>
  <c r="D21" i="37"/>
  <c r="F21" i="37"/>
  <c r="E21" i="37"/>
  <c r="G21" i="37"/>
  <c r="C143" i="4"/>
  <c r="F22" i="37"/>
  <c r="D22" i="37"/>
  <c r="E22" i="37"/>
  <c r="G22" i="37"/>
  <c r="C39" i="45" l="1"/>
  <c r="C17" i="45"/>
  <c r="C16" i="45"/>
  <c r="B37" i="2"/>
  <c r="A23" i="3" s="1"/>
  <c r="E14" i="3"/>
  <c r="D31" i="2"/>
  <c r="D14" i="3" s="1"/>
  <c r="F31" i="2"/>
  <c r="F14" i="3" s="1"/>
  <c r="C92" i="4"/>
  <c r="C19" i="2" s="1"/>
  <c r="C90" i="4"/>
  <c r="C140" i="4"/>
  <c r="B31" i="2"/>
  <c r="C104" i="4"/>
  <c r="B103" i="4" s="1"/>
  <c r="E50" i="37"/>
  <c r="D50" i="37"/>
  <c r="F50" i="37"/>
  <c r="G50" i="37"/>
  <c r="F106" i="4" l="1"/>
  <c r="F113" i="4" s="1"/>
  <c r="F114" i="4" s="1"/>
  <c r="F24" i="2" s="1"/>
  <c r="D106" i="4"/>
  <c r="D113" i="4" s="1"/>
  <c r="D114" i="4" s="1"/>
  <c r="D24" i="2" s="1"/>
  <c r="E106" i="4"/>
  <c r="E113" i="4" s="1"/>
  <c r="E114" i="4" s="1"/>
  <c r="E24" i="2" s="1"/>
  <c r="A19" i="3"/>
  <c r="F17" i="3"/>
  <c r="E17" i="3"/>
  <c r="C106" i="4"/>
  <c r="C113" i="4" s="1"/>
  <c r="C111" i="4"/>
  <c r="C17" i="3"/>
  <c r="B16" i="2"/>
  <c r="F108" i="4" l="1"/>
  <c r="E108" i="4"/>
  <c r="D108" i="4"/>
  <c r="D17" i="3"/>
  <c r="C108" i="4"/>
  <c r="C95" i="4"/>
  <c r="C96" i="4" s="1"/>
  <c r="C22" i="2" s="1"/>
  <c r="B20" i="2"/>
  <c r="C101" i="4" l="1"/>
  <c r="C99" i="4"/>
  <c r="C100" i="4" s="1"/>
  <c r="C19" i="45" l="1"/>
  <c r="F32" i="2"/>
  <c r="F15" i="3" s="1"/>
  <c r="E32" i="2"/>
  <c r="E15" i="3" s="1"/>
  <c r="D32" i="2"/>
  <c r="D15" i="3" s="1"/>
  <c r="D18" i="3"/>
  <c r="E18" i="3"/>
  <c r="F18" i="3"/>
  <c r="C18" i="3"/>
  <c r="C112" i="4"/>
  <c r="F20" i="3" l="1"/>
  <c r="E20" i="3"/>
  <c r="D20" i="3"/>
  <c r="C114" i="4"/>
  <c r="C24" i="2" s="1"/>
  <c r="E18" i="5"/>
  <c r="E146" i="5" s="1"/>
  <c r="C37" i="4"/>
  <c r="D37" i="4"/>
  <c r="E37" i="4"/>
  <c r="F37" i="4"/>
  <c r="C203" i="4"/>
  <c r="C206" i="4" l="1"/>
  <c r="C5" i="45" s="1"/>
  <c r="F215" i="4"/>
  <c r="C215" i="4"/>
  <c r="D215" i="4"/>
  <c r="E215" i="4"/>
  <c r="C18" i="5"/>
  <c r="C20" i="3"/>
  <c r="C38" i="4"/>
  <c r="F18" i="5"/>
  <c r="F146" i="5" s="1"/>
  <c r="B48" i="4"/>
  <c r="B47" i="4"/>
  <c r="B65" i="4"/>
  <c r="B66" i="4"/>
  <c r="B64" i="4"/>
  <c r="F69" i="4" l="1"/>
  <c r="D69" i="4"/>
  <c r="E69" i="4"/>
  <c r="E208" i="4"/>
  <c r="E9" i="2" s="1"/>
  <c r="F208" i="4"/>
  <c r="F9" i="2" s="1"/>
  <c r="C208" i="4"/>
  <c r="C9" i="2" s="1"/>
  <c r="D208" i="4"/>
  <c r="D9" i="2" s="1"/>
  <c r="C53" i="4"/>
  <c r="F248" i="4"/>
  <c r="F249" i="4" s="1"/>
  <c r="E248" i="4"/>
  <c r="E249" i="4" s="1"/>
  <c r="D248" i="4"/>
  <c r="D249" i="4" s="1"/>
  <c r="C248" i="4"/>
  <c r="C249" i="4" s="1"/>
  <c r="A26" i="3"/>
  <c r="B39" i="2"/>
  <c r="A25" i="3" s="1"/>
  <c r="A25" i="2"/>
  <c r="F256" i="4"/>
  <c r="C199" i="4"/>
  <c r="C202" i="4" s="1"/>
  <c r="C4" i="45" s="1"/>
  <c r="C4" i="3"/>
  <c r="A14" i="3"/>
  <c r="D3" i="3"/>
  <c r="C54" i="37"/>
  <c r="C55" i="37"/>
  <c r="C56" i="37"/>
  <c r="C57" i="37"/>
  <c r="C53" i="37"/>
  <c r="G7" i="37"/>
  <c r="F7" i="37"/>
  <c r="D31" i="37"/>
  <c r="G23" i="37"/>
  <c r="D24" i="37"/>
  <c r="F4" i="37"/>
  <c r="F28" i="37"/>
  <c r="E27" i="37"/>
  <c r="G28" i="37"/>
  <c r="G3" i="37"/>
  <c r="F8" i="37"/>
  <c r="D32" i="37"/>
  <c r="F27" i="37"/>
  <c r="D4" i="37"/>
  <c r="D3" i="37"/>
  <c r="D28" i="37"/>
  <c r="E7" i="37"/>
  <c r="G24" i="37"/>
  <c r="E4" i="37"/>
  <c r="D23" i="37"/>
  <c r="F32" i="37"/>
  <c r="G4" i="37"/>
  <c r="E24" i="37"/>
  <c r="G31" i="37"/>
  <c r="E32" i="37"/>
  <c r="E28" i="37"/>
  <c r="E8" i="37"/>
  <c r="E3" i="37"/>
  <c r="D7" i="37"/>
  <c r="F24" i="37"/>
  <c r="E31" i="37"/>
  <c r="E23" i="37"/>
  <c r="F31" i="37"/>
  <c r="G8" i="37"/>
  <c r="G32" i="37"/>
  <c r="G27" i="37"/>
  <c r="F23" i="37"/>
  <c r="F3" i="37"/>
  <c r="D8" i="37"/>
  <c r="D27" i="37"/>
  <c r="D71" i="4" l="1"/>
  <c r="D72" i="4" s="1"/>
  <c r="D13" i="45" s="1"/>
  <c r="D14" i="2"/>
  <c r="E71" i="4"/>
  <c r="E72" i="4" s="1"/>
  <c r="E13" i="45" s="1"/>
  <c r="E14" i="2"/>
  <c r="F71" i="4"/>
  <c r="F72" i="4" s="1"/>
  <c r="F13" i="45" s="1"/>
  <c r="F14" i="2"/>
  <c r="F209" i="4"/>
  <c r="F8" i="3"/>
  <c r="C8" i="3"/>
  <c r="C209" i="4"/>
  <c r="E8" i="3"/>
  <c r="F12" i="3"/>
  <c r="D7" i="2"/>
  <c r="C69" i="4"/>
  <c r="C14" i="2" s="1"/>
  <c r="F250" i="4"/>
  <c r="F261" i="4" s="1"/>
  <c r="F262" i="4" s="1"/>
  <c r="F263" i="4" s="1"/>
  <c r="F5" i="37"/>
  <c r="D5" i="37"/>
  <c r="G5" i="37"/>
  <c r="E5" i="37"/>
  <c r="E250" i="4"/>
  <c r="D250" i="4"/>
  <c r="D261" i="4" s="1"/>
  <c r="D262" i="4" s="1"/>
  <c r="D263" i="4" s="1"/>
  <c r="C250" i="4"/>
  <c r="C261" i="4" s="1"/>
  <c r="C262" i="4" s="1"/>
  <c r="C263" i="4" s="1"/>
  <c r="F260" i="4"/>
  <c r="D260" i="4"/>
  <c r="D258" i="4"/>
  <c r="D259" i="4"/>
  <c r="D257" i="4"/>
  <c r="D256" i="4"/>
  <c r="D255" i="4"/>
  <c r="F257" i="4"/>
  <c r="B27" i="2"/>
  <c r="G33" i="37"/>
  <c r="F33" i="37"/>
  <c r="D33" i="37"/>
  <c r="E29" i="37"/>
  <c r="G25" i="37"/>
  <c r="F25" i="37"/>
  <c r="D25" i="37"/>
  <c r="E33" i="37"/>
  <c r="G29" i="37"/>
  <c r="F29" i="37"/>
  <c r="D29" i="37"/>
  <c r="E25" i="37"/>
  <c r="D9" i="37"/>
  <c r="E9" i="37"/>
  <c r="F9" i="37"/>
  <c r="G9" i="37"/>
  <c r="C256" i="4"/>
  <c r="D10" i="37"/>
  <c r="G30" i="37"/>
  <c r="D30" i="37"/>
  <c r="G10" i="37"/>
  <c r="G34" i="37"/>
  <c r="E6" i="37"/>
  <c r="F26" i="37"/>
  <c r="F30" i="37"/>
  <c r="D34" i="37"/>
  <c r="F34" i="37"/>
  <c r="F10" i="37"/>
  <c r="D26" i="37"/>
  <c r="G26" i="37"/>
  <c r="E26" i="37"/>
  <c r="G6" i="37"/>
  <c r="F6" i="37"/>
  <c r="E30" i="37"/>
  <c r="D6" i="37"/>
  <c r="E34" i="37"/>
  <c r="E10" i="37"/>
  <c r="C211" i="4" l="1"/>
  <c r="C210" i="4"/>
  <c r="F211" i="4"/>
  <c r="F210" i="4"/>
  <c r="D209" i="4"/>
  <c r="D8" i="3"/>
  <c r="F214" i="4"/>
  <c r="F10" i="2" s="1"/>
  <c r="C71" i="4"/>
  <c r="C72" i="4" s="1"/>
  <c r="C13" i="45" s="1"/>
  <c r="C12" i="3"/>
  <c r="E209" i="4"/>
  <c r="C214" i="4"/>
  <c r="C10" i="2" s="1"/>
  <c r="D12" i="3"/>
  <c r="E12" i="3"/>
  <c r="F19" i="5"/>
  <c r="F135" i="5" s="1"/>
  <c r="F137" i="5" s="1"/>
  <c r="B140" i="4"/>
  <c r="F226" i="5"/>
  <c r="F259" i="4"/>
  <c r="F264" i="4"/>
  <c r="C226" i="5"/>
  <c r="D264" i="4"/>
  <c r="C264" i="4"/>
  <c r="E261" i="4"/>
  <c r="F258" i="4"/>
  <c r="D254" i="4"/>
  <c r="F253" i="4"/>
  <c r="F255" i="4"/>
  <c r="F254" i="4"/>
  <c r="E258" i="4"/>
  <c r="E259" i="4"/>
  <c r="E260" i="4"/>
  <c r="E256" i="4"/>
  <c r="E254" i="4"/>
  <c r="E257" i="4"/>
  <c r="C255" i="4"/>
  <c r="C146" i="4"/>
  <c r="C257" i="4"/>
  <c r="E255" i="4"/>
  <c r="C145" i="4"/>
  <c r="C254" i="4"/>
  <c r="G57" i="37"/>
  <c r="E53" i="37"/>
  <c r="F55" i="37"/>
  <c r="D53" i="37"/>
  <c r="D54" i="37"/>
  <c r="D56" i="37"/>
  <c r="E57" i="37"/>
  <c r="G55" i="37"/>
  <c r="E56" i="37"/>
  <c r="F139" i="5"/>
  <c r="F53" i="37"/>
  <c r="G54" i="37"/>
  <c r="D57" i="37"/>
  <c r="F56" i="37"/>
  <c r="G56" i="37"/>
  <c r="G53" i="37"/>
  <c r="F54" i="37"/>
  <c r="E55" i="37"/>
  <c r="D55" i="37"/>
  <c r="F57" i="37"/>
  <c r="E54" i="37"/>
  <c r="C216" i="4" l="1"/>
  <c r="C12" i="2" s="1"/>
  <c r="C9" i="3"/>
  <c r="F9" i="3"/>
  <c r="F216" i="4"/>
  <c r="F84" i="4"/>
  <c r="F91" i="4" s="1"/>
  <c r="E211" i="4"/>
  <c r="E210" i="4"/>
  <c r="D211" i="4"/>
  <c r="D210" i="4"/>
  <c r="E59" i="37"/>
  <c r="E214" i="4"/>
  <c r="E10" i="2" s="1"/>
  <c r="C212" i="4"/>
  <c r="C213" i="4" s="1"/>
  <c r="D214" i="4"/>
  <c r="D10" i="2" s="1"/>
  <c r="F122" i="5"/>
  <c r="F124" i="5" s="1"/>
  <c r="C19" i="5"/>
  <c r="C135" i="5" s="1"/>
  <c r="C137" i="5" s="1"/>
  <c r="D253" i="4"/>
  <c r="F34" i="5"/>
  <c r="E19" i="5"/>
  <c r="E135" i="5" s="1"/>
  <c r="E137" i="5" s="1"/>
  <c r="D19" i="5"/>
  <c r="D135" i="5" s="1"/>
  <c r="D137" i="5" s="1"/>
  <c r="C162" i="4"/>
  <c r="C163" i="4"/>
  <c r="E13" i="5"/>
  <c r="E190" i="5" s="1"/>
  <c r="C147" i="4"/>
  <c r="F227" i="5"/>
  <c r="C227" i="5"/>
  <c r="E264" i="4"/>
  <c r="E262" i="4"/>
  <c r="E263" i="4" s="1"/>
  <c r="E226" i="5"/>
  <c r="E227" i="5"/>
  <c r="D227" i="5"/>
  <c r="D226" i="5"/>
  <c r="C259" i="4"/>
  <c r="C258" i="4"/>
  <c r="C260" i="4"/>
  <c r="F185" i="5"/>
  <c r="F187" i="5" s="1"/>
  <c r="F207" i="5"/>
  <c r="F209" i="5" s="1"/>
  <c r="F221" i="5"/>
  <c r="F223" i="5" s="1"/>
  <c r="F163" i="5"/>
  <c r="F165" i="5" s="1"/>
  <c r="F141" i="5"/>
  <c r="F210" i="5"/>
  <c r="F188" i="5"/>
  <c r="F125" i="5"/>
  <c r="E138" i="5"/>
  <c r="F166" i="5"/>
  <c r="F225" i="5"/>
  <c r="F138" i="5"/>
  <c r="C138" i="5"/>
  <c r="D139" i="5"/>
  <c r="F45" i="2" l="1"/>
  <c r="F12" i="2"/>
  <c r="F11" i="3" s="1"/>
  <c r="D216" i="4"/>
  <c r="D12" i="2" s="1"/>
  <c r="D9" i="3"/>
  <c r="E9" i="3"/>
  <c r="E216" i="4"/>
  <c r="E12" i="2" s="1"/>
  <c r="D84" i="4"/>
  <c r="D18" i="2" s="1"/>
  <c r="C45" i="2"/>
  <c r="C11" i="3"/>
  <c r="F40" i="2"/>
  <c r="F26" i="3" s="1"/>
  <c r="D122" i="5"/>
  <c r="D124" i="5" s="1"/>
  <c r="E122" i="5"/>
  <c r="E124" i="5" s="1"/>
  <c r="C122" i="5"/>
  <c r="C124" i="5" s="1"/>
  <c r="F36" i="5"/>
  <c r="C34" i="5"/>
  <c r="C36" i="5" s="1"/>
  <c r="F143" i="5"/>
  <c r="D34" i="5"/>
  <c r="E34" i="5"/>
  <c r="E36" i="5" s="1"/>
  <c r="C159" i="4"/>
  <c r="C13" i="5"/>
  <c r="C190" i="5" s="1"/>
  <c r="F15" i="5"/>
  <c r="D13" i="5"/>
  <c r="D190" i="5" s="1"/>
  <c r="D15" i="5"/>
  <c r="F13" i="5"/>
  <c r="F190" i="5" s="1"/>
  <c r="E15" i="5"/>
  <c r="C164" i="4"/>
  <c r="D163" i="5"/>
  <c r="D165" i="5" s="1"/>
  <c r="D185" i="5"/>
  <c r="D187" i="5" s="1"/>
  <c r="D207" i="5"/>
  <c r="D209" i="5" s="1"/>
  <c r="D221" i="5"/>
  <c r="D223" i="5" s="1"/>
  <c r="D141" i="5"/>
  <c r="C253" i="4"/>
  <c r="E253" i="4"/>
  <c r="E74" i="37"/>
  <c r="C146" i="5"/>
  <c r="C37" i="5"/>
  <c r="E139" i="5"/>
  <c r="D138" i="5"/>
  <c r="D225" i="5"/>
  <c r="F145" i="5"/>
  <c r="E125" i="5"/>
  <c r="E38" i="5"/>
  <c r="C125" i="5"/>
  <c r="F229" i="5"/>
  <c r="F189" i="5"/>
  <c r="F224" i="5"/>
  <c r="C139" i="5"/>
  <c r="F37" i="5"/>
  <c r="D125" i="5"/>
  <c r="D189" i="5"/>
  <c r="D210" i="5"/>
  <c r="D167" i="5"/>
  <c r="F167" i="5"/>
  <c r="D91" i="4" l="1"/>
  <c r="D40" i="2" s="1"/>
  <c r="D26" i="3" s="1"/>
  <c r="F9" i="45"/>
  <c r="C9" i="45"/>
  <c r="E9" i="45"/>
  <c r="D9" i="45"/>
  <c r="E84" i="4"/>
  <c r="E91" i="4" s="1"/>
  <c r="D45" i="2"/>
  <c r="C84" i="4"/>
  <c r="E11" i="3"/>
  <c r="E45" i="2"/>
  <c r="D11" i="3"/>
  <c r="F223" i="4"/>
  <c r="C229" i="4"/>
  <c r="D6" i="3" s="1"/>
  <c r="D36" i="5"/>
  <c r="D143" i="5"/>
  <c r="C170" i="4"/>
  <c r="C15" i="5"/>
  <c r="E168" i="5"/>
  <c r="D168" i="5"/>
  <c r="F168" i="5"/>
  <c r="C221" i="5"/>
  <c r="C223" i="5" s="1"/>
  <c r="C141" i="5"/>
  <c r="C163" i="5"/>
  <c r="C165" i="5" s="1"/>
  <c r="C185" i="5"/>
  <c r="C187" i="5" s="1"/>
  <c r="C207" i="5"/>
  <c r="C209" i="5" s="1"/>
  <c r="E207" i="5"/>
  <c r="E209" i="5" s="1"/>
  <c r="E163" i="5"/>
  <c r="E165" i="5" s="1"/>
  <c r="E185" i="5"/>
  <c r="E187" i="5" s="1"/>
  <c r="E221" i="5"/>
  <c r="E223" i="5" s="1"/>
  <c r="E141" i="5"/>
  <c r="F170" i="5"/>
  <c r="F192" i="5"/>
  <c r="C81" i="5"/>
  <c r="C97" i="5"/>
  <c r="C129" i="5"/>
  <c r="F101" i="5"/>
  <c r="C93" i="5"/>
  <c r="F97" i="5"/>
  <c r="F127" i="5"/>
  <c r="F228" i="5"/>
  <c r="F89" i="5"/>
  <c r="E225" i="5"/>
  <c r="F93" i="5"/>
  <c r="E166" i="5"/>
  <c r="F85" i="5"/>
  <c r="E66" i="5"/>
  <c r="E114" i="5"/>
  <c r="E90" i="5"/>
  <c r="C113" i="5"/>
  <c r="C210" i="5"/>
  <c r="F113" i="5"/>
  <c r="E86" i="5"/>
  <c r="F69" i="5"/>
  <c r="C89" i="5"/>
  <c r="E58" i="5"/>
  <c r="C127" i="5"/>
  <c r="C85" i="5"/>
  <c r="E98" i="5"/>
  <c r="C65" i="5"/>
  <c r="F65" i="5"/>
  <c r="F105" i="5"/>
  <c r="F57" i="5"/>
  <c r="E78" i="5"/>
  <c r="C109" i="5"/>
  <c r="C73" i="5"/>
  <c r="D166" i="5"/>
  <c r="E70" i="5"/>
  <c r="F109" i="5"/>
  <c r="F38" i="5"/>
  <c r="E94" i="5"/>
  <c r="F126" i="5"/>
  <c r="C117" i="5"/>
  <c r="E189" i="5"/>
  <c r="C61" i="5"/>
  <c r="F77" i="5"/>
  <c r="D188" i="5"/>
  <c r="C38" i="5"/>
  <c r="F81" i="5"/>
  <c r="F117" i="5"/>
  <c r="E110" i="5"/>
  <c r="F144" i="5"/>
  <c r="D145" i="5"/>
  <c r="D224" i="5"/>
  <c r="C69" i="5"/>
  <c r="E210" i="5"/>
  <c r="C101" i="5"/>
  <c r="E102" i="5"/>
  <c r="E37" i="5"/>
  <c r="C77" i="5"/>
  <c r="E62" i="5"/>
  <c r="E74" i="5"/>
  <c r="E118" i="5"/>
  <c r="C105" i="5"/>
  <c r="F61" i="5"/>
  <c r="F128" i="5"/>
  <c r="F129" i="5"/>
  <c r="C57" i="5"/>
  <c r="D229" i="5"/>
  <c r="C128" i="5"/>
  <c r="F73" i="5"/>
  <c r="E106" i="5"/>
  <c r="E82" i="5"/>
  <c r="C126" i="5"/>
  <c r="E223" i="4" l="1"/>
  <c r="C91" i="4"/>
  <c r="C40" i="2" s="1"/>
  <c r="E143" i="5"/>
  <c r="C143" i="5"/>
  <c r="C168" i="5"/>
  <c r="F58" i="5"/>
  <c r="F195" i="5"/>
  <c r="F110" i="5"/>
  <c r="E69" i="5"/>
  <c r="C118" i="5"/>
  <c r="E105" i="5"/>
  <c r="F172" i="5"/>
  <c r="E73" i="5"/>
  <c r="E65" i="5"/>
  <c r="E129" i="5"/>
  <c r="C98" i="5"/>
  <c r="C74" i="5"/>
  <c r="F74" i="5"/>
  <c r="D192" i="5"/>
  <c r="E113" i="5"/>
  <c r="F233" i="5"/>
  <c r="F133" i="5"/>
  <c r="E89" i="5"/>
  <c r="E85" i="5"/>
  <c r="F132" i="5"/>
  <c r="F173" i="5"/>
  <c r="C189" i="5"/>
  <c r="D129" i="5"/>
  <c r="D144" i="5"/>
  <c r="E117" i="5"/>
  <c r="C110" i="5"/>
  <c r="C166" i="5"/>
  <c r="C90" i="5"/>
  <c r="E101" i="5"/>
  <c r="C225" i="5"/>
  <c r="F130" i="5"/>
  <c r="D38" i="5"/>
  <c r="F86" i="5"/>
  <c r="C144" i="5"/>
  <c r="E224" i="5"/>
  <c r="C78" i="5"/>
  <c r="F131" i="5"/>
  <c r="E77" i="5"/>
  <c r="D170" i="5"/>
  <c r="E97" i="5"/>
  <c r="C82" i="5"/>
  <c r="C132" i="5"/>
  <c r="E127" i="5"/>
  <c r="D228" i="5"/>
  <c r="D126" i="5"/>
  <c r="C133" i="5"/>
  <c r="F90" i="5"/>
  <c r="E167" i="5"/>
  <c r="F230" i="5"/>
  <c r="C94" i="5"/>
  <c r="C66" i="5"/>
  <c r="F231" i="5"/>
  <c r="F66" i="5"/>
  <c r="F94" i="5"/>
  <c r="C58" i="5"/>
  <c r="F148" i="5"/>
  <c r="D37" i="5"/>
  <c r="C130" i="5"/>
  <c r="E61" i="5"/>
  <c r="C131" i="5"/>
  <c r="E170" i="5"/>
  <c r="F62" i="5"/>
  <c r="E57" i="5"/>
  <c r="D127" i="5"/>
  <c r="C167" i="5"/>
  <c r="F78" i="5"/>
  <c r="C62" i="5"/>
  <c r="C106" i="5"/>
  <c r="D128" i="5"/>
  <c r="F82" i="5"/>
  <c r="E144" i="5"/>
  <c r="F232" i="5"/>
  <c r="F118" i="5"/>
  <c r="C70" i="5"/>
  <c r="F114" i="5"/>
  <c r="C224" i="5"/>
  <c r="C114" i="5"/>
  <c r="E188" i="5"/>
  <c r="E229" i="5"/>
  <c r="F102" i="5"/>
  <c r="E109" i="5"/>
  <c r="C86" i="5"/>
  <c r="F70" i="5"/>
  <c r="E126" i="5"/>
  <c r="E81" i="5"/>
  <c r="C188" i="5"/>
  <c r="F106" i="5"/>
  <c r="E93" i="5"/>
  <c r="F194" i="5"/>
  <c r="F98" i="5"/>
  <c r="E128" i="5"/>
  <c r="C102" i="5"/>
  <c r="E40" i="2" l="1"/>
  <c r="E26" i="3" s="1"/>
  <c r="C26" i="3"/>
  <c r="C223" i="4"/>
  <c r="F234" i="5"/>
  <c r="F235" i="5" s="1"/>
  <c r="F236" i="5" s="1"/>
  <c r="C182" i="4"/>
  <c r="C183" i="4"/>
  <c r="F181" i="4"/>
  <c r="F182" i="4"/>
  <c r="F183" i="4"/>
  <c r="F180" i="4"/>
  <c r="C181" i="4"/>
  <c r="C180" i="4"/>
  <c r="E47" i="5"/>
  <c r="F187" i="4" l="1"/>
  <c r="F35" i="2" s="1"/>
  <c r="C187" i="4"/>
  <c r="C35" i="2" s="1"/>
  <c r="D133" i="5"/>
  <c r="E228" i="5"/>
  <c r="D65" i="5"/>
  <c r="F150" i="5"/>
  <c r="C54" i="5"/>
  <c r="D173" i="5"/>
  <c r="E52" i="5"/>
  <c r="D195" i="5"/>
  <c r="C51" i="5"/>
  <c r="D230" i="5"/>
  <c r="C148" i="5"/>
  <c r="E192" i="5"/>
  <c r="C48" i="5"/>
  <c r="E173" i="5"/>
  <c r="E43" i="5"/>
  <c r="D131" i="5"/>
  <c r="D74" i="5"/>
  <c r="D81" i="5"/>
  <c r="F151" i="5"/>
  <c r="E172" i="5"/>
  <c r="C45" i="5"/>
  <c r="D77" i="5"/>
  <c r="E132" i="5"/>
  <c r="F50" i="5"/>
  <c r="D58" i="5"/>
  <c r="C42" i="5"/>
  <c r="E46" i="5"/>
  <c r="D66" i="5"/>
  <c r="D101" i="5"/>
  <c r="E53" i="5"/>
  <c r="D62" i="5"/>
  <c r="D109" i="5"/>
  <c r="E40" i="5"/>
  <c r="D118" i="5"/>
  <c r="F51" i="5"/>
  <c r="D90" i="5"/>
  <c r="F47" i="5"/>
  <c r="D231" i="5"/>
  <c r="D113" i="5"/>
  <c r="D106" i="5"/>
  <c r="C39" i="5"/>
  <c r="D110" i="5"/>
  <c r="E44" i="5"/>
  <c r="C49" i="5"/>
  <c r="C40" i="5"/>
  <c r="F43" i="5"/>
  <c r="C228" i="5"/>
  <c r="D130" i="5"/>
  <c r="D85" i="5"/>
  <c r="D57" i="5"/>
  <c r="D82" i="5"/>
  <c r="C41" i="5"/>
  <c r="D93" i="5"/>
  <c r="E51" i="5"/>
  <c r="D233" i="5"/>
  <c r="D98" i="5"/>
  <c r="E130" i="5"/>
  <c r="C52" i="5"/>
  <c r="F39" i="5"/>
  <c r="D132" i="5"/>
  <c r="D194" i="5"/>
  <c r="F46" i="5"/>
  <c r="D172" i="5"/>
  <c r="C145" i="5"/>
  <c r="D86" i="5"/>
  <c r="E41" i="5"/>
  <c r="D73" i="5"/>
  <c r="E131" i="5"/>
  <c r="D97" i="5"/>
  <c r="F49" i="5"/>
  <c r="C50" i="5"/>
  <c r="C47" i="5"/>
  <c r="C44" i="5"/>
  <c r="F44" i="5"/>
  <c r="F48" i="5"/>
  <c r="D69" i="5"/>
  <c r="E48" i="5"/>
  <c r="E45" i="5"/>
  <c r="F54" i="5"/>
  <c r="C43" i="5"/>
  <c r="C192" i="5"/>
  <c r="C46" i="5"/>
  <c r="F41" i="5"/>
  <c r="D117" i="5"/>
  <c r="D102" i="5"/>
  <c r="F52" i="5"/>
  <c r="D105" i="5"/>
  <c r="C229" i="5"/>
  <c r="E39" i="5"/>
  <c r="E145" i="5"/>
  <c r="E50" i="5"/>
  <c r="E133" i="5"/>
  <c r="D232" i="5"/>
  <c r="F40" i="5"/>
  <c r="E54" i="5"/>
  <c r="D78" i="5"/>
  <c r="D70" i="5"/>
  <c r="D114" i="5"/>
  <c r="D61" i="5"/>
  <c r="C170" i="5"/>
  <c r="C53" i="5"/>
  <c r="F53" i="5"/>
  <c r="E42" i="5"/>
  <c r="F42" i="5"/>
  <c r="D89" i="5"/>
  <c r="E49" i="5"/>
  <c r="F45" i="5"/>
  <c r="E148" i="5"/>
  <c r="D94" i="5"/>
  <c r="F188" i="4" l="1"/>
  <c r="F189" i="4" s="1"/>
  <c r="F192" i="4" s="1"/>
  <c r="E127" i="4"/>
  <c r="F123" i="4"/>
  <c r="F79" i="4"/>
  <c r="D180" i="4"/>
  <c r="D187" i="4" s="1"/>
  <c r="D35" i="2" s="1"/>
  <c r="F80" i="4"/>
  <c r="E126" i="4"/>
  <c r="E79" i="4"/>
  <c r="D181" i="4"/>
  <c r="E181" i="4"/>
  <c r="E129" i="4"/>
  <c r="D234" i="5"/>
  <c r="D235" i="5" s="1"/>
  <c r="D236" i="5" s="1"/>
  <c r="C127" i="4"/>
  <c r="C132" i="4"/>
  <c r="F133" i="4"/>
  <c r="F125" i="4"/>
  <c r="C130" i="4"/>
  <c r="E135" i="4"/>
  <c r="E133" i="4"/>
  <c r="E125" i="4"/>
  <c r="E182" i="4"/>
  <c r="D183" i="4"/>
  <c r="C125" i="4"/>
  <c r="F135" i="4"/>
  <c r="E183" i="4"/>
  <c r="E134" i="4"/>
  <c r="F128" i="4"/>
  <c r="C128" i="4"/>
  <c r="C124" i="4"/>
  <c r="E131" i="4"/>
  <c r="F136" i="4"/>
  <c r="C80" i="4"/>
  <c r="C136" i="4"/>
  <c r="F129" i="4"/>
  <c r="C79" i="4"/>
  <c r="E123" i="4"/>
  <c r="C134" i="4"/>
  <c r="F130" i="4"/>
  <c r="F131" i="4"/>
  <c r="C123" i="4"/>
  <c r="E80" i="4"/>
  <c r="E124" i="4"/>
  <c r="F127" i="4"/>
  <c r="D182" i="4"/>
  <c r="C129" i="4"/>
  <c r="C131" i="4"/>
  <c r="C133" i="4"/>
  <c r="F134" i="4"/>
  <c r="C135" i="4"/>
  <c r="E136" i="4"/>
  <c r="C126" i="4"/>
  <c r="E132" i="4"/>
  <c r="F132" i="4"/>
  <c r="F126" i="4"/>
  <c r="F124" i="4"/>
  <c r="E130" i="4"/>
  <c r="E128" i="4"/>
  <c r="E180" i="4"/>
  <c r="E187" i="4" s="1"/>
  <c r="E35" i="2" s="1"/>
  <c r="C188" i="4"/>
  <c r="C224" i="4" s="1"/>
  <c r="C29" i="3"/>
  <c r="F29" i="3"/>
  <c r="D48" i="5"/>
  <c r="E231" i="5"/>
  <c r="C151" i="5"/>
  <c r="D54" i="5"/>
  <c r="D43" i="5"/>
  <c r="C150" i="5"/>
  <c r="E150" i="5"/>
  <c r="D52" i="5"/>
  <c r="C173" i="5"/>
  <c r="D46" i="5"/>
  <c r="C231" i="5"/>
  <c r="D49" i="5"/>
  <c r="D40" i="5"/>
  <c r="D51" i="5"/>
  <c r="E151" i="5"/>
  <c r="D44" i="5"/>
  <c r="C194" i="5"/>
  <c r="C172" i="5"/>
  <c r="C233" i="5"/>
  <c r="E233" i="5"/>
  <c r="E232" i="5"/>
  <c r="C230" i="5"/>
  <c r="D45" i="5"/>
  <c r="C195" i="5"/>
  <c r="D53" i="5"/>
  <c r="D47" i="5"/>
  <c r="E230" i="5"/>
  <c r="D42" i="5"/>
  <c r="E195" i="5"/>
  <c r="D39" i="5"/>
  <c r="D50" i="5"/>
  <c r="E194" i="5"/>
  <c r="D41" i="5"/>
  <c r="C232" i="5"/>
  <c r="F40" i="45" l="1"/>
  <c r="F224" i="4"/>
  <c r="F34" i="45"/>
  <c r="C151" i="4"/>
  <c r="F153" i="4"/>
  <c r="C155" i="4"/>
  <c r="E152" i="4"/>
  <c r="E154" i="4"/>
  <c r="F169" i="4"/>
  <c r="E169" i="4"/>
  <c r="E38" i="45" s="1"/>
  <c r="E151" i="4"/>
  <c r="F152" i="4"/>
  <c r="E155" i="4"/>
  <c r="F156" i="4"/>
  <c r="F151" i="4"/>
  <c r="F154" i="4"/>
  <c r="E153" i="4"/>
  <c r="E156" i="4"/>
  <c r="F155" i="4"/>
  <c r="C152" i="4"/>
  <c r="C115" i="4"/>
  <c r="C22" i="45" s="1"/>
  <c r="F115" i="4"/>
  <c r="E115" i="4"/>
  <c r="D127" i="4"/>
  <c r="D129" i="4"/>
  <c r="D123" i="4"/>
  <c r="D134" i="4"/>
  <c r="D132" i="4"/>
  <c r="C234" i="5"/>
  <c r="C235" i="5" s="1"/>
  <c r="C236" i="5" s="1"/>
  <c r="E234" i="5"/>
  <c r="E235" i="5" s="1"/>
  <c r="D131" i="4"/>
  <c r="D125" i="4"/>
  <c r="D133" i="4"/>
  <c r="F41" i="2"/>
  <c r="F30" i="3" s="1"/>
  <c r="D188" i="4"/>
  <c r="D224" i="4" s="1"/>
  <c r="E188" i="4"/>
  <c r="E224" i="4" s="1"/>
  <c r="C189" i="4"/>
  <c r="C41" i="2"/>
  <c r="C30" i="3" s="1"/>
  <c r="E29" i="3"/>
  <c r="D29" i="3"/>
  <c r="F29" i="45" l="1"/>
  <c r="C40" i="45"/>
  <c r="C192" i="4"/>
  <c r="F173" i="4"/>
  <c r="F31" i="45" s="1"/>
  <c r="E173" i="4"/>
  <c r="E31" i="45" s="1"/>
  <c r="C34" i="45"/>
  <c r="F14" i="45"/>
  <c r="E14" i="45"/>
  <c r="C14" i="45"/>
  <c r="F28" i="45"/>
  <c r="F26" i="45"/>
  <c r="F25" i="45"/>
  <c r="C15" i="45"/>
  <c r="C20" i="45"/>
  <c r="C21" i="45"/>
  <c r="C116" i="4"/>
  <c r="C23" i="45" s="1"/>
  <c r="C18" i="45"/>
  <c r="F157" i="4"/>
  <c r="F36" i="45" s="1"/>
  <c r="E32" i="45"/>
  <c r="D156" i="4"/>
  <c r="D155" i="4"/>
  <c r="E157" i="4"/>
  <c r="E28" i="45"/>
  <c r="E29" i="45"/>
  <c r="E25" i="45"/>
  <c r="F32" i="45"/>
  <c r="F22" i="45"/>
  <c r="F21" i="45"/>
  <c r="F18" i="45"/>
  <c r="F20" i="45"/>
  <c r="F35" i="45"/>
  <c r="E22" i="45"/>
  <c r="E35" i="45"/>
  <c r="E18" i="45"/>
  <c r="E15" i="45"/>
  <c r="E20" i="45"/>
  <c r="E21" i="45"/>
  <c r="E26" i="45"/>
  <c r="E116" i="4"/>
  <c r="E23" i="45" s="1"/>
  <c r="F116" i="4"/>
  <c r="F23" i="45" s="1"/>
  <c r="E236" i="5"/>
  <c r="D41" i="2"/>
  <c r="D30" i="3" s="1"/>
  <c r="E41" i="2"/>
  <c r="E30" i="3" s="1"/>
  <c r="E189" i="4"/>
  <c r="E192" i="4" s="1"/>
  <c r="D189" i="4"/>
  <c r="D192" i="4" s="1"/>
  <c r="E36" i="45" l="1"/>
  <c r="E37" i="45"/>
  <c r="E34" i="45"/>
  <c r="E40" i="45"/>
  <c r="D34" i="45"/>
  <c r="D40" i="45"/>
  <c r="D157" i="4"/>
  <c r="F230" i="4"/>
  <c r="F44" i="45" s="1"/>
  <c r="E30" i="45"/>
  <c r="E230" i="4"/>
  <c r="D223" i="4"/>
  <c r="D37" i="45" l="1"/>
  <c r="D36" i="45"/>
  <c r="E44" i="45"/>
  <c r="D18" i="5"/>
  <c r="D146" i="5" s="1"/>
  <c r="D148" i="5"/>
  <c r="D126" i="4" l="1"/>
  <c r="D152" i="4" s="1"/>
  <c r="D124" i="4"/>
  <c r="D151" i="4" s="1"/>
  <c r="D151" i="5"/>
  <c r="D150" i="5"/>
  <c r="D79" i="4" l="1"/>
  <c r="D136" i="4"/>
  <c r="D135" i="4"/>
  <c r="D128" i="4"/>
  <c r="D153" i="4" s="1"/>
  <c r="D130" i="4"/>
  <c r="D154" i="4" s="1"/>
  <c r="D169" i="4" l="1"/>
  <c r="D38" i="45" s="1"/>
  <c r="D80" i="4"/>
  <c r="D115" i="4" s="1"/>
  <c r="D22" i="45" s="1"/>
  <c r="D173" i="4" l="1"/>
  <c r="D15" i="45"/>
  <c r="D116" i="4"/>
  <c r="D23" i="45" s="1"/>
  <c r="D14" i="45"/>
  <c r="D29" i="45"/>
  <c r="D26" i="45"/>
  <c r="D32" i="45"/>
  <c r="D25" i="45"/>
  <c r="D35" i="45"/>
  <c r="D18" i="45"/>
  <c r="D21" i="45"/>
  <c r="D20" i="45"/>
  <c r="D28" i="45"/>
  <c r="C144" i="4"/>
  <c r="C149" i="4"/>
  <c r="C154" i="4" s="1"/>
  <c r="D31" i="45" l="1"/>
  <c r="D30" i="45"/>
  <c r="D230" i="4"/>
  <c r="C166" i="4"/>
  <c r="C28" i="2"/>
  <c r="C148" i="4"/>
  <c r="C153" i="4" s="1"/>
  <c r="D44" i="45" l="1"/>
  <c r="C165" i="4"/>
  <c r="C150" i="4"/>
  <c r="C156" i="4" s="1"/>
  <c r="C157" i="4" l="1"/>
  <c r="C36" i="45" s="1"/>
  <c r="C160" i="4"/>
  <c r="C161" i="4" s="1"/>
  <c r="C31" i="2" s="1"/>
  <c r="C14" i="3" s="1"/>
  <c r="C167" i="4"/>
  <c r="C16" i="5" s="1"/>
  <c r="C158" i="4"/>
  <c r="C14" i="5"/>
  <c r="C191" i="5" s="1"/>
  <c r="C171" i="4" l="1"/>
  <c r="C172" i="4" s="1"/>
  <c r="C32" i="2" s="1"/>
  <c r="C15" i="3" s="1"/>
  <c r="C168" i="4"/>
  <c r="C169" i="4" s="1"/>
  <c r="C169" i="5"/>
  <c r="C171" i="5"/>
  <c r="C193" i="5"/>
  <c r="C35" i="45" l="1"/>
  <c r="C173" i="4"/>
  <c r="C26" i="45"/>
  <c r="C25" i="45"/>
  <c r="C29" i="45"/>
  <c r="C28" i="45"/>
  <c r="C32" i="45"/>
  <c r="C30" i="45"/>
  <c r="C33" i="2"/>
  <c r="C16" i="3" s="1"/>
  <c r="C17" i="5"/>
  <c r="C200" i="5"/>
  <c r="C179" i="5"/>
  <c r="C176" i="5"/>
  <c r="C199" i="5"/>
  <c r="C174" i="5"/>
  <c r="C198" i="5"/>
  <c r="C177" i="5"/>
  <c r="C175" i="5"/>
  <c r="C178" i="5"/>
  <c r="C196" i="5"/>
  <c r="C197" i="5"/>
  <c r="C201" i="5"/>
  <c r="C230" i="4" l="1"/>
  <c r="C44" i="45" s="1"/>
  <c r="C31" i="45"/>
  <c r="C211" i="5"/>
  <c r="C147" i="5"/>
  <c r="C181" i="5"/>
  <c r="C203" i="5"/>
  <c r="C180" i="5"/>
  <c r="C202" i="5"/>
  <c r="C149" i="5"/>
  <c r="C212" i="5"/>
  <c r="C204" i="5" l="1"/>
  <c r="C205" i="5" s="1"/>
  <c r="C23" i="5" s="1"/>
  <c r="C182" i="5"/>
  <c r="C183" i="5" s="1"/>
  <c r="C22" i="5" s="1"/>
  <c r="C220" i="4" s="1"/>
  <c r="C152" i="5"/>
  <c r="C213" i="5"/>
  <c r="C155" i="5"/>
  <c r="C215" i="5"/>
  <c r="C154" i="5"/>
  <c r="C216" i="5"/>
  <c r="C157" i="5"/>
  <c r="C214" i="5"/>
  <c r="C153" i="5"/>
  <c r="C156" i="5"/>
  <c r="C37" i="2" l="1"/>
  <c r="C23" i="3" s="1"/>
  <c r="C159" i="5"/>
  <c r="C158" i="5"/>
  <c r="C217" i="5"/>
  <c r="C218" i="5" s="1"/>
  <c r="C219" i="5" s="1"/>
  <c r="C21" i="5" s="1"/>
  <c r="C222" i="4" s="1"/>
  <c r="C39" i="2" s="1"/>
  <c r="C25" i="3" s="1"/>
  <c r="C221" i="4"/>
  <c r="C38" i="2" s="1"/>
  <c r="C160" i="5" l="1"/>
  <c r="C161" i="5" s="1"/>
  <c r="C20" i="5" s="1"/>
  <c r="C219" i="4" s="1"/>
  <c r="C24" i="3"/>
  <c r="C36" i="2" l="1"/>
  <c r="C22" i="3" s="1"/>
  <c r="C231" i="4"/>
  <c r="D16" i="5"/>
  <c r="D14" i="5"/>
  <c r="D191" i="5" s="1"/>
  <c r="C44" i="2" l="1"/>
  <c r="C32" i="3" s="1"/>
  <c r="C235" i="4"/>
  <c r="C234" i="4"/>
  <c r="C43" i="45" s="1"/>
  <c r="D169" i="5"/>
  <c r="D171" i="5"/>
  <c r="D193" i="5"/>
  <c r="C46" i="2" l="1"/>
  <c r="C33" i="3" s="1"/>
  <c r="C238" i="4"/>
  <c r="C45" i="45" s="1"/>
  <c r="D33" i="2"/>
  <c r="D16" i="3" s="1"/>
  <c r="D17" i="5"/>
  <c r="D178" i="5"/>
  <c r="D179" i="5"/>
  <c r="D200" i="5"/>
  <c r="D198" i="5"/>
  <c r="D201" i="5"/>
  <c r="D197" i="5"/>
  <c r="D176" i="5"/>
  <c r="D196" i="5"/>
  <c r="D175" i="5"/>
  <c r="D199" i="5"/>
  <c r="D174" i="5"/>
  <c r="D177" i="5"/>
  <c r="D202" i="5" l="1"/>
  <c r="D180" i="5"/>
  <c r="D203" i="5"/>
  <c r="D181" i="5"/>
  <c r="D211" i="5"/>
  <c r="D147" i="5"/>
  <c r="D212" i="5"/>
  <c r="D149" i="5"/>
  <c r="D182" i="5" l="1"/>
  <c r="D183" i="5" s="1"/>
  <c r="D22" i="5" s="1"/>
  <c r="D220" i="4" s="1"/>
  <c r="D204" i="5"/>
  <c r="D205" i="5" s="1"/>
  <c r="D23" i="5" s="1"/>
  <c r="D221" i="4" s="1"/>
  <c r="D38" i="2" s="1"/>
  <c r="D24" i="3" s="1"/>
  <c r="D152" i="5"/>
  <c r="D155" i="5"/>
  <c r="D157" i="5"/>
  <c r="D214" i="5"/>
  <c r="D215" i="5"/>
  <c r="D153" i="5"/>
  <c r="D154" i="5"/>
  <c r="D156" i="5"/>
  <c r="D216" i="5"/>
  <c r="D213" i="5"/>
  <c r="D37" i="2" l="1"/>
  <c r="D23" i="3" s="1"/>
  <c r="D158" i="5"/>
  <c r="D217" i="5"/>
  <c r="D218" i="5" s="1"/>
  <c r="D219" i="5" s="1"/>
  <c r="D21" i="5" s="1"/>
  <c r="D159" i="5"/>
  <c r="D160" i="5" l="1"/>
  <c r="D161" i="5" s="1"/>
  <c r="D20" i="5" s="1"/>
  <c r="D219" i="4" s="1"/>
  <c r="D222" i="4"/>
  <c r="D39" i="2" s="1"/>
  <c r="D25" i="3" s="1"/>
  <c r="D36" i="2" l="1"/>
  <c r="D22" i="3" s="1"/>
  <c r="D231" i="4"/>
  <c r="D44" i="2" l="1"/>
  <c r="D32" i="3" s="1"/>
  <c r="D234" i="4"/>
  <c r="D43" i="45" s="1"/>
  <c r="D235" i="4"/>
  <c r="D46" i="2" l="1"/>
  <c r="D33" i="3" s="1"/>
  <c r="D238" i="4"/>
  <c r="D45" i="45" s="1"/>
  <c r="E14" i="5" l="1"/>
  <c r="E191" i="5" s="1"/>
  <c r="E16" i="5"/>
  <c r="E169" i="5" l="1"/>
  <c r="E33" i="2"/>
  <c r="E16" i="3" s="1"/>
  <c r="E17" i="5"/>
  <c r="E193" i="5"/>
  <c r="E171" i="5"/>
  <c r="E211" i="5" l="1"/>
  <c r="E147" i="5"/>
  <c r="E177" i="5"/>
  <c r="E198" i="5"/>
  <c r="E179" i="5"/>
  <c r="E149" i="5"/>
  <c r="E212" i="5"/>
  <c r="E199" i="5"/>
  <c r="E178" i="5"/>
  <c r="E196" i="5"/>
  <c r="E197" i="5"/>
  <c r="E200" i="5"/>
  <c r="E201" i="5"/>
  <c r="E175" i="5"/>
  <c r="E174" i="5"/>
  <c r="E176" i="5"/>
  <c r="E203" i="5" l="1"/>
  <c r="E181" i="5"/>
  <c r="E202" i="5"/>
  <c r="E180" i="5"/>
  <c r="E153" i="5"/>
  <c r="E155" i="5"/>
  <c r="E156" i="5"/>
  <c r="E157" i="5"/>
  <c r="E215" i="5"/>
  <c r="E154" i="5"/>
  <c r="E152" i="5"/>
  <c r="E216" i="5"/>
  <c r="E214" i="5"/>
  <c r="E213" i="5"/>
  <c r="E182" i="5" l="1"/>
  <c r="E183" i="5" s="1"/>
  <c r="E22" i="5" s="1"/>
  <c r="E220" i="4" s="1"/>
  <c r="E204" i="5"/>
  <c r="E205" i="5" s="1"/>
  <c r="E23" i="5" s="1"/>
  <c r="E159" i="5"/>
  <c r="E158" i="5"/>
  <c r="E217" i="5"/>
  <c r="E218" i="5" s="1"/>
  <c r="E37" i="2" l="1"/>
  <c r="E23" i="3" s="1"/>
  <c r="E221" i="4"/>
  <c r="E160" i="5"/>
  <c r="E161" i="5" s="1"/>
  <c r="E20" i="5" s="1"/>
  <c r="E219" i="4" s="1"/>
  <c r="E219" i="5"/>
  <c r="E21" i="5" s="1"/>
  <c r="B144" i="4"/>
  <c r="B143" i="4"/>
  <c r="E38" i="2" l="1"/>
  <c r="E24" i="3" s="1"/>
  <c r="E36" i="2"/>
  <c r="E22" i="3" s="1"/>
  <c r="E222" i="4"/>
  <c r="B30" i="2"/>
  <c r="B29" i="2"/>
  <c r="E231" i="4" l="1"/>
  <c r="E39" i="2"/>
  <c r="E25" i="3" s="1"/>
  <c r="F14" i="5"/>
  <c r="F191" i="5" s="1"/>
  <c r="F16" i="5"/>
  <c r="E44" i="2" l="1"/>
  <c r="E32" i="3" s="1"/>
  <c r="E234" i="4"/>
  <c r="E43" i="45" s="1"/>
  <c r="E235" i="4"/>
  <c r="F33" i="2"/>
  <c r="F16" i="3" s="1"/>
  <c r="F17" i="5"/>
  <c r="F169" i="5"/>
  <c r="F193" i="5"/>
  <c r="F171" i="5"/>
  <c r="E46" i="2" l="1"/>
  <c r="E33" i="3" s="1"/>
  <c r="E238" i="4"/>
  <c r="E45" i="45" s="1"/>
  <c r="F211" i="5"/>
  <c r="F147" i="5"/>
  <c r="F198" i="5"/>
  <c r="F201" i="5"/>
  <c r="F149" i="5"/>
  <c r="F200" i="5"/>
  <c r="F199" i="5"/>
  <c r="F176" i="5"/>
  <c r="F196" i="5"/>
  <c r="F174" i="5"/>
  <c r="F175" i="5"/>
  <c r="F197" i="5"/>
  <c r="F212" i="5"/>
  <c r="F178" i="5"/>
  <c r="F179" i="5"/>
  <c r="F177" i="5"/>
  <c r="F203" i="5" l="1"/>
  <c r="F180" i="5"/>
  <c r="F181" i="5"/>
  <c r="F202" i="5"/>
  <c r="F215" i="5"/>
  <c r="F157" i="5"/>
  <c r="F214" i="5"/>
  <c r="F156" i="5"/>
  <c r="F154" i="5"/>
  <c r="F216" i="5"/>
  <c r="F213" i="5"/>
  <c r="F152" i="5"/>
  <c r="F155" i="5"/>
  <c r="F153" i="5"/>
  <c r="F182" i="5" l="1"/>
  <c r="F183" i="5" s="1"/>
  <c r="F22" i="5" s="1"/>
  <c r="F220" i="4" s="1"/>
  <c r="F204" i="5"/>
  <c r="F205" i="5" s="1"/>
  <c r="F23" i="5" s="1"/>
  <c r="F158" i="5"/>
  <c r="F217" i="5"/>
  <c r="F218" i="5" s="1"/>
  <c r="F159" i="5"/>
  <c r="F37" i="2" l="1"/>
  <c r="F23" i="3" s="1"/>
  <c r="F221" i="4"/>
  <c r="F38" i="2" s="1"/>
  <c r="F24" i="3" s="1"/>
  <c r="F219" i="5"/>
  <c r="F21" i="5" s="1"/>
  <c r="F160" i="5"/>
  <c r="F161" i="5" s="1"/>
  <c r="F20" i="5" s="1"/>
  <c r="F219" i="4" s="1"/>
  <c r="F36" i="2" l="1"/>
  <c r="F22" i="3" s="1"/>
  <c r="F222" i="4"/>
  <c r="F231" i="4" l="1"/>
  <c r="F39" i="2"/>
  <c r="F25" i="3" s="1"/>
  <c r="F44" i="2" l="1"/>
  <c r="F32" i="3" s="1"/>
  <c r="F234" i="4"/>
  <c r="F43" i="45" s="1"/>
  <c r="F235" i="4"/>
  <c r="F46" i="2" l="1"/>
  <c r="F33" i="3" s="1"/>
  <c r="F238" i="4"/>
  <c r="F45" i="45"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C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C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<sst xmlns="http://schemas.openxmlformats.org/spreadsheetml/2006/main" count="828" uniqueCount="363">
  <si>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</si>
  <si>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</si>
  <si>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</si>
  <si>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</si>
  <si>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</si>
  <si>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</si>
  <si>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</si>
  <si>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</si>
  <si>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</si>
  <si>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</si>
  <si>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</si>
  <si>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</si>
  <si>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</si>
  <si>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</si>
  <si>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</si>
  <si>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</si>
  <si>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</si>
  <si>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</si>
  <si>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</si>
  <si>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</si>
  <si>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</si>
  <si>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</si>
  <si>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</si>
  <si>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</si>
  <si>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</si>
  <si>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</si>
  <si>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</si>
  <si>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</si>
  <si>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</si>
  <si>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</si>
  <si>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</si>
  <si>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</si>
  <si>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</si>
  <si>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</si>
  <si>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</si>
  <si>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</si>
  <si>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</si>
  <si>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</si>
  <si>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</si>
  <si>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</si>
  <si>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</si>
  <si>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</si>
  <si>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</si>
  <si>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</si>
  <si>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</si>
  <si>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</si>
  <si>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</si>
  <si>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</si>
  <si>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</si>
  <si>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</si>
  <si>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</si>
  <si>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</si>
  <si>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</si>
  <si>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</si>
  <si>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</si>
  <si>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</si>
  <si>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</si>
  <si>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</si>
  <si>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</si>
  <si>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</si>
  <si>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</si>
  <si>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</si>
  <si>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</si>
  <si>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</si>
  <si>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</si>
  <si>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</si>
  <si>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</si>
  <si>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</si>
  <si>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</si>
  <si>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</si>
  <si>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</si>
  <si>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</si>
  <si>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</si>
  <si>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</si>
  <si>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</si>
  <si>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</si>
  <si>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</si>
  <si>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</si>
  <si>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</si>
  <si>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</si>
  <si>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</si>
  <si>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</si>
  <si>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</si>
  <si>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</si>
  <si>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</si>
  <si>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</si>
  <si>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</si>
  <si>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</si>
  <si>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</si>
  <si>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</si>
  <si>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</si>
  <si>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</si>
  <si>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</si>
  <si>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</si>
  <si>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</si>
  <si>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</si>
  <si>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</si>
  <si>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</si>
  <si>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</si>
  <si>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</si>
  <si>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</si>
  <si>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</si>
  <si>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</si>
  <si>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</si>
  <si>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</si>
  <si>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</si>
  <si>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</si>
  <si>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</si>
  <si>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</si>
  <si>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</si>
  <si>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</si>
  <si>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</si>
  <si>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</si>
  <si>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</si>
  <si>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</si>
  <si>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</si>
  <si>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</si>
  <si>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</si>
  <si>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</si>
  <si>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</si>
  <si>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</si>
  <si>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</si>
  <si>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</si>
  <si>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</si>
  <si>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</si>
  <si>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</si>
  <si>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</si>
  <si>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</si>
  <si>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</si>
  <si>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</si>
  <si>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</si>
  <si>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</si>
  <si>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</si>
  <si>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</si>
  <si>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</si>
  <si>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</si>
  <si>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</si>
  <si>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</si>
  <si>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</si>
  <si>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</si>
  <si>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</si>
  <si>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</si>
  <si>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</si>
  <si>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</si>
  <si>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</si>
  <si>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</si>
  <si>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</si>
  <si>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</si>
  <si>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</si>
  <si>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</si>
  <si>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</si>
  <si>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</si>
  <si>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</si>
  <si>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</si>
  <si>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</si>
  <si>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</si>
  <si>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</si>
  <si>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</si>
  <si>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</si>
  <si>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</si>
  <si>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</si>
  <si>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</si>
  <si>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</si>
  <si>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</si>
  <si>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</si>
  <si>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</si>
  <si>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</si>
  <si>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</si>
  <si>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</si>
  <si>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</si>
  <si>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</si>
  <si>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</si>
  <si>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</si>
  <si>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</si>
  <si>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</si>
  <si>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</si>
  <si>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</si>
  <si>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</si>
  <si>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</si>
  <si>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</si>
  <si>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</si>
  <si>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</si>
  <si>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</si>
  <si>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</si>
  <si>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</si>
  <si>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</si>
  <si>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</si>
  <si>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</si>
  <si>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</si>
  <si>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</si>
  <si>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</si>
  <si>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</si>
  <si>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</si>
  <si>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</si>
  <si>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</si>
  <si>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</si>
  <si>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</si>
  <si>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</si>
  <si>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</si>
  <si>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</si>
  <si>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</si>
  <si>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</si>
  <si>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</si>
  <si>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</si>
  <si>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</si>
  <si>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</si>
  <si>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</si>
  <si>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</si>
  <si>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</si>
  <si>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</si>
  <si>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</si>
  <si>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</si>
  <si>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</si>
  <si>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</si>
  <si>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</si>
  <si>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</si>
  <si>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</si>
  <si>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</si>
  <si>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</si>
  <si>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</si>
  <si>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</si>
  <si>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</si>
  <si>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</si>
  <si>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</si>
  <si>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</si>
  <si>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</si>
  <si>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</si>
  <si>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</si>
  <si>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</si>
  <si>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</si>
  <si>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</si>
  <si>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</si>
  <si>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</si>
  <si>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</si>
  <si>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</si>
  <si>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</si>
  <si>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</si>
  <si>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</si>
  <si>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</si>
  <si>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</si>
  <si>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</si>
  <si>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</si>
  <si>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</si>
  <si>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</si>
  <si>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</si>
  <si>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</si>
  <si>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</si>
  <si>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</si>
  <si>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</si>
  <si>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</si>
  <si>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</si>
  <si>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</si>
  <si>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</si>
  <si>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</si>
  <si>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</si>
  <si>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</si>
  <si>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</si>
  <si>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</si>
  <si>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</si>
  <si>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</si>
  <si>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</si>
  <si>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</si>
  <si>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</si>
  <si>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</si>
  <si>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</si>
  <si>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</si>
  <si>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</si>
  <si>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</si>
  <si>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</si>
  <si>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</si>
  <si>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</si>
  <si>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</si>
  <si>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</si>
  <si>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</si>
  <si>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</si>
  <si>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</si>
  <si>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</si>
  <si>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</si>
  <si>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</si>
  <si>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</si>
  <si>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</si>
  <si>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</si>
  <si>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</si>
  <si>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</si>
  <si>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</si>
  <si>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</si>
  <si>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</si>
  <si>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</si>
  <si>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</si>
  <si>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</si>
  <si>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</si>
  <si>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</si>
  <si>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</si>
  <si>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</si>
  <si>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</si>
  <si>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</si>
  <si>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</si>
  <si>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</si>
  <si>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</si>
  <si>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</si>
  <si>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</si>
  <si>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</si>
  <si>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</si>
  <si>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</si>
  <si>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</si>
  <si>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</si>
  <si>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</si>
  <si>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</si>
  <si>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</si>
  <si>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</si>
  <si>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</si>
  <si>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</si>
  <si>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</si>
  <si>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</si>
  <si>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</si>
  <si>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</si>
  <si>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</si>
  <si>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</si>
  <si>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</si>
  <si>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</si>
  <si>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</si>
  <si>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</si>
  <si>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</si>
  <si>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</si>
  <si>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</si>
  <si>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</si>
  <si>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</si>
  <si>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</si>
  <si>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</si>
  <si>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</si>
  <si>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</si>
  <si>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</si>
  <si>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</si>
  <si>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</si>
  <si>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</si>
  <si>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</si>
  <si>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</si>
  <si>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</si>
  <si>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</si>
  <si>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</si>
  <si>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</si>
  <si>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</si>
  <si>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</si>
  <si>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</si>
  <si>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</si>
  <si>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</si>
  <si>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</si>
  <si>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</si>
  <si>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</si>
  <si>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</si>
  <si>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</si>
  <si>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</si>
  <si>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</si>
  <si>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</si>
  <si>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</si>
  <si>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</si>
  <si>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</si>
  <si>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</si>
  <si>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</si>
  <si>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TR2</t>
  </si>
  <si>
    <t>MU Calc RT v2.0.0</t>
  </si>
  <si>
    <t>TR3</t>
  </si>
  <si>
    <t>10MV</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</si>
</sst>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2"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30" fillId="9" borderId="0" applyNumberFormat="0" applyBorder="0" applyAlignment="0" applyProtection="0"/>
    <xf numFmtId="0" fontId="9" fillId="0" borderId="0"/>
    <xf numFmtId="0" fontId="1" fillId="0" borderId="0"/>
    <xf numFmtId="0" fontId="35" fillId="10" borderId="128" applyNumberFormat="0" applyAlignment="0" applyProtection="0"/>
    <xf numFmtId="0" fontId="44" fillId="0" borderId="148" applyNumberFormat="0" applyFill="0" applyAlignment="0" applyProtection="0"/>
  </cellStyleXfs>
  <cellXfs count="704">
    <xf numFmtId="0" fontId="0" fillId="0" borderId="0" xfId="0"/>
    <xf numFmtId="0" fontId="0" fillId="0" borderId="0" xfId="0" applyBorder="1" applyProtection="1"/>
    <xf numFmtId="0" fontId="8" fillId="0" borderId="92" xfId="1" applyFill="1" applyBorder="1" applyAlignment="1" applyProtection="1"/>
    <xf numFmtId="0" fontId="8" fillId="0" borderId="92" xfId="1" applyBorder="1" applyAlignment="1" applyProtection="1"/>
    <xf numFmtId="0" fontId="31" fillId="0" borderId="0" xfId="0" applyFont="1" applyProtection="1"/>
    <xf numFmtId="0" fontId="31" fillId="0" borderId="1" xfId="0" applyFont="1" applyBorder="1" applyProtection="1"/>
    <xf numFmtId="0" fontId="31" fillId="3" borderId="0" xfId="0" applyFont="1" applyFill="1" applyProtection="1"/>
    <xf numFmtId="49" fontId="31" fillId="0" borderId="0" xfId="0" applyNumberFormat="1" applyFont="1" applyProtection="1"/>
    <xf numFmtId="0" fontId="31" fillId="0" borderId="0" xfId="0" applyFont="1" applyBorder="1" applyProtection="1"/>
    <xf numFmtId="0" fontId="31" fillId="0" borderId="1" xfId="0" applyFont="1" applyFill="1" applyBorder="1" applyAlignment="1" applyProtection="1">
      <alignment horizontal="center"/>
    </xf>
    <xf numFmtId="0" fontId="31" fillId="0" borderId="62" xfId="0" applyFont="1" applyBorder="1" applyProtection="1"/>
    <xf numFmtId="0" fontId="31" fillId="0" borderId="63" xfId="0" applyFont="1" applyBorder="1" applyProtection="1"/>
    <xf numFmtId="0" fontId="31" fillId="0" borderId="0" xfId="0" applyFont="1" applyAlignment="1" applyProtection="1">
      <alignment horizontal="center"/>
    </xf>
    <xf numFmtId="0" fontId="31" fillId="11" borderId="0" xfId="0" applyFont="1" applyFill="1" applyProtection="1"/>
    <xf numFmtId="0" fontId="8" fillId="0" borderId="0" xfId="1" applyFill="1" applyBorder="1" applyAlignment="1" applyProtection="1"/>
    <xf numFmtId="0" fontId="8" fillId="0" borderId="0" xfId="1" applyBorder="1" applyAlignment="1" applyProtection="1"/>
    <xf numFmtId="0" fontId="32" fillId="3" borderId="138" xfId="0" applyFont="1" applyFill="1" applyBorder="1" applyAlignment="1" applyProtection="1">
      <alignment horizontal="center"/>
      <protection locked="0"/>
    </xf>
    <xf numFmtId="0" fontId="31" fillId="3" borderId="63" xfId="0" applyFont="1" applyFill="1" applyBorder="1" applyAlignment="1" applyProtection="1">
      <alignment horizontal="center"/>
      <protection locked="0"/>
    </xf>
    <xf numFmtId="0" fontId="31" fillId="0" borderId="1" xfId="0" applyFont="1" applyBorder="1" applyAlignment="1" applyProtection="1">
      <alignment vertical="center" wrapText="1"/>
    </xf>
    <xf numFmtId="0" fontId="31" fillId="0" borderId="62" xfId="0" applyFont="1" applyBorder="1" applyAlignment="1" applyProtection="1"/>
    <xf numFmtId="0" fontId="31" fillId="5" borderId="63" xfId="0" applyFont="1" applyFill="1" applyBorder="1" applyAlignment="1" applyProtection="1">
      <alignment horizontal="center"/>
    </xf>
    <xf numFmtId="0" fontId="31" fillId="0" borderId="145" xfId="0" applyFont="1" applyBorder="1" applyProtection="1"/>
    <xf numFmtId="0" fontId="31" fillId="0" borderId="144" xfId="0" applyFont="1" applyBorder="1" applyAlignment="1" applyProtection="1">
      <alignment vertical="center" wrapText="1"/>
    </xf>
    <xf numFmtId="165" fontId="31" fillId="11" borderId="63" xfId="0" applyNumberFormat="1" applyFont="1" applyFill="1" applyBorder="1" applyAlignment="1" applyProtection="1">
      <alignment horizontal="center"/>
    </xf>
    <xf numFmtId="165" fontId="31" fillId="11" borderId="1" xfId="0" applyNumberFormat="1" applyFont="1" applyFill="1" applyBorder="1" applyAlignment="1" applyProtection="1">
      <alignment horizontal="center"/>
    </xf>
    <xf numFmtId="164" fontId="31" fillId="19" borderId="1" xfId="0" applyNumberFormat="1" applyFont="1" applyFill="1" applyBorder="1" applyAlignment="1" applyProtection="1">
      <alignment horizontal="center"/>
    </xf>
    <xf numFmtId="0" fontId="31" fillId="19" borderId="0" xfId="0" applyFont="1" applyFill="1" applyProtection="1"/>
    <xf numFmtId="164" fontId="31" fillId="3" borderId="63" xfId="0" applyNumberFormat="1" applyFont="1" applyFill="1" applyBorder="1" applyAlignment="1" applyProtection="1">
      <alignment horizontal="center"/>
      <protection locked="0"/>
    </xf>
    <xf numFmtId="2" fontId="31" fillId="11" borderId="62" xfId="0" applyNumberFormat="1" applyFont="1" applyFill="1" applyBorder="1" applyAlignment="1" applyProtection="1">
      <alignment horizontal="center"/>
    </xf>
    <xf numFmtId="0" fontId="31" fillId="0" borderId="1" xfId="0" applyFont="1" applyBorder="1" applyAlignment="1" applyProtection="1">
      <alignment wrapText="1"/>
    </xf>
    <xf numFmtId="0" fontId="31"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8" fillId="10" borderId="128" xfId="7" applyNumberFormat="1" applyFont="1" applyAlignment="1" applyProtection="1">
      <alignment horizontal="center"/>
    </xf>
    <xf numFmtId="164" fontId="48" fillId="10" borderId="128" xfId="7" applyNumberFormat="1" applyFont="1" applyBorder="1" applyAlignment="1" applyProtection="1">
      <alignment horizontal="center"/>
    </xf>
    <xf numFmtId="164" fontId="48" fillId="18" borderId="147" xfId="7" applyNumberFormat="1" applyFont="1" applyFill="1" applyBorder="1" applyAlignment="1" applyProtection="1">
      <alignment horizontal="center"/>
    </xf>
    <xf numFmtId="164" fontId="48" fillId="18" borderId="147" xfId="0" applyNumberFormat="1" applyFont="1" applyFill="1" applyBorder="1" applyAlignment="1" applyProtection="1">
      <alignment horizontal="center"/>
    </xf>
    <xf numFmtId="164" fontId="48" fillId="10" borderId="142" xfId="7" applyNumberFormat="1" applyFont="1" applyBorder="1" applyAlignment="1" applyProtection="1">
      <alignment horizontal="center"/>
    </xf>
    <xf numFmtId="164" fontId="48" fillId="10" borderId="62" xfId="7" applyNumberFormat="1" applyFont="1" applyBorder="1" applyAlignment="1" applyProtection="1">
      <alignment horizontal="center"/>
    </xf>
    <xf numFmtId="164" fontId="48" fillId="18" borderId="47" xfId="0" applyNumberFormat="1" applyFont="1" applyFill="1" applyBorder="1" applyAlignment="1" applyProtection="1">
      <alignment horizontal="center"/>
    </xf>
    <xf numFmtId="165" fontId="48" fillId="18" borderId="63" xfId="0" applyNumberFormat="1" applyFont="1" applyFill="1" applyBorder="1" applyAlignment="1" applyProtection="1">
      <alignment horizontal="center"/>
    </xf>
    <xf numFmtId="164" fontId="48" fillId="18" borderId="1" xfId="0" applyNumberFormat="1" applyFont="1" applyFill="1" applyBorder="1" applyAlignment="1" applyProtection="1">
      <alignment horizontal="center"/>
    </xf>
    <xf numFmtId="1" fontId="48" fillId="18" borderId="62" xfId="0" applyNumberFormat="1" applyFont="1" applyFill="1" applyBorder="1" applyAlignment="1" applyProtection="1">
      <alignment horizontal="center"/>
    </xf>
    <xf numFmtId="0" fontId="31" fillId="26" borderId="0" xfId="0" applyFont="1" applyFill="1" applyProtection="1"/>
    <xf numFmtId="0" fontId="31" fillId="26" borderId="146" xfId="0" applyFont="1" applyFill="1" applyBorder="1" applyAlignment="1" applyProtection="1">
      <alignment horizontal="center"/>
    </xf>
    <xf numFmtId="0" fontId="31" fillId="26" borderId="145" xfId="0" applyFont="1" applyFill="1" applyBorder="1" applyAlignment="1" applyProtection="1">
      <alignment horizontal="center"/>
    </xf>
    <xf numFmtId="164" fontId="31" fillId="26" borderId="1" xfId="0" applyNumberFormat="1" applyFont="1" applyFill="1" applyBorder="1" applyAlignment="1" applyProtection="1">
      <alignment horizontal="center"/>
      <protection locked="0"/>
    </xf>
    <xf numFmtId="0" fontId="31" fillId="26" borderId="138" xfId="0" applyFont="1" applyFill="1" applyBorder="1" applyAlignment="1" applyProtection="1">
      <alignment horizontal="center"/>
      <protection locked="0"/>
    </xf>
    <xf numFmtId="164" fontId="31" fillId="26" borderId="63" xfId="0" applyNumberFormat="1" applyFont="1" applyFill="1" applyBorder="1" applyAlignment="1" applyProtection="1">
      <alignment horizontal="center"/>
    </xf>
    <xf numFmtId="0" fontId="31" fillId="26" borderId="1" xfId="0" applyFont="1" applyFill="1" applyBorder="1" applyAlignment="1" applyProtection="1">
      <alignment horizontal="center"/>
      <protection locked="0"/>
    </xf>
    <xf numFmtId="164" fontId="31" fillId="26" borderId="1" xfId="0" applyNumberFormat="1" applyFont="1" applyFill="1" applyBorder="1" applyAlignment="1" applyProtection="1">
      <alignment horizontal="center"/>
    </xf>
    <xf numFmtId="0" fontId="31" fillId="27" borderId="0" xfId="0" applyFont="1" applyFill="1" applyProtection="1"/>
    <xf numFmtId="0" fontId="31" fillId="27" borderId="62" xfId="0" applyFont="1" applyFill="1" applyBorder="1" applyAlignment="1" applyProtection="1">
      <alignment horizontal="center"/>
    </xf>
    <xf numFmtId="164" fontId="31" fillId="11" borderId="128" xfId="7" applyNumberFormat="1" applyFont="1" applyFill="1" applyBorder="1" applyAlignment="1" applyProtection="1">
      <alignment horizontal="center"/>
    </xf>
    <xf numFmtId="0" fontId="41" fillId="0" borderId="1" xfId="0" applyFont="1" applyFill="1" applyBorder="1" applyProtection="1"/>
    <xf numFmtId="165" fontId="41" fillId="0" borderId="1" xfId="0" applyNumberFormat="1" applyFont="1" applyFill="1" applyBorder="1" applyAlignment="1" applyProtection="1">
      <alignment horizontal="center"/>
    </xf>
    <xf numFmtId="0" fontId="41" fillId="0" borderId="60" xfId="0" applyFont="1" applyFill="1" applyBorder="1" applyProtection="1"/>
    <xf numFmtId="165" fontId="41" fillId="0" borderId="60" xfId="0" applyNumberFormat="1" applyFont="1" applyFill="1" applyBorder="1" applyAlignment="1" applyProtection="1">
      <alignment horizontal="center"/>
    </xf>
    <xf numFmtId="165" fontId="48" fillId="26" borderId="1" xfId="0" applyNumberFormat="1" applyFont="1" applyFill="1" applyBorder="1" applyAlignment="1" applyProtection="1">
      <alignment horizontal="center"/>
      <protection locked="0"/>
    </xf>
    <xf numFmtId="0" fontId="31" fillId="0" borderId="137" xfId="0" applyFont="1" applyBorder="1" applyAlignment="1" applyProtection="1">
      <alignment horizontal="center" vertical="center" wrapText="1"/>
    </xf>
    <xf numFmtId="0" fontId="1" fillId="15" borderId="1" xfId="0" applyFont="1" applyFill="1" applyBorder="1" applyAlignment="1" applyProtection="1">
      <alignment horizontal="center"/>
      <protection locked="0"/>
    </xf>
    <xf numFmtId="0" fontId="0" fillId="0" borderId="0" xfId="0" applyProtection="1"/>
    <xf numFmtId="0" fontId="44" fillId="0" borderId="148" xfId="8" applyProtection="1"/>
    <xf numFmtId="0" fontId="35" fillId="14" borderId="8" xfId="7" applyFill="1" applyBorder="1" applyProtection="1"/>
    <xf numFmtId="0" fontId="35" fillId="12" borderId="7" xfId="7" applyFill="1" applyBorder="1" applyProtection="1"/>
    <xf numFmtId="0" fontId="1" fillId="7" borderId="1" xfId="0" applyFont="1" applyFill="1" applyBorder="1" applyAlignment="1" applyProtection="1">
      <alignment horizontal="center"/>
    </xf>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4"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6"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6" fillId="23" borderId="1" xfId="0" applyNumberFormat="1" applyFont="1" applyFill="1" applyBorder="1" applyAlignment="1" applyProtection="1">
      <alignment horizontal="center"/>
    </xf>
    <xf numFmtId="165" fontId="26" fillId="23" borderId="1" xfId="0" applyNumberFormat="1" applyFont="1" applyFill="1" applyBorder="1" applyAlignment="1" applyProtection="1">
      <alignment horizontal="center"/>
    </xf>
    <xf numFmtId="164" fontId="26"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40"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6"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6"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40"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7" fillId="16" borderId="1" xfId="7" applyNumberFormat="1" applyFont="1" applyFill="1" applyBorder="1" applyAlignment="1" applyProtection="1">
      <alignment horizontal="center"/>
    </xf>
    <xf numFmtId="165" fontId="47" fillId="22" borderId="1" xfId="7" applyNumberFormat="1" applyFont="1" applyFill="1" applyBorder="1" applyAlignment="1" applyProtection="1">
      <alignment horizontal="center"/>
    </xf>
    <xf numFmtId="165" fontId="47" fillId="24" borderId="1" xfId="7" applyNumberFormat="1" applyFont="1" applyFill="1" applyBorder="1" applyAlignment="1" applyProtection="1">
      <alignment horizontal="center"/>
    </xf>
    <xf numFmtId="165" fontId="47"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3"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6" fillId="0" borderId="48" xfId="0" applyFont="1" applyBorder="1" applyAlignment="1" applyProtection="1">
      <alignment horizontal="left"/>
    </xf>
    <xf numFmtId="0" fontId="26"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20"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50"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6"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6" fillId="13" borderId="0" xfId="0" applyNumberFormat="1" applyFont="1" applyFill="1" applyBorder="1" applyProtection="1"/>
    <xf numFmtId="0" fontId="26" fillId="13" borderId="7" xfId="0" applyNumberFormat="1" applyFont="1" applyFill="1" applyBorder="1" applyProtection="1"/>
    <xf numFmtId="0" fontId="1" fillId="0" borderId="80" xfId="0" applyFont="1" applyBorder="1" applyProtection="1"/>
    <xf numFmtId="0" fontId="6" fillId="0" borderId="0" xfId="0" applyFont="1" applyAlignment="1" applyProtection="1">
      <alignment horizontal="center"/>
    </xf>
    <xf numFmtId="0" fontId="1" fillId="0" borderId="77" xfId="0" applyFont="1" applyBorder="1" applyProtection="1"/>
    <xf numFmtId="0" fontId="26" fillId="13" borderId="77" xfId="0" applyNumberFormat="1" applyFont="1" applyFill="1" applyBorder="1" applyProtection="1"/>
    <xf numFmtId="0" fontId="26" fillId="13" borderId="79" xfId="0" applyNumberFormat="1" applyFont="1" applyFill="1" applyBorder="1" applyProtection="1"/>
    <xf numFmtId="0" fontId="26" fillId="13" borderId="51" xfId="0" applyNumberFormat="1" applyFont="1" applyFill="1" applyBorder="1" applyProtection="1"/>
    <xf numFmtId="0" fontId="26" fillId="13" borderId="75" xfId="0" applyNumberFormat="1" applyFont="1" applyFill="1" applyBorder="1" applyProtection="1"/>
    <xf numFmtId="165" fontId="26" fillId="13" borderId="77" xfId="0" applyNumberFormat="1" applyFont="1" applyFill="1" applyBorder="1" applyProtection="1"/>
    <xf numFmtId="165" fontId="26" fillId="13" borderId="79" xfId="0" applyNumberFormat="1" applyFont="1" applyFill="1" applyBorder="1" applyProtection="1"/>
    <xf numFmtId="165" fontId="26" fillId="13" borderId="0" xfId="0" applyNumberFormat="1" applyFont="1" applyFill="1" applyBorder="1" applyProtection="1"/>
    <xf numFmtId="165" fontId="26" fillId="13" borderId="7" xfId="0" applyNumberFormat="1" applyFont="1" applyFill="1" applyBorder="1" applyProtection="1"/>
    <xf numFmtId="165" fontId="26" fillId="13" borderId="51" xfId="0" applyNumberFormat="1" applyFont="1" applyFill="1" applyBorder="1" applyProtection="1"/>
    <xf numFmtId="165" fontId="26" fillId="13" borderId="75" xfId="0" applyNumberFormat="1" applyFont="1" applyFill="1" applyBorder="1" applyProtection="1"/>
    <xf numFmtId="0" fontId="26" fillId="13" borderId="91" xfId="0" applyNumberFormat="1" applyFont="1" applyFill="1" applyBorder="1" applyProtection="1"/>
    <xf numFmtId="0" fontId="26"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5" fillId="0" borderId="0" xfId="0" applyFont="1" applyProtection="1"/>
    <xf numFmtId="0" fontId="15" fillId="0" borderId="78" xfId="0" applyFont="1" applyBorder="1" applyProtection="1"/>
    <xf numFmtId="0" fontId="15" fillId="0" borderId="77" xfId="0" applyFont="1" applyBorder="1" applyProtection="1"/>
    <xf numFmtId="0" fontId="15" fillId="0" borderId="8" xfId="0" applyFont="1" applyBorder="1" applyProtection="1"/>
    <xf numFmtId="0" fontId="15" fillId="0" borderId="0" xfId="0" applyFont="1" applyBorder="1" applyProtection="1"/>
    <xf numFmtId="0" fontId="15" fillId="0" borderId="0" xfId="0" applyFont="1" applyBorder="1" applyAlignment="1" applyProtection="1">
      <alignment horizontal="center"/>
    </xf>
    <xf numFmtId="0" fontId="15" fillId="0" borderId="7" xfId="0" applyFont="1" applyBorder="1" applyAlignment="1" applyProtection="1">
      <alignment horizontal="center"/>
    </xf>
    <xf numFmtId="0" fontId="15" fillId="0" borderId="78" xfId="0" applyFont="1" applyFill="1" applyBorder="1" applyAlignment="1" applyProtection="1">
      <alignment horizontal="right"/>
    </xf>
    <xf numFmtId="0" fontId="15" fillId="0" borderId="77" xfId="0" applyFont="1" applyFill="1" applyBorder="1" applyAlignment="1" applyProtection="1">
      <alignment horizontal="right"/>
    </xf>
    <xf numFmtId="0" fontId="15" fillId="0" borderId="79" xfId="0" applyFont="1" applyFill="1" applyBorder="1" applyAlignment="1" applyProtection="1">
      <alignment horizontal="right"/>
    </xf>
    <xf numFmtId="0" fontId="15" fillId="0" borderId="8" xfId="0" applyFont="1" applyFill="1" applyBorder="1" applyAlignment="1" applyProtection="1">
      <alignment horizontal="right"/>
    </xf>
    <xf numFmtId="0" fontId="15" fillId="0" borderId="0" xfId="0" applyFont="1" applyFill="1" applyBorder="1" applyAlignment="1" applyProtection="1">
      <alignment horizontal="right"/>
    </xf>
    <xf numFmtId="0" fontId="15" fillId="0" borderId="7" xfId="0" applyFont="1" applyFill="1" applyBorder="1" applyAlignment="1" applyProtection="1">
      <alignment horizontal="right"/>
    </xf>
    <xf numFmtId="0" fontId="15" fillId="0" borderId="7" xfId="0" applyFont="1" applyBorder="1" applyProtection="1"/>
    <xf numFmtId="0" fontId="15" fillId="0" borderId="51" xfId="0" applyFont="1" applyBorder="1" applyProtection="1"/>
    <xf numFmtId="0" fontId="15" fillId="3" borderId="80" xfId="0" applyFont="1" applyFill="1" applyBorder="1" applyProtection="1"/>
    <xf numFmtId="0" fontId="15" fillId="3" borderId="51" xfId="0" applyFont="1" applyFill="1" applyBorder="1" applyProtection="1"/>
    <xf numFmtId="0" fontId="15"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5" fillId="0" borderId="52" xfId="0" applyFont="1" applyBorder="1" applyProtection="1"/>
    <xf numFmtId="0" fontId="15" fillId="0" borderId="77" xfId="0" applyFont="1" applyBorder="1" applyAlignment="1" applyProtection="1">
      <alignment horizontal="center"/>
    </xf>
    <xf numFmtId="0" fontId="15" fillId="0" borderId="79" xfId="0" applyFont="1" applyBorder="1" applyAlignment="1" applyProtection="1">
      <alignment horizontal="center"/>
    </xf>
    <xf numFmtId="0" fontId="15" fillId="0" borderId="61" xfId="0" applyFont="1" applyBorder="1" applyProtection="1"/>
    <xf numFmtId="0" fontId="15" fillId="0" borderId="9" xfId="0" applyFont="1" applyBorder="1" applyProtection="1"/>
    <xf numFmtId="0" fontId="15" fillId="0" borderId="83" xfId="0" applyFont="1" applyBorder="1" applyProtection="1"/>
    <xf numFmtId="0" fontId="15" fillId="0" borderId="48" xfId="0" applyFont="1" applyBorder="1" applyProtection="1"/>
    <xf numFmtId="0" fontId="15" fillId="0" borderId="1" xfId="0" applyFont="1" applyBorder="1" applyProtection="1"/>
    <xf numFmtId="0" fontId="15" fillId="0" borderId="4" xfId="0" applyFont="1" applyBorder="1" applyProtection="1"/>
    <xf numFmtId="0" fontId="15" fillId="0" borderId="53" xfId="0" applyFont="1" applyBorder="1" applyProtection="1"/>
    <xf numFmtId="0" fontId="15" fillId="0" borderId="54" xfId="0" applyFont="1" applyBorder="1" applyProtection="1"/>
    <xf numFmtId="0" fontId="15" fillId="0" borderId="49" xfId="0" applyFont="1" applyBorder="1" applyProtection="1"/>
    <xf numFmtId="0" fontId="15" fillId="0" borderId="2" xfId="0" applyFont="1" applyBorder="1" applyProtection="1"/>
    <xf numFmtId="0" fontId="15" fillId="0" borderId="3" xfId="0" applyFont="1" applyBorder="1" applyProtection="1"/>
    <xf numFmtId="0" fontId="15" fillId="0" borderId="84" xfId="0" applyFont="1" applyBorder="1" applyAlignment="1" applyProtection="1">
      <alignment horizontal="right"/>
    </xf>
    <xf numFmtId="0" fontId="15" fillId="0" borderId="85" xfId="0" applyFont="1" applyBorder="1" applyAlignment="1" applyProtection="1">
      <alignment horizontal="left"/>
    </xf>
    <xf numFmtId="0" fontId="15" fillId="0" borderId="0" xfId="0" applyFont="1" applyBorder="1" applyAlignment="1" applyProtection="1">
      <alignment horizontal="left"/>
    </xf>
    <xf numFmtId="0" fontId="15" fillId="0" borderId="68" xfId="0" applyFont="1" applyBorder="1" applyProtection="1"/>
    <xf numFmtId="0" fontId="15" fillId="0" borderId="81" xfId="0" applyFont="1" applyBorder="1" applyProtection="1"/>
    <xf numFmtId="0" fontId="15" fillId="0" borderId="0" xfId="0" applyFont="1" applyAlignment="1" applyProtection="1">
      <alignment horizontal="right"/>
    </xf>
    <xf numFmtId="0" fontId="15" fillId="0" borderId="0" xfId="0" applyFont="1" applyAlignment="1" applyProtection="1">
      <alignment horizontal="left"/>
    </xf>
    <xf numFmtId="0" fontId="24" fillId="0" borderId="86" xfId="0" applyFont="1" applyBorder="1" applyAlignment="1" applyProtection="1">
      <alignment horizontal="right"/>
    </xf>
    <xf numFmtId="0" fontId="25" fillId="0" borderId="87" xfId="0" applyFont="1" applyBorder="1" applyAlignment="1" applyProtection="1">
      <alignment horizontal="left" vertical="center"/>
    </xf>
    <xf numFmtId="0" fontId="25"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3" fillId="0" borderId="0" xfId="0" applyFont="1" applyFill="1" applyBorder="1" applyProtection="1"/>
    <xf numFmtId="0" fontId="12" fillId="0" borderId="96" xfId="3" quotePrefix="1" applyFont="1" applyFill="1" applyBorder="1" applyAlignment="1" applyProtection="1">
      <alignment horizontal="center" vertical="center" wrapText="1"/>
    </xf>
    <xf numFmtId="0" fontId="12" fillId="0" borderId="11" xfId="3" quotePrefix="1" applyFont="1" applyFill="1" applyBorder="1" applyAlignment="1" applyProtection="1">
      <alignment horizontal="center" vertical="center"/>
    </xf>
    <xf numFmtId="0" fontId="12" fillId="0" borderId="11" xfId="3" applyFont="1" applyFill="1" applyBorder="1" applyAlignment="1" applyProtection="1">
      <alignment horizontal="center" vertical="center"/>
    </xf>
    <xf numFmtId="0" fontId="12" fillId="0" borderId="12" xfId="3" applyFont="1" applyFill="1" applyBorder="1" applyAlignment="1" applyProtection="1">
      <alignment horizontal="center" vertical="center"/>
    </xf>
    <xf numFmtId="0" fontId="12" fillId="0" borderId="12" xfId="3" quotePrefix="1" applyFont="1" applyFill="1" applyBorder="1" applyAlignment="1" applyProtection="1">
      <alignment horizontal="center" vertical="center"/>
    </xf>
    <xf numFmtId="0" fontId="12" fillId="0" borderId="22" xfId="3" quotePrefix="1" applyFont="1" applyFill="1" applyBorder="1" applyAlignment="1" applyProtection="1">
      <alignment horizontal="center" vertical="center"/>
    </xf>
    <xf numFmtId="0" fontId="12" fillId="0" borderId="23" xfId="3" quotePrefix="1" applyFont="1" applyFill="1" applyBorder="1" applyAlignment="1" applyProtection="1">
      <alignment horizontal="center" vertical="center"/>
    </xf>
    <xf numFmtId="0" fontId="12"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2"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2"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2"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4" xfId="2" applyFill="1" applyBorder="1" applyProtection="1"/>
    <xf numFmtId="0" fontId="9" fillId="0" borderId="0" xfId="2" applyFill="1" applyBorder="1" applyProtection="1"/>
    <xf numFmtId="0" fontId="9" fillId="0" borderId="95" xfId="2" applyFill="1" applyBorder="1" applyProtection="1"/>
    <xf numFmtId="0" fontId="12" fillId="0" borderId="96" xfId="2" applyFont="1" applyFill="1" applyBorder="1" applyAlignment="1" applyProtection="1">
      <alignment horizontal="center"/>
    </xf>
    <xf numFmtId="0" fontId="12" fillId="0" borderId="11" xfId="2" applyFont="1" applyFill="1" applyBorder="1" applyAlignment="1" applyProtection="1">
      <alignment horizontal="center"/>
    </xf>
    <xf numFmtId="0" fontId="12" fillId="0" borderId="12" xfId="2" applyFont="1" applyFill="1" applyBorder="1" applyAlignment="1" applyProtection="1">
      <alignment horizontal="center"/>
    </xf>
    <xf numFmtId="0" fontId="12" fillId="0" borderId="97"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2" fillId="0" borderId="98"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2" fillId="0" borderId="99"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0" xfId="2" applyFill="1" applyBorder="1" applyProtection="1"/>
    <xf numFmtId="0" fontId="9" fillId="0" borderId="101" xfId="2" applyFill="1" applyBorder="1" applyProtection="1"/>
    <xf numFmtId="0" fontId="9" fillId="0" borderId="102" xfId="2" applyFill="1" applyBorder="1" applyProtection="1"/>
    <xf numFmtId="0" fontId="10" fillId="0" borderId="92" xfId="3" applyFont="1" applyFill="1" applyBorder="1" applyAlignment="1" applyProtection="1">
      <alignment horizontal="center"/>
    </xf>
    <xf numFmtId="0" fontId="1" fillId="0" borderId="93" xfId="3" applyFill="1" applyBorder="1" applyProtection="1"/>
    <xf numFmtId="164" fontId="12" fillId="0" borderId="104" xfId="3" applyNumberFormat="1" applyFont="1" applyFill="1" applyBorder="1" applyAlignment="1" applyProtection="1">
      <alignment horizontal="center"/>
    </xf>
    <xf numFmtId="0" fontId="0" fillId="0" borderId="100" xfId="0" applyFill="1" applyBorder="1" applyProtection="1"/>
    <xf numFmtId="0" fontId="10" fillId="0" borderId="105" xfId="2" applyFont="1" applyFill="1" applyBorder="1" applyAlignment="1" applyProtection="1">
      <alignment horizontal="center" wrapText="1"/>
    </xf>
    <xf numFmtId="0" fontId="12"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1" fillId="0" borderId="0" xfId="2" applyFont="1" applyFill="1" applyBorder="1" applyProtection="1"/>
    <xf numFmtId="165" fontId="9" fillId="0" borderId="67" xfId="2" applyNumberFormat="1" applyFont="1" applyFill="1" applyBorder="1" applyAlignment="1" applyProtection="1">
      <alignment horizontal="center"/>
    </xf>
    <xf numFmtId="0" fontId="12" fillId="0" borderId="103"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2" fillId="0" borderId="106"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2"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120" xfId="2" applyNumberFormat="1" applyFont="1" applyFill="1" applyBorder="1" applyAlignment="1" applyProtection="1">
      <alignment horizontal="center"/>
    </xf>
    <xf numFmtId="165" fontId="9" fillId="0" borderId="121" xfId="2" applyNumberFormat="1" applyFont="1" applyFill="1" applyBorder="1" applyAlignment="1" applyProtection="1">
      <alignment horizontal="center"/>
    </xf>
    <xf numFmtId="165" fontId="9" fillId="0" borderId="122"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2" fillId="0" borderId="105" xfId="2" applyFont="1" applyFill="1" applyBorder="1" applyAlignment="1" applyProtection="1">
      <alignment horizontal="center" wrapText="1"/>
    </xf>
    <xf numFmtId="0" fontId="13" fillId="0" borderId="0" xfId="0" applyFont="1" applyFill="1" applyProtection="1"/>
    <xf numFmtId="0" fontId="12" fillId="0" borderId="10" xfId="3" quotePrefix="1" applyFont="1" applyFill="1" applyBorder="1" applyAlignment="1" applyProtection="1">
      <alignment horizontal="center" vertical="center" wrapText="1"/>
    </xf>
    <xf numFmtId="164" fontId="12" fillId="0" borderId="13" xfId="3" applyNumberFormat="1" applyFont="1" applyFill="1" applyBorder="1" applyAlignment="1" applyProtection="1">
      <alignment horizontal="center"/>
    </xf>
    <xf numFmtId="164" fontId="12" fillId="0" borderId="16" xfId="3" applyNumberFormat="1" applyFont="1" applyFill="1" applyBorder="1" applyAlignment="1" applyProtection="1">
      <alignment horizontal="center"/>
    </xf>
    <xf numFmtId="164" fontId="12" fillId="0" borderId="19" xfId="3" applyNumberFormat="1" applyFont="1" applyFill="1" applyBorder="1" applyAlignment="1" applyProtection="1">
      <alignment horizontal="center"/>
    </xf>
    <xf numFmtId="0" fontId="12" fillId="0" borderId="10" xfId="2" applyFont="1" applyFill="1" applyBorder="1" applyAlignment="1" applyProtection="1">
      <alignment horizontal="center"/>
    </xf>
    <xf numFmtId="0" fontId="12" fillId="0" borderId="13" xfId="2" applyFont="1" applyFill="1" applyBorder="1" applyAlignment="1" applyProtection="1">
      <alignment horizontal="center"/>
    </xf>
    <xf numFmtId="0" fontId="12" fillId="0" borderId="16" xfId="2" applyFont="1" applyFill="1" applyBorder="1" applyAlignment="1" applyProtection="1">
      <alignment horizontal="center"/>
    </xf>
    <xf numFmtId="0" fontId="12" fillId="0" borderId="19" xfId="2" applyFont="1" applyFill="1" applyBorder="1" applyAlignment="1" applyProtection="1">
      <alignment horizontal="center"/>
    </xf>
    <xf numFmtId="164" fontId="12" fillId="0" borderId="46" xfId="3" applyNumberFormat="1" applyFont="1" applyFill="1" applyBorder="1" applyAlignment="1" applyProtection="1">
      <alignment horizontal="center"/>
    </xf>
    <xf numFmtId="0" fontId="12" fillId="0" borderId="70" xfId="2" applyFont="1" applyFill="1" applyBorder="1" applyAlignment="1" applyProtection="1">
      <alignment horizontal="center"/>
    </xf>
    <xf numFmtId="0" fontId="11" fillId="0" borderId="0" xfId="2" applyFont="1" applyFill="1" applyProtection="1"/>
    <xf numFmtId="0" fontId="12" fillId="0" borderId="72" xfId="2" applyFont="1" applyFill="1" applyBorder="1" applyAlignment="1" applyProtection="1">
      <alignment horizontal="center"/>
    </xf>
    <xf numFmtId="0" fontId="12" fillId="0" borderId="73" xfId="2" applyFont="1" applyFill="1" applyBorder="1" applyAlignment="1" applyProtection="1">
      <alignment horizontal="center"/>
    </xf>
    <xf numFmtId="0" fontId="12" fillId="0" borderId="74" xfId="2" applyFont="1" applyFill="1" applyBorder="1" applyAlignment="1" applyProtection="1">
      <alignment horizontal="center"/>
    </xf>
    <xf numFmtId="164" fontId="13" fillId="10" borderId="128" xfId="7" applyNumberFormat="1" applyFont="1" applyAlignment="1" applyProtection="1">
      <alignment horizontal="center"/>
    </xf>
    <xf numFmtId="0" fontId="1" fillId="25" borderId="1" xfId="0" applyFont="1" applyFill="1" applyBorder="1" applyAlignment="1" applyProtection="1">
      <alignment horizontal="center"/>
    </xf>
    <xf numFmtId="0" fontId="31" fillId="0" borderId="137" xfId="0" applyFont="1" applyBorder="1" applyAlignment="1" applyProtection="1">
      <alignment horizontal="center" vertical="center" wrapText="1"/>
    </xf>
    <xf numFmtId="164" fontId="52" fillId="0" borderId="0" xfId="0" applyNumberFormat="1" applyFont="1" applyFill="1" applyAlignment="1" applyProtection="1">
      <alignment horizontal="center"/>
    </xf>
    <xf numFmtId="0" fontId="31" fillId="0" borderId="63" xfId="0" applyFont="1" applyBorder="1" applyAlignment="1" applyProtection="1">
      <alignment vertical="center"/>
    </xf>
    <xf numFmtId="0" fontId="31" fillId="0" borderId="1" xfId="0" applyFont="1" applyBorder="1" applyAlignment="1" applyProtection="1">
      <alignment vertical="center"/>
    </xf>
    <xf numFmtId="0" fontId="31" fillId="0" borderId="62" xfId="0" applyFont="1" applyBorder="1" applyAlignment="1" applyProtection="1">
      <alignment vertical="center"/>
    </xf>
    <xf numFmtId="0" fontId="31" fillId="0" borderId="1" xfId="0" applyFont="1" applyFill="1" applyBorder="1" applyAlignment="1" applyProtection="1">
      <alignment vertical="center"/>
    </xf>
    <xf numFmtId="0" fontId="31" fillId="3" borderId="63" xfId="0" applyFont="1" applyFill="1" applyBorder="1" applyAlignment="1" applyProtection="1">
      <alignment horizontal="center" vertical="center" wrapText="1"/>
      <protection locked="0"/>
    </xf>
    <xf numFmtId="0" fontId="31" fillId="27" borderId="62" xfId="0" applyFont="1" applyFill="1" applyBorder="1" applyAlignment="1" applyProtection="1">
      <alignment horizontal="center" vertical="center" wrapText="1"/>
    </xf>
    <xf numFmtId="164" fontId="31" fillId="26" borderId="1" xfId="0" applyNumberFormat="1" applyFont="1" applyFill="1" applyBorder="1" applyAlignment="1" applyProtection="1">
      <alignment horizontal="center" vertical="center" wrapText="1"/>
      <protection locked="0"/>
    </xf>
    <xf numFmtId="164" fontId="31" fillId="11" borderId="128" xfId="7" applyNumberFormat="1" applyFont="1" applyFill="1" applyBorder="1" applyAlignment="1" applyProtection="1">
      <alignment horizontal="center" vertical="center" wrapText="1"/>
    </xf>
    <xf numFmtId="164" fontId="31" fillId="3" borderId="63" xfId="0" applyNumberFormat="1" applyFont="1" applyFill="1" applyBorder="1" applyAlignment="1" applyProtection="1">
      <alignment horizontal="center" vertical="center" wrapText="1"/>
      <protection locked="0"/>
    </xf>
    <xf numFmtId="0" fontId="31" fillId="26" borderId="138" xfId="0" applyFont="1" applyFill="1" applyBorder="1" applyAlignment="1" applyProtection="1">
      <alignment horizontal="center" vertical="center" wrapText="1"/>
      <protection locked="0"/>
    </xf>
    <xf numFmtId="0" fontId="31" fillId="26" borderId="1" xfId="0" applyFont="1" applyFill="1" applyBorder="1" applyAlignment="1" applyProtection="1">
      <alignment horizontal="center" vertical="center" wrapText="1"/>
      <protection locked="0"/>
    </xf>
    <xf numFmtId="164" fontId="31" fillId="19" borderId="1" xfId="0" applyNumberFormat="1" applyFont="1" applyFill="1" applyBorder="1" applyAlignment="1" applyProtection="1">
      <alignment horizontal="center" vertical="center" wrapText="1"/>
    </xf>
    <xf numFmtId="165" fontId="31" fillId="11" borderId="63" xfId="0" applyNumberFormat="1" applyFont="1" applyFill="1" applyBorder="1" applyAlignment="1" applyProtection="1">
      <alignment horizontal="center" vertical="center" wrapText="1"/>
    </xf>
    <xf numFmtId="165" fontId="31" fillId="11" borderId="1" xfId="0" applyNumberFormat="1" applyFont="1" applyFill="1" applyBorder="1" applyAlignment="1" applyProtection="1">
      <alignment horizontal="center" vertical="center" wrapText="1"/>
    </xf>
    <xf numFmtId="2" fontId="31" fillId="11" borderId="62" xfId="0" applyNumberFormat="1" applyFont="1" applyFill="1" applyBorder="1" applyAlignment="1" applyProtection="1">
      <alignment horizontal="center" vertical="center" wrapText="1"/>
    </xf>
    <xf numFmtId="0" fontId="51" fillId="0" borderId="138" xfId="0" applyFont="1" applyFill="1" applyBorder="1" applyAlignment="1" applyProtection="1">
      <alignment horizontal="center" vertical="center"/>
      <protection locked="0"/>
    </xf>
    <xf numFmtId="164" fontId="31" fillId="0" borderId="1" xfId="0" applyNumberFormat="1" applyFont="1" applyFill="1" applyBorder="1" applyAlignment="1" applyProtection="1">
      <alignment horizontal="center" vertical="center" wrapText="1"/>
    </xf>
    <xf numFmtId="0" fontId="31" fillId="0" borderId="5" xfId="0" applyFont="1" applyBorder="1" applyAlignment="1" applyProtection="1">
      <alignment vertical="center"/>
    </xf>
    <xf numFmtId="164" fontId="31" fillId="26" borderId="5" xfId="0" applyNumberFormat="1" applyFont="1" applyFill="1" applyBorder="1" applyAlignment="1" applyProtection="1">
      <alignment horizontal="center" vertical="center" wrapText="1"/>
      <protection locked="0"/>
    </xf>
    <xf numFmtId="0" fontId="31" fillId="0" borderId="5" xfId="0" applyFont="1" applyBorder="1" applyProtection="1"/>
    <xf numFmtId="164" fontId="31" fillId="26" borderId="5" xfId="0" applyNumberFormat="1" applyFont="1" applyFill="1" applyBorder="1" applyAlignment="1" applyProtection="1">
      <alignment horizontal="center"/>
      <protection locked="0"/>
    </xf>
    <xf numFmtId="0" fontId="31"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3" fillId="0" borderId="1" xfId="0" applyNumberFormat="1" applyFont="1" applyBorder="1" applyAlignment="1" applyProtection="1">
      <alignment horizontal="center"/>
    </xf>
    <xf numFmtId="164" fontId="13" fillId="25" borderId="0" xfId="0" applyNumberFormat="1" applyFont="1" applyFill="1" applyAlignment="1" applyProtection="1">
      <alignment horizontal="center"/>
    </xf>
    <xf numFmtId="164" fontId="54" fillId="0" borderId="0" xfId="0" applyNumberFormat="1" applyFont="1" applyFill="1" applyAlignment="1" applyProtection="1">
      <alignment horizontal="center"/>
    </xf>
    <xf numFmtId="165" fontId="48" fillId="26" borderId="1" xfId="0" applyNumberFormat="1" applyFont="1" applyFill="1" applyBorder="1" applyAlignment="1" applyProtection="1">
      <alignment horizontal="center" vertical="center" wrapText="1"/>
      <protection locked="0"/>
    </xf>
    <xf numFmtId="164" fontId="48" fillId="10" borderId="128" xfId="7" applyNumberFormat="1" applyFont="1" applyBorder="1" applyAlignment="1" applyProtection="1">
      <alignment horizontal="center" vertical="center" wrapText="1"/>
    </xf>
    <xf numFmtId="164" fontId="48" fillId="18" borderId="147" xfId="7" applyNumberFormat="1" applyFont="1" applyFill="1" applyBorder="1" applyAlignment="1" applyProtection="1">
      <alignment horizontal="center" vertical="center" wrapText="1"/>
    </xf>
    <xf numFmtId="164" fontId="48" fillId="18" borderId="147" xfId="0" applyNumberFormat="1" applyFont="1" applyFill="1" applyBorder="1" applyAlignment="1" applyProtection="1">
      <alignment horizontal="center" vertical="center" wrapText="1"/>
    </xf>
    <xf numFmtId="164" fontId="48" fillId="10" borderId="142" xfId="7" applyNumberFormat="1" applyFont="1" applyBorder="1" applyAlignment="1" applyProtection="1">
      <alignment horizontal="center" vertical="center" wrapText="1"/>
    </xf>
    <xf numFmtId="164" fontId="48" fillId="10" borderId="62" xfId="7" applyNumberFormat="1" applyFont="1" applyBorder="1" applyAlignment="1" applyProtection="1">
      <alignment horizontal="center" vertical="center" wrapText="1"/>
    </xf>
    <xf numFmtId="164" fontId="48" fillId="18" borderId="47" xfId="0" applyNumberFormat="1" applyFont="1" applyFill="1" applyBorder="1" applyAlignment="1" applyProtection="1">
      <alignment horizontal="center" vertical="center" wrapText="1"/>
    </xf>
    <xf numFmtId="165" fontId="48" fillId="18" borderId="63" xfId="0" applyNumberFormat="1" applyFont="1" applyFill="1" applyBorder="1" applyAlignment="1" applyProtection="1">
      <alignment horizontal="center" vertical="center" wrapText="1"/>
    </xf>
    <xf numFmtId="164" fontId="48" fillId="18" borderId="1" xfId="0" applyNumberFormat="1" applyFont="1" applyFill="1" applyBorder="1" applyAlignment="1" applyProtection="1">
      <alignment horizontal="center" vertical="center" wrapText="1"/>
    </xf>
    <xf numFmtId="1" fontId="48" fillId="18" borderId="62" xfId="0" applyNumberFormat="1" applyFont="1" applyFill="1" applyBorder="1" applyAlignment="1" applyProtection="1">
      <alignment horizontal="center" vertical="center" wrapText="1"/>
    </xf>
    <xf numFmtId="0" fontId="31" fillId="0" borderId="92" xfId="0" applyFont="1" applyFill="1" applyBorder="1" applyProtection="1"/>
    <xf numFmtId="0" fontId="31" fillId="0" borderId="92" xfId="0" applyFont="1" applyFill="1" applyBorder="1" applyAlignment="1" applyProtection="1">
      <alignment horizontal="center"/>
    </xf>
    <xf numFmtId="0" fontId="31" fillId="0" borderId="101" xfId="0" applyFont="1" applyFill="1" applyBorder="1" applyProtection="1"/>
    <xf numFmtId="0" fontId="31" fillId="0" borderId="165" xfId="0" applyFont="1" applyFill="1" applyBorder="1" applyAlignment="1" applyProtection="1">
      <alignment vertical="center"/>
    </xf>
    <xf numFmtId="164" fontId="31" fillId="0" borderId="165" xfId="0" applyNumberFormat="1" applyFont="1" applyFill="1" applyBorder="1" applyAlignment="1" applyProtection="1">
      <alignment horizontal="center" vertical="center" wrapText="1"/>
    </xf>
    <xf numFmtId="0" fontId="31" fillId="17" borderId="165" xfId="0" applyFont="1" applyFill="1" applyBorder="1" applyAlignment="1" applyProtection="1">
      <alignment vertical="center"/>
    </xf>
    <xf numFmtId="0" fontId="31" fillId="17" borderId="165" xfId="0" applyFont="1" applyFill="1" applyBorder="1" applyAlignment="1" applyProtection="1">
      <alignment horizontal="center" vertical="center" wrapText="1"/>
    </xf>
    <xf numFmtId="0" fontId="31" fillId="0" borderId="92" xfId="0" applyFont="1" applyFill="1" applyBorder="1" applyAlignment="1" applyProtection="1">
      <alignment vertical="center"/>
    </xf>
    <xf numFmtId="165" fontId="41" fillId="0" borderId="92" xfId="0" applyNumberFormat="1" applyFont="1" applyFill="1" applyBorder="1" applyAlignment="1" applyProtection="1">
      <alignment horizontal="center" vertical="center" wrapText="1"/>
    </xf>
    <xf numFmtId="0" fontId="31" fillId="0" borderId="101" xfId="0" applyFont="1" applyFill="1" applyBorder="1" applyAlignment="1" applyProtection="1">
      <alignment vertical="center"/>
    </xf>
    <xf numFmtId="165" fontId="41" fillId="0" borderId="101" xfId="0" applyNumberFormat="1" applyFont="1" applyFill="1" applyBorder="1" applyAlignment="1" applyProtection="1">
      <alignment horizontal="center" vertical="center" wrapText="1"/>
    </xf>
    <xf numFmtId="0" fontId="31" fillId="0" borderId="166" xfId="0" applyFont="1" applyFill="1" applyBorder="1" applyAlignment="1" applyProtection="1">
      <alignment vertical="center"/>
    </xf>
    <xf numFmtId="0" fontId="31"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20" fillId="0" borderId="0" xfId="0" applyFont="1" applyBorder="1" applyAlignment="1" applyProtection="1">
      <alignment horizontal="left"/>
    </xf>
    <xf numFmtId="165" fontId="48"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31" fillId="26" borderId="111" xfId="0" applyFont="1" applyFill="1" applyBorder="1" applyAlignment="1" applyProtection="1">
      <alignment horizontal="center"/>
    </xf>
    <xf numFmtId="0" fontId="31" fillId="0" borderId="129" xfId="0" applyFont="1" applyBorder="1" applyProtection="1"/>
    <xf numFmtId="0" fontId="31" fillId="0" borderId="132" xfId="0" applyFont="1" applyBorder="1" applyProtection="1"/>
    <xf numFmtId="0" fontId="31" fillId="0" borderId="88" xfId="0" applyFont="1" applyFill="1" applyBorder="1" applyProtection="1"/>
    <xf numFmtId="0" fontId="31" fillId="0" borderId="51" xfId="0" applyFont="1" applyBorder="1" applyProtection="1"/>
    <xf numFmtId="0" fontId="31" fillId="0" borderId="0" xfId="0" applyFont="1" applyFill="1" applyBorder="1" applyAlignment="1" applyProtection="1"/>
    <xf numFmtId="0" fontId="13" fillId="0" borderId="110" xfId="0" applyFont="1" applyBorder="1" applyAlignment="1" applyProtection="1">
      <alignment horizontal="center"/>
    </xf>
    <xf numFmtId="0" fontId="31" fillId="0" borderId="88" xfId="0" applyFont="1" applyBorder="1" applyProtection="1"/>
    <xf numFmtId="0" fontId="31" fillId="0" borderId="75" xfId="0" applyFont="1" applyBorder="1" applyAlignment="1" applyProtection="1">
      <alignment horizontal="center"/>
    </xf>
    <xf numFmtId="0" fontId="31" fillId="0" borderId="107" xfId="0" applyFont="1" applyBorder="1" applyAlignment="1" applyProtection="1">
      <alignment horizontal="center"/>
    </xf>
    <xf numFmtId="0" fontId="31" fillId="0" borderId="65" xfId="0" applyFont="1" applyBorder="1" applyProtection="1"/>
    <xf numFmtId="0" fontId="31" fillId="5" borderId="65" xfId="0" applyFont="1" applyFill="1" applyBorder="1" applyAlignment="1" applyProtection="1">
      <alignment horizontal="center"/>
    </xf>
    <xf numFmtId="164" fontId="31" fillId="5" borderId="65" xfId="0" applyNumberFormat="1" applyFont="1" applyFill="1" applyBorder="1" applyAlignment="1" applyProtection="1">
      <alignment horizontal="center"/>
    </xf>
    <xf numFmtId="2" fontId="31" fillId="5" borderId="65" xfId="0" applyNumberFormat="1" applyFont="1" applyFill="1" applyBorder="1" applyAlignment="1" applyProtection="1">
      <alignment horizontal="center"/>
    </xf>
    <xf numFmtId="165" fontId="61" fillId="0" borderId="65" xfId="0" applyNumberFormat="1" applyFont="1" applyBorder="1" applyProtection="1"/>
    <xf numFmtId="0" fontId="31" fillId="0" borderId="66" xfId="0" applyFont="1" applyBorder="1" applyProtection="1"/>
    <xf numFmtId="165" fontId="61" fillId="0" borderId="66" xfId="0" applyNumberFormat="1" applyFont="1" applyBorder="1" applyProtection="1"/>
    <xf numFmtId="0" fontId="31" fillId="0" borderId="64" xfId="0" applyFont="1" applyBorder="1" applyProtection="1"/>
    <xf numFmtId="0" fontId="31" fillId="30" borderId="67" xfId="0" applyFont="1" applyFill="1" applyBorder="1" applyProtection="1"/>
    <xf numFmtId="0" fontId="31" fillId="30" borderId="108" xfId="0" applyFont="1" applyFill="1" applyBorder="1" applyProtection="1"/>
    <xf numFmtId="0" fontId="31" fillId="30" borderId="108" xfId="0" applyFont="1" applyFill="1" applyBorder="1" applyAlignment="1" applyProtection="1">
      <alignment horizontal="center"/>
    </xf>
    <xf numFmtId="0" fontId="31" fillId="30" borderId="4" xfId="0" applyFont="1" applyFill="1" applyBorder="1" applyAlignment="1" applyProtection="1">
      <alignment horizontal="center"/>
    </xf>
    <xf numFmtId="0" fontId="31" fillId="30" borderId="4" xfId="0" applyFont="1" applyFill="1" applyBorder="1" applyProtection="1"/>
    <xf numFmtId="165" fontId="61" fillId="30" borderId="109" xfId="0" applyNumberFormat="1" applyFont="1" applyFill="1" applyBorder="1" applyProtection="1"/>
    <xf numFmtId="0" fontId="31" fillId="0" borderId="48" xfId="0" applyFont="1" applyBorder="1" applyProtection="1"/>
    <xf numFmtId="0" fontId="31" fillId="7" borderId="1" xfId="0" applyFont="1" applyFill="1" applyBorder="1" applyAlignment="1" applyProtection="1">
      <alignment horizontal="center"/>
    </xf>
    <xf numFmtId="0" fontId="31" fillId="25" borderId="4" xfId="0" applyFont="1" applyFill="1" applyBorder="1" applyAlignment="1" applyProtection="1">
      <alignment horizontal="center"/>
    </xf>
    <xf numFmtId="0" fontId="31" fillId="0" borderId="49" xfId="0" applyFont="1" applyBorder="1" applyProtection="1"/>
    <xf numFmtId="0" fontId="31" fillId="7" borderId="2" xfId="0" applyFont="1" applyFill="1" applyBorder="1" applyAlignment="1" applyProtection="1">
      <alignment horizontal="center"/>
    </xf>
    <xf numFmtId="0" fontId="31" fillId="25" borderId="3" xfId="0" applyFont="1" applyFill="1" applyBorder="1" applyAlignment="1" applyProtection="1">
      <alignment horizontal="center"/>
    </xf>
    <xf numFmtId="0" fontId="62" fillId="23" borderId="1" xfId="7" applyFont="1" applyFill="1" applyBorder="1" applyAlignment="1" applyProtection="1">
      <alignment horizontal="center"/>
    </xf>
    <xf numFmtId="0" fontId="31" fillId="7" borderId="4" xfId="0" applyFont="1" applyFill="1" applyBorder="1" applyAlignment="1" applyProtection="1">
      <alignment horizontal="center"/>
    </xf>
    <xf numFmtId="0" fontId="31" fillId="12" borderId="2" xfId="0" applyFont="1" applyFill="1" applyBorder="1" applyAlignment="1" applyProtection="1">
      <alignment horizontal="center"/>
    </xf>
    <xf numFmtId="0" fontId="31" fillId="12" borderId="3" xfId="0" applyFont="1" applyFill="1" applyBorder="1" applyAlignment="1" applyProtection="1">
      <alignment horizontal="center"/>
    </xf>
    <xf numFmtId="0" fontId="62" fillId="23" borderId="4" xfId="7" applyFont="1" applyFill="1" applyBorder="1" applyAlignment="1" applyProtection="1">
      <alignment horizontal="center"/>
    </xf>
    <xf numFmtId="0" fontId="13" fillId="20" borderId="76" xfId="0" applyFont="1" applyFill="1" applyBorder="1" applyAlignment="1" applyProtection="1"/>
    <xf numFmtId="1" fontId="31" fillId="3" borderId="65" xfId="0" applyNumberFormat="1" applyFont="1" applyFill="1" applyBorder="1" applyProtection="1"/>
    <xf numFmtId="1" fontId="31" fillId="3" borderId="66" xfId="0" applyNumberFormat="1" applyFont="1" applyFill="1" applyBorder="1" applyProtection="1"/>
    <xf numFmtId="0" fontId="31" fillId="0" borderId="48" xfId="0" applyFont="1" applyFill="1" applyBorder="1" applyProtection="1"/>
    <xf numFmtId="0" fontId="31" fillId="8" borderId="4" xfId="0" applyFont="1" applyFill="1" applyBorder="1" applyAlignment="1" applyProtection="1"/>
    <xf numFmtId="0" fontId="31" fillId="0" borderId="49" xfId="0" applyFont="1" applyFill="1" applyBorder="1" applyProtection="1"/>
    <xf numFmtId="0" fontId="31" fillId="6" borderId="3" xfId="0" applyFont="1" applyFill="1" applyBorder="1" applyAlignment="1" applyProtection="1">
      <protection locked="0"/>
    </xf>
    <xf numFmtId="1" fontId="13" fillId="2" borderId="48" xfId="0" applyNumberFormat="1" applyFont="1" applyFill="1" applyBorder="1" applyAlignment="1" applyProtection="1">
      <alignment horizontal="center"/>
    </xf>
    <xf numFmtId="1" fontId="13" fillId="2" borderId="1" xfId="0" applyNumberFormat="1" applyFont="1" applyFill="1" applyBorder="1" applyAlignment="1" applyProtection="1">
      <alignment horizontal="center"/>
    </xf>
    <xf numFmtId="1" fontId="13" fillId="2" borderId="4" xfId="0" applyNumberFormat="1" applyFont="1" applyFill="1" applyBorder="1" applyAlignment="1" applyProtection="1">
      <alignment horizontal="center"/>
    </xf>
    <xf numFmtId="1" fontId="31" fillId="2" borderId="1" xfId="0" applyNumberFormat="1" applyFont="1" applyFill="1" applyBorder="1" applyAlignment="1" applyProtection="1">
      <alignment horizontal="center"/>
    </xf>
    <xf numFmtId="1" fontId="31" fillId="2" borderId="4" xfId="0" applyNumberFormat="1" applyFont="1" applyFill="1" applyBorder="1" applyAlignment="1" applyProtection="1">
      <alignment horizontal="center"/>
    </xf>
    <xf numFmtId="1" fontId="13" fillId="2" borderId="49" xfId="0" applyNumberFormat="1" applyFont="1" applyFill="1" applyBorder="1" applyAlignment="1" applyProtection="1">
      <alignment horizontal="center"/>
    </xf>
    <xf numFmtId="1" fontId="31" fillId="2" borderId="2" xfId="0" applyNumberFormat="1" applyFont="1" applyFill="1" applyBorder="1" applyAlignment="1" applyProtection="1">
      <alignment horizontal="center"/>
    </xf>
    <xf numFmtId="1" fontId="31" fillId="2" borderId="3" xfId="0" applyNumberFormat="1" applyFont="1" applyFill="1" applyBorder="1" applyAlignment="1" applyProtection="1">
      <alignment horizontal="center"/>
    </xf>
    <xf numFmtId="0" fontId="31" fillId="3" borderId="65" xfId="0" applyFont="1" applyFill="1" applyBorder="1" applyProtection="1"/>
    <xf numFmtId="0" fontId="31" fillId="3" borderId="66" xfId="0" applyFont="1" applyFill="1" applyBorder="1" applyProtection="1"/>
    <xf numFmtId="0" fontId="61" fillId="21" borderId="1" xfId="0" applyFont="1" applyFill="1" applyBorder="1" applyAlignment="1" applyProtection="1">
      <alignment horizontal="center"/>
    </xf>
    <xf numFmtId="0" fontId="31" fillId="6" borderId="1" xfId="0" applyFont="1" applyFill="1" applyBorder="1" applyAlignment="1" applyProtection="1">
      <alignment horizontal="center"/>
      <protection locked="0"/>
    </xf>
    <xf numFmtId="0" fontId="31" fillId="22" borderId="1" xfId="0" applyFont="1" applyFill="1" applyBorder="1" applyAlignment="1" applyProtection="1">
      <alignment horizontal="center"/>
    </xf>
    <xf numFmtId="0" fontId="1" fillId="7"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6" fillId="23" borderId="4" xfId="0" applyNumberFormat="1" applyFont="1" applyFill="1" applyBorder="1" applyAlignment="1" applyProtection="1">
      <alignment horizontal="center"/>
    </xf>
    <xf numFmtId="165" fontId="26" fillId="23" borderId="4" xfId="0" applyNumberFormat="1" applyFont="1" applyFill="1" applyBorder="1" applyAlignment="1" applyProtection="1">
      <alignment horizontal="center"/>
    </xf>
    <xf numFmtId="164" fontId="26" fillId="23" borderId="3" xfId="0" applyNumberFormat="1" applyFont="1" applyFill="1" applyBorder="1" applyAlignment="1" applyProtection="1">
      <alignment horizontal="center"/>
    </xf>
    <xf numFmtId="0" fontId="61" fillId="21" borderId="4" xfId="0" applyFont="1" applyFill="1" applyBorder="1" applyAlignment="1" applyProtection="1">
      <alignment horizontal="center"/>
    </xf>
    <xf numFmtId="0" fontId="31" fillId="6" borderId="4" xfId="0" applyFont="1" applyFill="1" applyBorder="1" applyAlignment="1" applyProtection="1">
      <alignment horizontal="center"/>
      <protection locked="0"/>
    </xf>
    <xf numFmtId="0" fontId="31" fillId="22" borderId="4" xfId="0" applyFont="1" applyFill="1" applyBorder="1" applyAlignment="1" applyProtection="1">
      <alignment horizontal="center"/>
    </xf>
    <xf numFmtId="0" fontId="1" fillId="16" borderId="3" xfId="0" applyFont="1" applyFill="1" applyBorder="1" applyProtection="1"/>
    <xf numFmtId="0" fontId="1" fillId="7" borderId="1" xfId="0" applyFont="1" applyFill="1" applyBorder="1" applyAlignment="1" applyProtection="1">
      <alignment horizontal="center"/>
    </xf>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1" fillId="0" borderId="172" xfId="0" applyFont="1" applyBorder="1" applyProtection="1"/>
    <xf numFmtId="164" fontId="26" fillId="23" borderId="60" xfId="0" applyNumberFormat="1" applyFont="1" applyFill="1" applyBorder="1" applyAlignment="1" applyProtection="1">
      <alignment horizontal="center"/>
    </xf>
    <xf numFmtId="165" fontId="12" fillId="0" borderId="74" xfId="2" applyNumberFormat="1" applyFont="1" applyFill="1" applyBorder="1" applyAlignment="1" applyProtection="1">
      <alignment horizontal="center"/>
    </xf>
    <xf numFmtId="0" fontId="31" fillId="27" borderId="145" xfId="0" applyFont="1" applyFill="1" applyBorder="1" applyAlignment="1" applyProtection="1">
      <alignment horizontal="center"/>
    </xf>
    <xf numFmtId="0" fontId="31" fillId="0" borderId="136" xfId="0" applyFont="1" applyBorder="1" applyAlignment="1" applyProtection="1">
      <alignment horizontal="center" vertical="center" wrapText="1"/>
    </xf>
    <xf numFmtId="0" fontId="31" fillId="0" borderId="143" xfId="0" applyFont="1" applyBorder="1" applyAlignment="1" applyProtection="1">
      <alignment horizontal="center" vertical="center" wrapText="1"/>
    </xf>
    <xf numFmtId="0" fontId="31" fillId="0" borderId="144" xfId="0" applyFont="1" applyBorder="1" applyAlignment="1" applyProtection="1">
      <alignment horizontal="center" vertical="center" wrapText="1"/>
    </xf>
    <xf numFmtId="0" fontId="31" fillId="0" borderId="137" xfId="0" applyFont="1" applyBorder="1" applyAlignment="1" applyProtection="1">
      <alignment horizontal="center" vertical="center" wrapText="1"/>
    </xf>
    <xf numFmtId="0" fontId="31" fillId="0" borderId="141" xfId="0" applyFont="1" applyBorder="1" applyAlignment="1" applyProtection="1">
      <alignment horizontal="center" vertical="center" wrapText="1"/>
    </xf>
    <xf numFmtId="0" fontId="31" fillId="0" borderId="139" xfId="0" applyFont="1" applyBorder="1" applyAlignment="1" applyProtection="1">
      <alignment horizontal="center" vertical="center" wrapText="1"/>
    </xf>
    <xf numFmtId="0" fontId="31" fillId="3" borderId="63" xfId="0" applyNumberFormat="1" applyFont="1" applyFill="1" applyBorder="1" applyAlignment="1" applyProtection="1">
      <alignment horizontal="center"/>
      <protection locked="0"/>
    </xf>
    <xf numFmtId="49" fontId="31" fillId="3" borderId="1" xfId="0" applyNumberFormat="1" applyFont="1" applyFill="1" applyBorder="1" applyAlignment="1" applyProtection="1">
      <alignment horizontal="center"/>
      <protection locked="0"/>
    </xf>
    <xf numFmtId="1" fontId="31" fillId="26" borderId="62" xfId="0" applyNumberFormat="1" applyFont="1" applyFill="1" applyBorder="1" applyAlignment="1" applyProtection="1">
      <alignment horizontal="center"/>
      <protection locked="0"/>
    </xf>
    <xf numFmtId="0" fontId="31" fillId="3" borderId="62" xfId="0" applyFont="1" applyFill="1" applyBorder="1" applyAlignment="1" applyProtection="1">
      <alignment horizontal="center"/>
      <protection locked="0"/>
    </xf>
    <xf numFmtId="168" fontId="31" fillId="29" borderId="63" xfId="0" applyNumberFormat="1" applyFont="1" applyFill="1" applyBorder="1" applyAlignment="1" applyProtection="1">
      <alignment horizontal="center"/>
      <protection locked="0"/>
    </xf>
    <xf numFmtId="0" fontId="31" fillId="0" borderId="84" xfId="0" applyFont="1" applyBorder="1" applyAlignment="1" applyProtection="1">
      <alignment horizontal="center"/>
    </xf>
    <xf numFmtId="0" fontId="31" fillId="0" borderId="47" xfId="0" applyFont="1" applyBorder="1" applyAlignment="1" applyProtection="1">
      <alignment horizontal="center"/>
    </xf>
    <xf numFmtId="0" fontId="31" fillId="0" borderId="136" xfId="0" applyFont="1" applyBorder="1" applyAlignment="1" applyProtection="1">
      <alignment horizontal="center" wrapText="1"/>
    </xf>
    <xf numFmtId="0" fontId="31" fillId="0" borderId="63" xfId="0" applyFont="1" applyBorder="1" applyAlignment="1" applyProtection="1">
      <alignment horizontal="center" wrapText="1"/>
    </xf>
    <xf numFmtId="0" fontId="31" fillId="0" borderId="140" xfId="0" applyFont="1" applyBorder="1" applyAlignment="1" applyProtection="1">
      <alignment horizontal="center" vertical="center" wrapText="1"/>
    </xf>
    <xf numFmtId="0" fontId="31" fillId="0" borderId="111" xfId="0" applyFont="1" applyBorder="1" applyAlignment="1" applyProtection="1">
      <alignment horizontal="center" vertical="center" wrapText="1"/>
    </xf>
    <xf numFmtId="0" fontId="31" fillId="0" borderId="144" xfId="0" applyFont="1" applyBorder="1" applyAlignment="1" applyProtection="1">
      <alignment horizontal="center"/>
    </xf>
    <xf numFmtId="0" fontId="31" fillId="0" borderId="62" xfId="0" applyFont="1" applyBorder="1" applyAlignment="1" applyProtection="1">
      <alignment horizontal="center"/>
    </xf>
    <xf numFmtId="0" fontId="31" fillId="0" borderId="140" xfId="0" applyFont="1" applyBorder="1" applyAlignment="1" applyProtection="1">
      <alignment horizontal="center"/>
    </xf>
    <xf numFmtId="0" fontId="31" fillId="0" borderId="145" xfId="0" applyFont="1" applyBorder="1" applyAlignment="1" applyProtection="1">
      <alignment horizontal="center"/>
    </xf>
    <xf numFmtId="0" fontId="43" fillId="0" borderId="2" xfId="0" applyFont="1" applyBorder="1" applyAlignment="1" applyProtection="1">
      <alignment horizontal="center"/>
    </xf>
    <xf numFmtId="0" fontId="14" fillId="0" borderId="1" xfId="0" applyFont="1" applyBorder="1" applyAlignment="1" applyProtection="1">
      <alignment horizontal="left"/>
    </xf>
    <xf numFmtId="0" fontId="16" fillId="0" borderId="1" xfId="0" applyFont="1" applyBorder="1" applyAlignment="1" applyProtection="1">
      <alignment horizontal="center" vertical="center" wrapText="1"/>
    </xf>
    <xf numFmtId="0" fontId="14" fillId="0" borderId="1" xfId="0" applyFont="1" applyBorder="1" applyAlignment="1" applyProtection="1">
      <alignment horizontal="center"/>
    </xf>
    <xf numFmtId="0" fontId="14" fillId="0" borderId="68" xfId="0" applyFont="1" applyBorder="1" applyAlignment="1" applyProtection="1">
      <alignment horizontal="center"/>
    </xf>
    <xf numFmtId="0" fontId="14" fillId="0" borderId="112" xfId="0" applyFont="1" applyBorder="1" applyAlignment="1" applyProtection="1">
      <alignment horizontal="center"/>
    </xf>
    <xf numFmtId="0" fontId="14" fillId="0" borderId="1" xfId="0" applyFont="1" applyBorder="1" applyAlignment="1" applyProtection="1">
      <alignment horizontal="center" vertical="center" wrapText="1"/>
    </xf>
    <xf numFmtId="0" fontId="42" fillId="0" borderId="1" xfId="0" applyFont="1" applyBorder="1" applyAlignment="1" applyProtection="1">
      <alignment horizontal="center"/>
    </xf>
    <xf numFmtId="0" fontId="16" fillId="0" borderId="1" xfId="0" applyFont="1" applyBorder="1" applyAlignment="1" applyProtection="1">
      <alignment horizontal="center"/>
    </xf>
    <xf numFmtId="0" fontId="42" fillId="17" borderId="68" xfId="0" applyFont="1" applyFill="1" applyBorder="1" applyAlignment="1" applyProtection="1">
      <alignment horizontal="center" vertical="center" wrapText="1"/>
    </xf>
    <xf numFmtId="0" fontId="42" fillId="17" borderId="112" xfId="0" applyFont="1" applyFill="1" applyBorder="1" applyAlignment="1" applyProtection="1">
      <alignment horizontal="center" vertical="center" wrapText="1"/>
    </xf>
    <xf numFmtId="0" fontId="14" fillId="0" borderId="6" xfId="0" applyFont="1" applyBorder="1" applyAlignment="1" applyProtection="1">
      <alignment horizontal="left"/>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4" fillId="0" borderId="1" xfId="0" applyNumberFormat="1" applyFont="1" applyBorder="1" applyAlignment="1" applyProtection="1">
      <alignment horizontal="left"/>
    </xf>
    <xf numFmtId="0" fontId="21" fillId="0" borderId="51" xfId="0" applyFont="1" applyBorder="1" applyAlignment="1" applyProtection="1">
      <alignment vertical="center"/>
    </xf>
    <xf numFmtId="0" fontId="14" fillId="0" borderId="68" xfId="0" applyFont="1" applyBorder="1" applyAlignment="1" applyProtection="1">
      <alignment horizontal="left"/>
    </xf>
    <xf numFmtId="0" fontId="14" fillId="0" borderId="112" xfId="0" applyFont="1" applyBorder="1" applyAlignment="1" applyProtection="1">
      <alignment horizontal="left"/>
    </xf>
    <xf numFmtId="0" fontId="14"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20" fillId="0" borderId="0" xfId="0" applyFont="1" applyBorder="1" applyAlignment="1" applyProtection="1">
      <alignment horizontal="center"/>
    </xf>
    <xf numFmtId="0" fontId="17" fillId="0" borderId="80" xfId="0" applyFont="1" applyBorder="1" applyAlignment="1" applyProtection="1">
      <alignment horizontal="center"/>
    </xf>
    <xf numFmtId="0" fontId="17" fillId="0" borderId="51" xfId="0" applyFont="1" applyBorder="1" applyAlignment="1" applyProtection="1">
      <alignment horizontal="center"/>
    </xf>
    <xf numFmtId="0" fontId="17" fillId="0" borderId="8" xfId="0" applyFont="1" applyBorder="1" applyAlignment="1" applyProtection="1">
      <alignment horizontal="center"/>
    </xf>
    <xf numFmtId="0" fontId="17" fillId="0" borderId="0" xfId="0" applyFont="1" applyBorder="1" applyAlignment="1" applyProtection="1">
      <alignment horizontal="center"/>
    </xf>
    <xf numFmtId="0" fontId="31" fillId="0" borderId="101" xfId="0" applyFont="1" applyFill="1" applyBorder="1" applyAlignment="1" applyProtection="1">
      <alignment horizontal="center"/>
    </xf>
    <xf numFmtId="0" fontId="31" fillId="26" borderId="62" xfId="0" applyFont="1" applyFill="1" applyBorder="1" applyAlignment="1" applyProtection="1">
      <alignment horizontal="center"/>
      <protection locked="0"/>
    </xf>
    <xf numFmtId="0" fontId="31" fillId="0" borderId="167" xfId="0" applyFont="1" applyBorder="1" applyAlignment="1" applyProtection="1">
      <alignment horizontal="center" vertical="center" wrapText="1"/>
    </xf>
    <xf numFmtId="0" fontId="31" fillId="0" borderId="116" xfId="0" applyFont="1" applyBorder="1" applyAlignment="1" applyProtection="1">
      <alignment horizontal="center" vertical="center" wrapText="1"/>
    </xf>
    <xf numFmtId="0" fontId="31" fillId="0" borderId="94" xfId="0" applyFont="1" applyBorder="1" applyAlignment="1" applyProtection="1">
      <alignment horizontal="center" vertical="center" wrapText="1"/>
    </xf>
    <xf numFmtId="0" fontId="31" fillId="0" borderId="100" xfId="0" applyFont="1" applyBorder="1" applyAlignment="1" applyProtection="1">
      <alignment horizontal="center" vertical="center" wrapText="1"/>
    </xf>
    <xf numFmtId="0" fontId="31" fillId="3" borderId="138" xfId="0" applyNumberFormat="1" applyFont="1" applyFill="1" applyBorder="1" applyAlignment="1" applyProtection="1">
      <alignment horizontal="center"/>
      <protection locked="0"/>
    </xf>
    <xf numFmtId="0" fontId="31" fillId="3" borderId="1" xfId="0" applyNumberFormat="1" applyFont="1" applyFill="1" applyBorder="1" applyAlignment="1" applyProtection="1">
      <alignment horizontal="center"/>
      <protection locked="0"/>
    </xf>
    <xf numFmtId="0" fontId="31" fillId="29" borderId="63" xfId="0" applyFont="1" applyFill="1" applyBorder="1" applyAlignment="1" applyProtection="1">
      <alignment horizontal="center"/>
      <protection locked="0"/>
    </xf>
    <xf numFmtId="0" fontId="13" fillId="20" borderId="52" xfId="0" applyFont="1" applyFill="1" applyBorder="1" applyAlignment="1" applyProtection="1">
      <alignment horizontal="center"/>
    </xf>
    <xf numFmtId="0" fontId="13" fillId="20" borderId="9" xfId="0" applyFont="1" applyFill="1" applyBorder="1" applyAlignment="1" applyProtection="1">
      <alignment horizontal="center"/>
    </xf>
    <xf numFmtId="0" fontId="13" fillId="20" borderId="83" xfId="0" applyFont="1" applyFill="1" applyBorder="1" applyAlignment="1" applyProtection="1">
      <alignment horizontal="center"/>
    </xf>
    <xf numFmtId="165" fontId="46"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5" fillId="13" borderId="1" xfId="0" applyFont="1" applyFill="1" applyBorder="1" applyAlignment="1" applyProtection="1">
      <alignment horizontal="center"/>
    </xf>
    <xf numFmtId="0" fontId="62" fillId="23" borderId="2" xfId="7" applyFont="1" applyFill="1" applyBorder="1" applyAlignment="1" applyProtection="1">
      <alignment horizontal="center"/>
    </xf>
    <xf numFmtId="0" fontId="62"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61" fillId="0" borderId="8" xfId="0" applyFont="1" applyBorder="1" applyAlignment="1" applyProtection="1">
      <alignment horizontal="center"/>
    </xf>
    <xf numFmtId="0" fontId="61" fillId="0" borderId="7" xfId="0" applyFont="1" applyBorder="1" applyAlignment="1" applyProtection="1">
      <alignment horizontal="center"/>
    </xf>
    <xf numFmtId="0" fontId="39" fillId="23" borderId="8" xfId="7" applyFont="1" applyFill="1" applyBorder="1" applyAlignment="1" applyProtection="1">
      <alignment horizontal="center"/>
    </xf>
    <xf numFmtId="0" fontId="39" fillId="23" borderId="7" xfId="7" applyFont="1" applyFill="1" applyBorder="1" applyAlignment="1" applyProtection="1">
      <alignment horizontal="center"/>
    </xf>
    <xf numFmtId="0" fontId="35" fillId="16" borderId="80" xfId="7" applyFill="1" applyBorder="1" applyAlignment="1" applyProtection="1">
      <alignment horizontal="center"/>
    </xf>
    <xf numFmtId="0" fontId="35"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5" fillId="24" borderId="8" xfId="7" applyFill="1" applyBorder="1" applyAlignment="1" applyProtection="1">
      <alignment horizontal="center"/>
    </xf>
    <xf numFmtId="0" fontId="35" fillId="24" borderId="7" xfId="7" applyFill="1" applyBorder="1" applyAlignment="1" applyProtection="1">
      <alignment horizontal="center"/>
    </xf>
    <xf numFmtId="0" fontId="35" fillId="25" borderId="8" xfId="7" applyFill="1" applyBorder="1" applyAlignment="1" applyProtection="1">
      <alignment horizontal="center"/>
    </xf>
    <xf numFmtId="0" fontId="35" fillId="25" borderId="7" xfId="7" applyFill="1" applyBorder="1" applyAlignment="1" applyProtection="1">
      <alignment horizontal="center"/>
    </xf>
    <xf numFmtId="0" fontId="1" fillId="25" borderId="1"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3" fillId="20" borderId="52" xfId="0" applyNumberFormat="1" applyFont="1" applyFill="1" applyBorder="1" applyAlignment="1" applyProtection="1">
      <alignment horizontal="center"/>
    </xf>
    <xf numFmtId="1" fontId="13" fillId="20" borderId="9" xfId="0" applyNumberFormat="1" applyFont="1" applyFill="1" applyBorder="1" applyAlignment="1" applyProtection="1">
      <alignment horizontal="center"/>
    </xf>
    <xf numFmtId="1" fontId="13"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165" fontId="1" fillId="13" borderId="1" xfId="0" applyNumberFormat="1" applyFont="1" applyFill="1" applyBorder="1" applyAlignment="1" applyProtection="1">
      <alignment horizontal="center"/>
      <protection locked="0"/>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3" fillId="0" borderId="115" xfId="0" applyFont="1" applyBorder="1" applyAlignment="1" applyProtection="1">
      <alignment horizontal="center"/>
    </xf>
    <xf numFmtId="0" fontId="13"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22" fillId="0" borderId="77" xfId="0" applyFont="1" applyBorder="1" applyAlignment="1" applyProtection="1">
      <alignment horizontal="center"/>
    </xf>
    <xf numFmtId="0" fontId="22" fillId="0" borderId="79" xfId="0" applyFont="1" applyBorder="1" applyAlignment="1" applyProtection="1">
      <alignment horizontal="center"/>
    </xf>
    <xf numFmtId="0" fontId="15" fillId="0" borderId="78" xfId="0" applyFont="1" applyBorder="1" applyAlignment="1" applyProtection="1">
      <alignment horizontal="center" vertical="center" textRotation="90"/>
    </xf>
    <xf numFmtId="0" fontId="15" fillId="0" borderId="8" xfId="0" applyFont="1" applyBorder="1" applyAlignment="1" applyProtection="1">
      <alignment horizontal="center" vertical="center" textRotation="90"/>
    </xf>
    <xf numFmtId="0" fontId="15" fillId="0" borderId="80" xfId="0" applyFont="1" applyBorder="1" applyAlignment="1" applyProtection="1">
      <alignment horizontal="center" vertical="center" textRotation="90"/>
    </xf>
    <xf numFmtId="0" fontId="15" fillId="0" borderId="90" xfId="0" applyFont="1" applyBorder="1" applyAlignment="1" applyProtection="1">
      <alignment horizontal="center" vertical="center" textRotation="90"/>
    </xf>
    <xf numFmtId="0" fontId="15" fillId="0" borderId="61" xfId="0" applyFont="1" applyBorder="1" applyAlignment="1" applyProtection="1">
      <alignment horizontal="center" vertical="center" textRotation="90"/>
    </xf>
    <xf numFmtId="0" fontId="15"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15" fillId="0" borderId="78" xfId="0" applyFont="1" applyBorder="1" applyAlignment="1" applyProtection="1">
      <alignment horizontal="center" vertical="center" textRotation="90" wrapText="1"/>
    </xf>
    <xf numFmtId="0" fontId="15" fillId="0" borderId="8" xfId="0" applyFont="1" applyBorder="1" applyAlignment="1" applyProtection="1">
      <alignment horizontal="center" vertical="center" textRotation="90" wrapText="1"/>
    </xf>
    <xf numFmtId="0" fontId="15" fillId="0" borderId="80" xfId="0" applyFont="1" applyBorder="1" applyAlignment="1" applyProtection="1">
      <alignment horizontal="center" vertical="center" textRotation="90" wrapText="1"/>
    </xf>
    <xf numFmtId="0" fontId="15" fillId="0" borderId="52" xfId="0" applyFont="1" applyBorder="1" applyAlignment="1" applyProtection="1">
      <alignment horizontal="center" vertical="center" textRotation="90"/>
    </xf>
    <xf numFmtId="0" fontId="15" fillId="0" borderId="50" xfId="0" applyFont="1" applyBorder="1" applyAlignment="1" applyProtection="1">
      <alignment horizontal="center" vertical="center" textRotation="90"/>
    </xf>
    <xf numFmtId="0" fontId="15" fillId="0" borderId="48" xfId="0" applyFont="1" applyBorder="1" applyAlignment="1" applyProtection="1">
      <alignment horizontal="center" vertical="center" textRotation="90"/>
    </xf>
    <xf numFmtId="0" fontId="15" fillId="0" borderId="49" xfId="0" applyFont="1" applyBorder="1" applyAlignment="1" applyProtection="1">
      <alignment horizontal="center" vertical="center" textRotation="90"/>
    </xf>
    <xf numFmtId="0" fontId="23" fillId="0" borderId="0" xfId="0" applyFont="1" applyAlignment="1" applyProtection="1">
      <alignment horizontal="center"/>
    </xf>
    <xf numFmtId="0" fontId="22" fillId="0" borderId="7" xfId="0" applyFont="1" applyBorder="1" applyAlignment="1" applyProtection="1">
      <alignment horizontal="center" vertical="center" textRotation="90"/>
    </xf>
    <xf numFmtId="0" fontId="27"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2" fillId="0" borderId="117" xfId="2" applyFont="1" applyFill="1" applyBorder="1" applyAlignment="1" applyProtection="1">
      <alignment horizontal="center"/>
    </xf>
    <xf numFmtId="0" fontId="12" fillId="0" borderId="0" xfId="2" applyFont="1" applyFill="1" applyBorder="1" applyAlignment="1" applyProtection="1">
      <alignment horizontal="center"/>
    </xf>
    <xf numFmtId="0" fontId="27" fillId="3" borderId="118" xfId="3" applyFont="1" applyFill="1" applyBorder="1" applyAlignment="1" applyProtection="1">
      <alignment horizontal="center" vertical="center"/>
    </xf>
    <xf numFmtId="0" fontId="27" fillId="3" borderId="119" xfId="3" applyFont="1" applyFill="1" applyBorder="1" applyAlignment="1" applyProtection="1">
      <alignment horizontal="center" vertical="center"/>
    </xf>
    <xf numFmtId="0" fontId="27" fillId="3" borderId="92"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6">
    <dxf>
      <font>
        <condense val="0"/>
        <extend val="0"/>
        <color auto="1"/>
      </font>
      <fill>
        <patternFill>
          <bgColor indexed="10"/>
        </patternFill>
      </fill>
    </dxf>
    <dxf>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val="0"/>
</file>

<file path=xl/ctrlProps/ctrlProp11.xml><?xml version="1.0" encoding="utf-8"?>
<formControlPr xmlns="http://schemas.microsoft.com/office/spreadsheetml/2009/9/main" objectType="Drop" dropLines="5" dropStyle="combo" dx="16" fmlaLink="'Data Calculations'!D186" fmlaRange="'Data Calculations'!D180:D183" noThreeD="1" val="0"/>
</file>

<file path=xl/ctrlProps/ctrlProp12.xml><?xml version="1.0" encoding="utf-8"?>
<formControlPr xmlns="http://schemas.microsoft.com/office/spreadsheetml/2009/9/main" objectType="Drop" dropLines="5" dropStyle="combo" dx="16" fmlaLink="'Data Calculations'!E186" fmlaRange="'Data Calculations'!E180:E183" noThreeD="1" val="0"/>
</file>

<file path=xl/ctrlProps/ctrlProp13.xml><?xml version="1.0" encoding="utf-8"?>
<formControlPr xmlns="http://schemas.microsoft.com/office/spreadsheetml/2009/9/main" objectType="Drop" dropLines="5" dropStyle="combo" dx="16" fmlaLink="'Data Calculations'!F186" fmlaRange="'Data Calculations'!F180:F183" noThreeD="1"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val="0"/>
</file>

<file path=xl/ctrlProps/ctrlProp20.xml><?xml version="1.0" encoding="utf-8"?>
<formControlPr xmlns="http://schemas.microsoft.com/office/spreadsheetml/2009/9/main" objectType="CheckBox" fmlaLink="'Data Calculations'!F$142" lockText="1"/>
</file>

<file path=xl/ctrlProps/ctrlProp3.xml><?xml version="1.0" encoding="utf-8"?>
<formControlPr xmlns="http://schemas.microsoft.com/office/spreadsheetml/2009/9/main" objectType="Drop" dropStyle="combo" dx="16" fmlaLink="'Data Calculations'!D$70" fmlaRange="'Data Calculations'!$B$63:$B$66" noThreeD="1" val="0"/>
</file>

<file path=xl/ctrlProps/ctrlProp4.xml><?xml version="1.0" encoding="utf-8"?>
<formControlPr xmlns="http://schemas.microsoft.com/office/spreadsheetml/2009/9/main" objectType="Drop" dropStyle="combo" dx="16" fmlaLink="'Data Calculations'!E$70" fmlaRange="'Data Calculations'!$B$63:$B$66" noThreeD="1" val="0"/>
</file>

<file path=xl/ctrlProps/ctrlProp5.xml><?xml version="1.0" encoding="utf-8"?>
<formControlPr xmlns="http://schemas.microsoft.com/office/spreadsheetml/2009/9/main" objectType="Drop" dropStyle="combo" dx="16" fmlaLink="'Data Calculations'!F$70" fmlaRange="'Data Calculations'!$B$63:$B$66" noThreeD="1" val="0"/>
</file>

<file path=xl/ctrlProps/ctrlProp6.xml><?xml version="1.0" encoding="utf-8"?>
<formControlPr xmlns="http://schemas.microsoft.com/office/spreadsheetml/2009/9/main" objectType="CheckBox" fmlaLink="'Data Calculations'!$B$83"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tabSelected="1" zoomScale="91" zoomScaleNormal="91" workbookViewId="0">
      <selection activeCell="C1" sqref="C1:F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0" t="s">
        <v>17</v>
      </c>
      <c r="B1" s="11" t="s">
        <v>0</v>
      </c>
      <c r="C1" s="556"/>
      <c r="D1" s="556"/>
      <c r="E1" s="556"/>
      <c r="F1" s="556"/>
      <c r="H1" s="47"/>
      <c r="I1" s="4" t="s">
        <v>260</v>
      </c>
    </row>
    <row r="2" spans="1:10" ht="17.100000000000001" customHeight="1" x14ac:dyDescent="0.2">
      <c r="A2" s="551"/>
      <c r="B2" s="5" t="s">
        <v>1</v>
      </c>
      <c r="C2" s="557"/>
      <c r="D2" s="557"/>
      <c r="E2" s="557"/>
      <c r="F2" s="557"/>
      <c r="H2" s="6"/>
      <c r="I2" s="7" t="s">
        <v>262</v>
      </c>
    </row>
    <row r="3" spans="1:10" ht="17.100000000000001" customHeight="1" thickBot="1" x14ac:dyDescent="0.25">
      <c r="A3" s="22" t="s">
        <v>160</v>
      </c>
      <c r="B3" s="10" t="s">
        <v>161</v>
      </c>
      <c r="C3" s="559"/>
      <c r="D3" s="559"/>
      <c r="E3" s="559"/>
      <c r="F3" s="559"/>
      <c r="H3" s="26"/>
      <c r="I3" s="4" t="s">
        <v>263</v>
      </c>
    </row>
    <row r="4" spans="1:10" ht="17.100000000000001" customHeight="1" thickTop="1" x14ac:dyDescent="0.2">
      <c r="A4" s="563" t="s">
        <v>16</v>
      </c>
      <c r="B4" s="564"/>
      <c r="C4" s="560"/>
      <c r="D4" s="560"/>
      <c r="E4" s="560"/>
      <c r="F4" s="560"/>
      <c r="H4" s="55"/>
      <c r="I4" s="7" t="s">
        <v>181</v>
      </c>
    </row>
    <row r="5" spans="1:10" ht="17.100000000000001" customHeight="1" thickBot="1" x14ac:dyDescent="0.3">
      <c r="A5" s="567" t="s">
        <v>15</v>
      </c>
      <c r="B5" s="568"/>
      <c r="C5" s="558"/>
      <c r="D5" s="558"/>
      <c r="E5" s="558"/>
      <c r="F5" s="558"/>
      <c r="H5" s="37">
        <v>0</v>
      </c>
      <c r="I5" s="4" t="s">
        <v>221</v>
      </c>
    </row>
    <row r="6" spans="1:10" ht="17.100000000000001" customHeight="1" thickTop="1" thickBot="1" x14ac:dyDescent="0.25">
      <c r="A6" s="561" t="s">
        <v>250</v>
      </c>
      <c r="B6" s="562"/>
      <c r="C6" s="48"/>
      <c r="D6" s="49"/>
      <c r="E6" s="49"/>
      <c r="F6" s="476"/>
      <c r="H6" s="13"/>
      <c r="I6" s="4" t="s">
        <v>261</v>
      </c>
    </row>
    <row r="7" spans="1:10" ht="17.100000000000001" customHeight="1" thickTop="1" thickBot="1" x14ac:dyDescent="0.25">
      <c r="A7" s="569" t="s">
        <v>168</v>
      </c>
      <c r="B7" s="570"/>
      <c r="C7" s="21"/>
      <c r="D7" s="549" t="str">
        <f>'Data Calculations'!C53</f>
        <v>Select Treatment Unit</v>
      </c>
      <c r="E7" s="549"/>
      <c r="F7" s="549"/>
      <c r="H7" s="389">
        <v>0</v>
      </c>
      <c r="I7" s="4" t="s">
        <v>264</v>
      </c>
    </row>
    <row r="8" spans="1:10" ht="17.100000000000001" customHeight="1" thickTop="1" x14ac:dyDescent="0.25">
      <c r="A8" s="553" t="s">
        <v>148</v>
      </c>
      <c r="B8" s="11" t="s">
        <v>19</v>
      </c>
      <c r="C8" s="17"/>
      <c r="D8" s="17"/>
      <c r="E8" s="17"/>
      <c r="F8" s="17"/>
      <c r="H8" s="390">
        <v>0</v>
      </c>
      <c r="I8" s="4" t="s">
        <v>336</v>
      </c>
    </row>
    <row r="9" spans="1:10" ht="17.100000000000001" customHeight="1" x14ac:dyDescent="0.25">
      <c r="A9" s="554"/>
      <c r="B9" s="5" t="s">
        <v>165</v>
      </c>
      <c r="C9" s="62" t="str">
        <f>'Data Calculations'!C208</f>
        <v/>
      </c>
      <c r="D9" s="62" t="str">
        <f>'Data Calculations'!D208</f>
        <v/>
      </c>
      <c r="E9" s="62" t="str">
        <f>'Data Calculations'!E208</f>
        <v/>
      </c>
      <c r="F9" s="62" t="str">
        <f>'Data Calculations'!F208</f>
        <v/>
      </c>
      <c r="H9" s="364">
        <v>0</v>
      </c>
      <c r="I9" s="4" t="s">
        <v>335</v>
      </c>
      <c r="J9" s="8"/>
    </row>
    <row r="10" spans="1:10" ht="17.100000000000001" customHeight="1" x14ac:dyDescent="0.25">
      <c r="A10" s="554"/>
      <c r="B10" s="5" t="s">
        <v>113</v>
      </c>
      <c r="C10" s="38" t="str">
        <f>IF('Data Calculations'!C34,'Data Calculations'!C214,"")</f>
        <v/>
      </c>
      <c r="D10" s="38" t="str">
        <f>IF('Data Calculations'!D34,'Data Calculations'!D214,"")</f>
        <v/>
      </c>
      <c r="E10" s="38" t="str">
        <f>IF('Data Calculations'!E34,'Data Calculations'!E214,"")</f>
        <v/>
      </c>
      <c r="F10" s="38" t="str">
        <f>IF('Data Calculations'!F34,'Data Calculations'!F214,"")</f>
        <v/>
      </c>
      <c r="H10" s="391">
        <v>0</v>
      </c>
      <c r="I10" s="4" t="s">
        <v>334</v>
      </c>
    </row>
    <row r="11" spans="1:10" ht="17.100000000000001" customHeight="1" x14ac:dyDescent="0.25">
      <c r="A11" s="554"/>
      <c r="B11" s="5" t="s">
        <v>357</v>
      </c>
      <c r="C11" s="38" t="str">
        <f>IF('Data Calculations'!C35,'Data Calculations'!C215,"")</f>
        <v/>
      </c>
      <c r="D11" s="38" t="str">
        <f>IF('Data Calculations'!D35,'Data Calculations'!D215,"")</f>
        <v/>
      </c>
      <c r="E11" s="38" t="str">
        <f>IF('Data Calculations'!E35,'Data Calculations'!E215,"")</f>
        <v/>
      </c>
      <c r="F11" s="38" t="str">
        <f>IF('Data Calculations'!F35,'Data Calculations'!F215,"")</f>
        <v/>
      </c>
      <c r="H11" s="391"/>
    </row>
    <row r="12" spans="1:10" ht="17.100000000000001" customHeight="1" x14ac:dyDescent="0.25">
      <c r="A12" s="554"/>
      <c r="B12" s="5" t="s">
        <v>179</v>
      </c>
      <c r="C12" s="38" t="str">
        <f>IF('Data Calculations'!C34,'Data Calculations'!C216,"")</f>
        <v/>
      </c>
      <c r="D12" s="38" t="str">
        <f>IF('Data Calculations'!D34,'Data Calculations'!D216,"")</f>
        <v/>
      </c>
      <c r="E12" s="38" t="str">
        <f>IF('Data Calculations'!E34,'Data Calculations'!E216,"")</f>
        <v/>
      </c>
      <c r="F12" s="38" t="str">
        <f>IF('Data Calculations'!F34,'Data Calculations'!F216,"")</f>
        <v/>
      </c>
    </row>
    <row r="13" spans="1:10" ht="17.100000000000001" customHeight="1" x14ac:dyDescent="0.2">
      <c r="A13" s="554"/>
      <c r="B13" s="5" t="s">
        <v>141</v>
      </c>
      <c r="C13" s="9"/>
      <c r="D13" s="9"/>
      <c r="E13" s="9"/>
      <c r="F13" s="9"/>
    </row>
    <row r="14" spans="1:10" ht="17.100000000000001" customHeight="1" thickBot="1" x14ac:dyDescent="0.25">
      <c r="A14" s="555"/>
      <c r="B14" s="10" t="s">
        <v>70</v>
      </c>
      <c r="C14" s="56" t="str">
        <f>IF('Data Calculations'!C34,'Data Calculations'!C69,"")</f>
        <v/>
      </c>
      <c r="D14" s="56" t="str">
        <f>IF(D8="","",'Data Calculations'!D69)</f>
        <v/>
      </c>
      <c r="E14" s="56" t="str">
        <f>IF(E8="","",'Data Calculations'!E69)</f>
        <v/>
      </c>
      <c r="F14" s="56" t="str">
        <f>IF(F8="","",'Data Calculations'!F69)</f>
        <v/>
      </c>
    </row>
    <row r="15" spans="1:10" ht="17.100000000000001" customHeight="1" thickTop="1" x14ac:dyDescent="0.2">
      <c r="A15" s="554" t="s">
        <v>333</v>
      </c>
      <c r="B15" s="384" t="s">
        <v>182</v>
      </c>
      <c r="C15" s="385"/>
      <c r="D15" s="385"/>
      <c r="E15" s="385"/>
      <c r="F15" s="385"/>
    </row>
    <row r="16" spans="1:10" ht="17.100000000000001" customHeight="1" x14ac:dyDescent="0.2">
      <c r="A16" s="554"/>
      <c r="B16" s="5" t="str">
        <f>IF('Data Calculations'!B83,"Reference Depth (cm)","")</f>
        <v/>
      </c>
      <c r="C16" s="50"/>
      <c r="D16" s="50"/>
      <c r="E16" s="50"/>
      <c r="F16" s="50"/>
    </row>
    <row r="17" spans="1:6" ht="17.100000000000001" customHeight="1" x14ac:dyDescent="0.25">
      <c r="A17" s="554"/>
      <c r="B17" s="5" t="str">
        <f>IF('Data Calculations'!$B$83,"STD","")</f>
        <v/>
      </c>
      <c r="C17" s="39" t="str">
        <f>IF('Data Calculations'!C34,IF('Data Calculations'!C87,'Data Calculations'!C90,""),"")</f>
        <v/>
      </c>
      <c r="D17" s="40" t="str">
        <f>IF('Data Calculations'!D34,IF('Data Calculations'!D87,'Data Calculations'!D90,""),"")</f>
        <v/>
      </c>
      <c r="E17" s="40" t="str">
        <f>IF('Data Calculations'!E34,IF('Data Calculations'!E87,'Data Calculations'!E90,""),"")</f>
        <v/>
      </c>
      <c r="F17" s="40" t="str">
        <f>IF('Data Calculations'!F34,IF('Data Calculations'!F87,'Data Calculations'!F90,""),"")</f>
        <v/>
      </c>
    </row>
    <row r="18" spans="1:6" ht="17.100000000000001" customHeight="1" x14ac:dyDescent="0.2">
      <c r="A18" s="554"/>
      <c r="B18" s="5" t="str">
        <f>IF('Data Calculations'!$B$83,"Effective SAD","")</f>
        <v/>
      </c>
      <c r="C18" s="57" t="str">
        <f>IF('Data Calculations'!C34,IF('Data Calculations'!C87,'Data Calculations'!C84,""),"")</f>
        <v/>
      </c>
      <c r="D18" s="57" t="str">
        <f>IF('Data Calculations'!D34,IF('Data Calculations'!D87,'Data Calculations'!D84,""),"")</f>
        <v/>
      </c>
      <c r="E18" s="57" t="str">
        <f>IF('Data Calculations'!E34,IF('Data Calculations'!E87,'Data Calculations'!E84,""),"")</f>
        <v/>
      </c>
      <c r="F18" s="57" t="str">
        <f>IF('Data Calculations'!F34,IF('Data Calculations'!F87,'Data Calculations'!F84,""),"")</f>
        <v/>
      </c>
    </row>
    <row r="19" spans="1:6" ht="17.100000000000001" customHeight="1" thickBot="1" x14ac:dyDescent="0.3">
      <c r="A19" s="555"/>
      <c r="B19" s="10" t="s">
        <v>5</v>
      </c>
      <c r="C19" s="41" t="str">
        <f>IF('Data Calculations'!C34,'Data Calculations'!C92,"")</f>
        <v/>
      </c>
      <c r="D19" s="41" t="str">
        <f>IF('Data Calculations'!D34,'Data Calculations'!D92,"")</f>
        <v/>
      </c>
      <c r="E19" s="41" t="str">
        <f>IF('Data Calculations'!E34,'Data Calculations'!E92,"")</f>
        <v/>
      </c>
      <c r="F19" s="41" t="str">
        <f>IF('Data Calculations'!F34,'Data Calculations'!F92,"")</f>
        <v/>
      </c>
    </row>
    <row r="20" spans="1:6" ht="17.100000000000001" customHeight="1" thickTop="1" x14ac:dyDescent="0.2">
      <c r="A20" s="553" t="str">
        <f>IF('Data Calculations'!B94,"Bolus","")</f>
        <v/>
      </c>
      <c r="B20" s="11" t="str">
        <f>IF('Data Calculations'!B94,"Nominal Bolus Thickness","")</f>
        <v/>
      </c>
      <c r="C20" s="27"/>
      <c r="D20" s="27"/>
      <c r="E20" s="27"/>
      <c r="F20" s="27"/>
    </row>
    <row r="21" spans="1:6" ht="17.100000000000001" customHeight="1" x14ac:dyDescent="0.2">
      <c r="A21" s="554"/>
      <c r="B21" s="29" t="str">
        <f>IF('Data Calculations'!B94,"Source to Bolus Distance","")</f>
        <v/>
      </c>
      <c r="C21" s="50"/>
      <c r="D21" s="50"/>
      <c r="E21" s="50"/>
      <c r="F21" s="50"/>
    </row>
    <row r="22" spans="1:6" ht="17.100000000000001" customHeight="1" thickBot="1" x14ac:dyDescent="0.3">
      <c r="A22" s="555"/>
      <c r="B22" s="386" t="str">
        <f>IF('Data Calculations'!B94,"Effective Bolus Thickness (cm)","")</f>
        <v/>
      </c>
      <c r="C22" s="42" t="str">
        <f>IF(AND('Data Calculations'!C34,'Data Calculations'!C96),'Data Calculations'!C98,"")</f>
        <v/>
      </c>
      <c r="D22" s="42" t="str">
        <f>IF(AND('Data Calculations'!D34,'Data Calculations'!D96),'Data Calculations'!D98,"")</f>
        <v/>
      </c>
      <c r="E22" s="42" t="str">
        <f>IF(AND('Data Calculations'!E34,'Data Calculations'!E96),'Data Calculations'!E98,"")</f>
        <v/>
      </c>
      <c r="F22" s="42" t="str">
        <f>IF(AND('Data Calculations'!F34,'Data Calculations'!F96),'Data Calculations'!F98,"")</f>
        <v/>
      </c>
    </row>
    <row r="23" spans="1:6" ht="17.100000000000001" customHeight="1" thickTop="1" thickBot="1" x14ac:dyDescent="0.25">
      <c r="A23" s="63" t="s">
        <v>20</v>
      </c>
      <c r="B23" s="16" t="s">
        <v>21</v>
      </c>
      <c r="C23" s="51"/>
      <c r="D23" s="51"/>
      <c r="E23" s="51"/>
      <c r="F23" s="51"/>
    </row>
    <row r="24" spans="1:6" ht="17.100000000000001" customHeight="1" thickTop="1" thickBot="1" x14ac:dyDescent="0.3">
      <c r="A24" s="565" t="s">
        <v>185</v>
      </c>
      <c r="B24" s="566"/>
      <c r="C24" s="43" t="str">
        <f>IF('Data Calculations'!C34,'Data Calculations'!C114,"")</f>
        <v/>
      </c>
      <c r="D24" s="43" t="str">
        <f>IF('Data Calculations'!D34,'Data Calculations'!D114,"")</f>
        <v/>
      </c>
      <c r="E24" s="43" t="str">
        <f>IF('Data Calculations'!E34,'Data Calculations'!E114,"")</f>
        <v/>
      </c>
      <c r="F24" s="43" t="str">
        <f>IF('Data Calculations'!F34,'Data Calculations'!F114,"")</f>
        <v/>
      </c>
    </row>
    <row r="25" spans="1:6" ht="18" customHeight="1" thickTop="1" x14ac:dyDescent="0.2">
      <c r="A25" s="550" t="str">
        <f>IF('Data Calculations'!$B$83,"Collimator Jaw Settings (cm)","Field size (cm)")</f>
        <v>Field size (cm)</v>
      </c>
      <c r="B25" s="11" t="s">
        <v>147</v>
      </c>
      <c r="C25" s="52" t="b">
        <f>'Data Calculations'!C139</f>
        <v>0</v>
      </c>
      <c r="D25" s="52" t="b">
        <f>'Data Calculations'!D139</f>
        <v>0</v>
      </c>
      <c r="E25" s="52" t="b">
        <f>'Data Calculations'!E139</f>
        <v>0</v>
      </c>
      <c r="F25" s="52" t="b">
        <f>'Data Calculations'!F139</f>
        <v>0</v>
      </c>
    </row>
    <row r="26" spans="1:6" ht="17.100000000000001" customHeight="1" x14ac:dyDescent="0.2">
      <c r="A26" s="551"/>
      <c r="B26" s="5" t="str">
        <f>IF(AND(C25:F25),"X",IF(OR(C25:F25),"X   (X1)","X1"))</f>
        <v>X1</v>
      </c>
      <c r="C26" s="53"/>
      <c r="D26" s="53"/>
      <c r="E26" s="53"/>
      <c r="F26" s="53"/>
    </row>
    <row r="27" spans="1:6" ht="17.100000000000001" customHeight="1" x14ac:dyDescent="0.2">
      <c r="A27" s="551"/>
      <c r="B27" s="5" t="str">
        <f>IF(AND(C25:F25),"",IF(OR(C25:F25),"(X2)","X2"))</f>
        <v>X2</v>
      </c>
      <c r="C27" s="53"/>
      <c r="D27" s="53"/>
      <c r="E27" s="53"/>
      <c r="F27" s="53"/>
    </row>
    <row r="28" spans="1:6" ht="17.100000000000001" customHeight="1" x14ac:dyDescent="0.2">
      <c r="A28" s="551"/>
      <c r="B28" s="5" t="s">
        <v>320</v>
      </c>
      <c r="C28" s="54" t="b">
        <f>'Data Calculations'!C142</f>
        <v>0</v>
      </c>
      <c r="D28" s="54" t="b">
        <f>'Data Calculations'!D142</f>
        <v>0</v>
      </c>
      <c r="E28" s="54" t="b">
        <f>'Data Calculations'!E142</f>
        <v>0</v>
      </c>
      <c r="F28" s="54" t="b">
        <f>'Data Calculations'!F142</f>
        <v>0</v>
      </c>
    </row>
    <row r="29" spans="1:6" ht="17.100000000000001" customHeight="1" x14ac:dyDescent="0.2">
      <c r="A29" s="551"/>
      <c r="B29" s="5" t="str">
        <f>IF(AND(C28:F28),"Y",IF(OR(C28:F28),"Y   (Y1)","Y1"))</f>
        <v>Y1</v>
      </c>
      <c r="C29" s="53"/>
      <c r="D29" s="53"/>
      <c r="E29" s="53"/>
      <c r="F29" s="53"/>
    </row>
    <row r="30" spans="1:6" ht="17.100000000000001" customHeight="1" x14ac:dyDescent="0.2">
      <c r="A30" s="551"/>
      <c r="B30" s="5" t="str">
        <f>IF(AND(C28:F28),"",IF(OR(C28:F28),"(Y2)","Y2"))</f>
        <v>Y2</v>
      </c>
      <c r="C30" s="53"/>
      <c r="D30" s="53"/>
      <c r="E30" s="53"/>
      <c r="F30" s="53"/>
    </row>
    <row r="31" spans="1:6" ht="17.100000000000001" customHeight="1" x14ac:dyDescent="0.2">
      <c r="A31" s="551"/>
      <c r="B31" s="18" t="str">
        <f>IF('Data Calculations'!B83,"Collimator Setting","")</f>
        <v/>
      </c>
      <c r="C31" s="25" t="str">
        <f>IF('Data Calculations'!C34,IF('Data Calculations'!C$87,'Data Calculations'!C161,""),"")</f>
        <v/>
      </c>
      <c r="D31" s="25" t="str">
        <f>IF('Data Calculations'!D34,IF('Data Calculations'!D$87,'Data Calculations'!D161,""),"")</f>
        <v/>
      </c>
      <c r="E31" s="25" t="str">
        <f>IF('Data Calculations'!E34,IF('Data Calculations'!E$87,'Data Calculations'!E161,""),"")</f>
        <v/>
      </c>
      <c r="F31" s="25" t="str">
        <f>IF('Data Calculations'!F34,IF('Data Calculations'!F$87,'Data Calculations'!F161,""),"")</f>
        <v/>
      </c>
    </row>
    <row r="32" spans="1:6" ht="17.100000000000001" customHeight="1" x14ac:dyDescent="0.2">
      <c r="A32" s="551"/>
      <c r="B32" s="18" t="s">
        <v>4</v>
      </c>
      <c r="C32" s="25" t="str">
        <f>IF('Data Calculations'!C34,'Data Calculations'!C172,"")</f>
        <v/>
      </c>
      <c r="D32" s="25" t="str">
        <f>IF('Data Calculations'!D34,'Data Calculations'!D172,"")</f>
        <v/>
      </c>
      <c r="E32" s="25" t="str">
        <f>IF('Data Calculations'!E34,'Data Calculations'!E172,"")</f>
        <v/>
      </c>
      <c r="F32" s="25" t="str">
        <f>IF('Data Calculations'!F34,'Data Calculations'!F172,"")</f>
        <v/>
      </c>
    </row>
    <row r="33" spans="1:6" ht="17.100000000000001" customHeight="1" thickBot="1" x14ac:dyDescent="0.3">
      <c r="A33" s="552"/>
      <c r="B33" s="19" t="s">
        <v>162</v>
      </c>
      <c r="C33" s="41" t="str">
        <f>IF(C8="","",'Data Calculations'!C168)</f>
        <v/>
      </c>
      <c r="D33" s="41" t="str">
        <f>IF(D8="","",'Data Calculations'!D168)</f>
        <v/>
      </c>
      <c r="E33" s="41" t="str">
        <f>IF(E8="","",'Data Calculations'!E168)</f>
        <v/>
      </c>
      <c r="F33" s="41" t="str">
        <f>IF(F8="","",'Data Calculations'!F168)</f>
        <v/>
      </c>
    </row>
    <row r="34" spans="1:6" ht="17.100000000000001" customHeight="1" thickTop="1" x14ac:dyDescent="0.2">
      <c r="A34" s="553" t="str">
        <f>IF('Data Calculations'!B179,"Blocks","")</f>
        <v/>
      </c>
      <c r="B34" s="11" t="str">
        <f>IF('Data Calculations'!B179,"Block Type Selector","")</f>
        <v/>
      </c>
      <c r="C34" s="20">
        <f>'Data Calculations'!C186</f>
        <v>1</v>
      </c>
      <c r="D34" s="20">
        <f>'Data Calculations'!D186</f>
        <v>1</v>
      </c>
      <c r="E34" s="20">
        <f>'Data Calculations'!E186</f>
        <v>1</v>
      </c>
      <c r="F34" s="20">
        <f>'Data Calculations'!F186</f>
        <v>1</v>
      </c>
    </row>
    <row r="35" spans="1:6" ht="17.100000000000001" customHeight="1" thickBot="1" x14ac:dyDescent="0.25">
      <c r="A35" s="555"/>
      <c r="B35" s="10" t="str">
        <f>IF('Data Calculations'!B179,"Block Type","")</f>
        <v/>
      </c>
      <c r="C35" s="56" t="str">
        <f>IF('Data Calculations'!$B$179,'Data Calculations'!C187,"")</f>
        <v/>
      </c>
      <c r="D35" s="56" t="str">
        <f>IF('Data Calculations'!$B$179,'Data Calculations'!D187,"")</f>
        <v/>
      </c>
      <c r="E35" s="56" t="str">
        <f>IF('Data Calculations'!$B$179,'Data Calculations'!E187,"")</f>
        <v/>
      </c>
      <c r="F35" s="56" t="str">
        <f>IF('Data Calculations'!$B$179,'Data Calculations'!F187,"")</f>
        <v/>
      </c>
    </row>
    <row r="36" spans="1:6" ht="17.100000000000001" customHeight="1" thickTop="1" x14ac:dyDescent="0.2">
      <c r="A36" s="553" t="s">
        <v>18</v>
      </c>
      <c r="B36" s="11" t="s">
        <v>8</v>
      </c>
      <c r="C36" s="23" t="str">
        <f>IF('Data Calculations'!C34,'Data Calculations'!C219,"")</f>
        <v/>
      </c>
      <c r="D36" s="23" t="str">
        <f>IF('Data Calculations'!D34,'Data Calculations'!D219,"")</f>
        <v/>
      </c>
      <c r="E36" s="23" t="str">
        <f>IF('Data Calculations'!E34,'Data Calculations'!E219,"")</f>
        <v/>
      </c>
      <c r="F36" s="23" t="str">
        <f>IF('Data Calculations'!F34,'Data Calculations'!F219,"")</f>
        <v/>
      </c>
    </row>
    <row r="37" spans="1:6" ht="17.100000000000001" customHeight="1" x14ac:dyDescent="0.2">
      <c r="A37" s="554"/>
      <c r="B37" s="5" t="str">
        <f>IF(AND('Data Calculations'!C87:F87),"","RDF")</f>
        <v>RDF</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54"/>
      <c r="B38" s="5" t="str">
        <f>IF('Data Calculations'!$B$83,"ROF","")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
      <c r="A39" s="554"/>
      <c r="B39" s="5" t="str">
        <f>IF('Data Calculations'!$B$83,"PSF","")</f>
        <v/>
      </c>
      <c r="C39" s="24" t="str">
        <f>IF('Data Calculations'!C34,IF('Data Calculations'!C$87,'Data Calculations'!C222,""),"")</f>
        <v/>
      </c>
      <c r="D39" s="24" t="str">
        <f>IF('Data Calculations'!D34,IF('Data Calculations'!D$87,'Data Calculations'!D222,""),"")</f>
        <v/>
      </c>
      <c r="E39" s="24" t="str">
        <f>IF('Data Calculations'!E34,IF('Data Calculations'!E$87,'Data Calculations'!E222,""),"")</f>
        <v/>
      </c>
      <c r="F39" s="24" t="str">
        <f>IF('Data Calculations'!F34,IF('Data Calculations'!F$87,'Data Calculations'!F222,""),"")</f>
        <v/>
      </c>
    </row>
    <row r="40" spans="1:6" ht="17.100000000000001" customHeight="1" x14ac:dyDescent="0.25">
      <c r="A40" s="554"/>
      <c r="B40" s="5" t="str">
        <f>IF('Data Calculations'!$B$83,"Distance (Inv. Sq.)","")</f>
        <v/>
      </c>
      <c r="C40" s="454" t="str">
        <f>IF('Data Calculations'!C34,IF('Data Calculations'!C87,'Data Calculations'!C91,""),"")</f>
        <v/>
      </c>
      <c r="D40" s="454" t="str">
        <f>IF('Data Calculations'!D34,IF('Data Calculations'!D87,'Data Calculations'!D91,""),"")</f>
        <v/>
      </c>
      <c r="E40" s="454" t="str">
        <f>IF('Data Calculations'!E34,IF('Data Calculations'!E87,'Data Calculations'!E91,""),"")</f>
        <v/>
      </c>
      <c r="F40" s="454" t="str">
        <f>IF('Data Calculations'!F34,IF('Data Calculations'!F87,'Data Calculations'!F91,""),"")</f>
        <v/>
      </c>
    </row>
    <row r="41" spans="1:6" ht="17.100000000000001" customHeight="1" thickBot="1" x14ac:dyDescent="0.25">
      <c r="A41" s="554"/>
      <c r="B41" s="10" t="str">
        <f>IF('Data Calculations'!B179,"Tray Factor","")</f>
        <v/>
      </c>
      <c r="C41" s="28" t="str">
        <f>IF('Data Calculations'!C34,IF('Data Calculations'!$B$179,'Data Calculations'!C224,""),"")</f>
        <v/>
      </c>
      <c r="D41" s="28" t="str">
        <f>IF('Data Calculations'!D34,IF('Data Calculations'!$B$179,'Data Calculations'!D224,""),"")</f>
        <v/>
      </c>
      <c r="E41" s="28" t="str">
        <f>IF('Data Calculations'!E34,IF('Data Calculations'!$B$179,'Data Calculations'!E224,""),"")</f>
        <v/>
      </c>
      <c r="F41" s="28" t="str">
        <f>IF('Data Calculations'!F34,IF('Data Calculations'!$B$179,'Data Calculations'!F224,""),"")</f>
        <v/>
      </c>
    </row>
    <row r="42" spans="1:6" ht="17.100000000000001" customHeight="1" thickTop="1" x14ac:dyDescent="0.2">
      <c r="A42" s="554"/>
      <c r="B42" s="58" t="s">
        <v>11</v>
      </c>
      <c r="C42" s="59"/>
      <c r="D42" s="59"/>
      <c r="E42" s="59"/>
      <c r="F42" s="59"/>
    </row>
    <row r="43" spans="1:6" ht="17.100000000000001" customHeight="1" thickBot="1" x14ac:dyDescent="0.25">
      <c r="A43" s="555"/>
      <c r="B43" s="60" t="s">
        <v>252</v>
      </c>
      <c r="C43" s="61"/>
      <c r="D43" s="61"/>
      <c r="E43" s="61"/>
      <c r="F43" s="61"/>
    </row>
    <row r="44" spans="1:6" ht="17.100000000000001" customHeight="1" thickTop="1" x14ac:dyDescent="0.25">
      <c r="A44" s="553" t="s">
        <v>253</v>
      </c>
      <c r="B44" s="11" t="s">
        <v>254</v>
      </c>
      <c r="C44" s="44" t="str">
        <f>IF('Data Calculations'!C34,'Data Calculations'!C231,"")</f>
        <v/>
      </c>
      <c r="D44" s="44" t="str">
        <f>IF('Data Calculations'!D34,'Data Calculations'!D231,"")</f>
        <v/>
      </c>
      <c r="E44" s="44" t="str">
        <f>IF('Data Calculations'!E34,'Data Calculations'!E231,"")</f>
        <v/>
      </c>
      <c r="F44" s="44" t="str">
        <f>IF('Data Calculations'!F34,'Data Calculations'!F231,"")</f>
        <v/>
      </c>
    </row>
    <row r="45" spans="1:6" ht="17.100000000000001" customHeight="1" x14ac:dyDescent="0.25">
      <c r="A45" s="554"/>
      <c r="B45" s="5" t="s">
        <v>179</v>
      </c>
      <c r="C45" s="45" t="str">
        <f>IF('Data Calculations'!C34,'Data Calculations'!C216,"")</f>
        <v/>
      </c>
      <c r="D45" s="45" t="str">
        <f>IF('Data Calculations'!D34,'Data Calculations'!D216,"")</f>
        <v/>
      </c>
      <c r="E45" s="45" t="str">
        <f>IF('Data Calculations'!E34,'Data Calculations'!E216,"")</f>
        <v/>
      </c>
      <c r="F45" s="45" t="str">
        <f>IF('Data Calculations'!F34,'Data Calculations'!F216,"")</f>
        <v/>
      </c>
    </row>
    <row r="46" spans="1:6" ht="17.100000000000001" customHeight="1" thickBot="1" x14ac:dyDescent="0.3">
      <c r="A46" s="555"/>
      <c r="B46" s="10" t="s">
        <v>255</v>
      </c>
      <c r="C46" s="46" t="str">
        <f>IF('Data Calculations'!C34,'Data Calculations'!C235,"")</f>
        <v/>
      </c>
      <c r="D46" s="46" t="str">
        <f>IF('Data Calculations'!D34,'Data Calculations'!D235,"")</f>
        <v/>
      </c>
      <c r="E46" s="46" t="str">
        <f>IF('Data Calculations'!E34,'Data Calculations'!E235,"")</f>
        <v/>
      </c>
      <c r="F46" s="46" t="str">
        <f>IF('Data Calculations'!F34,'Data Calculations'!F235,"")</f>
        <v/>
      </c>
    </row>
    <row r="47" spans="1:6" ht="17.100000000000001" customHeight="1" thickTop="1" x14ac:dyDescent="0.2"/>
    <row r="52" spans="2:2" ht="17.100000000000001" customHeight="1" x14ac:dyDescent="0.2">
      <c r="B52" s="12"/>
    </row>
  </sheetData>
  <sheetProtection sheet="1" objects="1" scenarios="1"/>
  <mergeCells count="19">
    <mergeCell ref="A44:A46"/>
    <mergeCell ref="A6:B6"/>
    <mergeCell ref="A34:A35"/>
    <mergeCell ref="A1:A2"/>
    <mergeCell ref="A4:B4"/>
    <mergeCell ref="A24:B24"/>
    <mergeCell ref="A5:B5"/>
    <mergeCell ref="A7:B7"/>
    <mergeCell ref="A36:A43"/>
    <mergeCell ref="D7:F7"/>
    <mergeCell ref="A25:A33"/>
    <mergeCell ref="A20:A22"/>
    <mergeCell ref="C1:F1"/>
    <mergeCell ref="C2:F2"/>
    <mergeCell ref="C5:F5"/>
    <mergeCell ref="C3:F3"/>
    <mergeCell ref="C4:F4"/>
    <mergeCell ref="A8:A14"/>
    <mergeCell ref="A15:A19"/>
  </mergeCells>
  <phoneticPr fontId="0" type="noConversion"/>
  <pageMargins left="0.75" right="0.75" top="1" bottom="1" header="0.5" footer="0.5"/>
  <pageSetup scale="60"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Calculations'!C$139</xm:f>
            <x14:dxf>
              <font>
                <color theme="0" tint="-0.14996795556505021"/>
              </font>
              <fill>
                <patternFill>
                  <bgColor theme="0"/>
                </patternFill>
              </fill>
            </x14:dxf>
          </x14:cfRule>
          <x14:cfRule type="expression" priority="37" stopIfTrue="1" id="{FD57D600-EF33-4C1B-9A97-DF68B52C160E}">
            <xm:f>NOT('Data Calculations'!C$152)</xm:f>
            <x14:dxf>
              <font>
                <b/>
                <i val="0"/>
                <color rgb="FFFF0000"/>
              </font>
            </x14:dxf>
          </x14:cfRule>
          <xm:sqref>C27:F27</xm:sqref>
        </x14:conditionalFormatting>
        <x14:conditionalFormatting xmlns:xm="http://schemas.microsoft.com/office/excel/2006/main">
          <x14:cfRule type="expression" priority="13" stopIfTrue="1" id="{F206B7FD-068E-4FE0-BE76-DBF93B0F9318}">
            <xm:f>'Data Calculations'!C142</xm:f>
            <x14:dxf>
              <font>
                <color theme="0" tint="-0.14996795556505021"/>
              </font>
              <fill>
                <patternFill>
                  <bgColor theme="0"/>
                </patternFill>
              </fill>
            </x14:dxf>
          </x14:cfRule>
          <x14:cfRule type="expression" priority="39" stopIfTrue="1" id="{9A494862-8B35-4922-9319-6A83DAAB573F}">
            <xm:f>NOT('Data Calculations'!C$154)</xm:f>
            <x14:dxf>
              <font>
                <b/>
                <i val="0"/>
                <color rgb="FFFF0000"/>
              </font>
            </x14:dxf>
          </x14:cfRule>
          <xm:sqref>C30:F30</xm:sqref>
        </x14:conditionalFormatting>
        <x14:conditionalFormatting xmlns:xm="http://schemas.microsoft.com/office/excel/2006/main">
          <x14:cfRule type="expression" priority="6" stopIfTrue="1" id="{7E3FF326-2A28-498D-9A3D-6C84D6A5B452}">
            <xm:f>'Data Calculations'!C$87</xm:f>
            <x14:dxf>
              <font>
                <color theme="0"/>
              </font>
              <fill>
                <patternFill>
                  <bgColor theme="0"/>
                </patternFill>
              </fill>
            </x14:dxf>
          </x14:cfRule>
          <xm:sqref>C37:F37</xm:sqref>
        </x14:conditionalFormatting>
        <x14:conditionalFormatting xmlns:xm="http://schemas.microsoft.com/office/excel/2006/main">
          <x14:cfRule type="expression" priority="31" stopIfTrue="1" id="{42330BCC-5793-4D95-B3BA-FB894C396120}">
            <xm:f>NOT('Data Calculations'!C$34)</xm:f>
            <x14:dxf>
              <font>
                <b/>
                <i val="0"/>
                <color rgb="FFFF0000"/>
              </font>
            </x14:dxf>
          </x14:cfRule>
          <xm:sqref>C8:F8</xm:sqref>
        </x14:conditionalFormatting>
        <x14:conditionalFormatting xmlns:xm="http://schemas.microsoft.com/office/excel/2006/main">
          <x14:cfRule type="expression" priority="11" stopIfTrue="1" id="{1C6A45FC-E434-47D4-8225-CD8667675796}">
            <xm:f>NOT('Data Calculations'!$B$103)</xm:f>
            <x14:dxf>
              <font>
                <color theme="0" tint="-0.14996795556505021"/>
              </font>
              <fill>
                <patternFill>
                  <bgColor theme="0"/>
                </patternFill>
              </fill>
            </x14:dxf>
          </x14:cfRule>
          <x14:cfRule type="expression" priority="47" id="{FD075601-986D-44C6-B510-9398CF0A5C57}">
            <xm:f>NOT('Data Calculations'!C$108)</xm:f>
            <x14:dxf>
              <font>
                <b/>
                <i val="0"/>
                <u/>
                <color theme="9"/>
              </font>
            </x14:dxf>
          </x14:cfRule>
          <xm:sqref>C23:F23</xm:sqref>
        </x14:conditionalFormatting>
        <x14:conditionalFormatting xmlns:xm="http://schemas.microsoft.com/office/excel/2006/main">
          <x14:cfRule type="expression" priority="7" stopIfTrue="1" id="{BAB29297-DE47-4353-8202-146214FCFE9B}">
            <xm:f>NOT('Data Calculations'!$B$179)</xm:f>
            <x14:dxf>
              <font>
                <color theme="0"/>
              </font>
              <fill>
                <patternFill>
                  <bgColor theme="0"/>
                </patternFill>
              </fill>
            </x14:dxf>
          </x14:cfRule>
          <xm:sqref>C35:F35 C41:F41</xm:sqref>
        </x14:conditionalFormatting>
        <x14:conditionalFormatting xmlns:xm="http://schemas.microsoft.com/office/excel/2006/main">
          <x14:cfRule type="expression" priority="14" id="{25D115F7-D05D-447F-9776-6CC46061DC72}">
            <xm:f>NOT('Data Calculations'!$C$213)</xm:f>
            <x14:dxf>
              <font>
                <b/>
                <i val="0"/>
              </font>
              <fill>
                <patternFill>
                  <bgColor rgb="FFFFFF00"/>
                </patternFill>
              </fill>
            </x14:dxf>
          </x14:cfRule>
          <x14:cfRule type="expression" priority="32" stopIfTrue="1" id="{F16101CA-2BD6-4A66-9C40-F1FB977D396B}">
            <xm:f>NOT('Data Calculations'!C$211)</xm:f>
            <x14:dxf>
              <font>
                <b/>
                <i val="0"/>
                <color rgb="FFFF0000"/>
              </font>
            </x14:dxf>
          </x14:cfRule>
          <x14:cfRule type="expression" priority="45" id="{0AD3C56F-9B45-4704-8B50-049AE5E7534A}">
            <xm:f>NOT('Data Calculations'!C$210)</xm:f>
            <x14:dxf>
              <font>
                <b/>
                <i val="0"/>
                <u/>
                <color theme="9"/>
              </font>
            </x14:dxf>
          </x14:cfRule>
          <xm:sqref>C9:F9</xm:sqref>
        </x14:conditionalFormatting>
        <x14:conditionalFormatting xmlns:xm="http://schemas.microsoft.com/office/excel/2006/main">
          <x14:cfRule type="expression" priority="8" stopIfTrue="1" id="{46762E72-B54E-41A8-8940-0B63FA198DF7}">
            <xm:f>NOT('Data Calculations'!C$96)</xm:f>
            <x14:dxf>
              <font>
                <color theme="0" tint="-0.14996795556505021"/>
              </font>
              <fill>
                <patternFill>
                  <bgColor theme="0"/>
                </patternFill>
              </fill>
            </x14:dxf>
          </x14:cfRule>
          <xm:sqref>C20:F22</xm:sqref>
        </x14:conditionalFormatting>
        <x14:conditionalFormatting xmlns:xm="http://schemas.microsoft.com/office/excel/2006/main">
          <x14:cfRule type="expression" priority="17" stopIfTrue="1" id="{C4686E12-6AEB-44F8-B830-014EB0CC5BC1}">
            <xm:f>NOT('Data Calculations'!C$101)</xm:f>
            <x14:dxf>
              <font>
                <b/>
                <i val="0"/>
                <color rgb="FFFF0000"/>
              </font>
            </x14:dxf>
          </x14:cfRule>
          <x14:cfRule type="expression" priority="46" id="{7A2E296D-342F-4A52-90D3-77AE6A64BEC0}">
            <xm:f>NOT('Data Calculations'!C$100)</xm:f>
            <x14:dxf>
              <font>
                <b/>
                <i val="0"/>
                <u/>
                <color theme="9"/>
              </font>
            </x14:dxf>
          </x14:cfRule>
          <xm:sqref>C21:F21</xm:sqref>
        </x14:conditionalFormatting>
        <x14:conditionalFormatting xmlns:xm="http://schemas.microsoft.com/office/excel/2006/main">
          <x14:cfRule type="expression" priority="18" id="{1650DEFC-AEB9-4352-9215-5B56CA790E74}">
            <xm:f>NOT('Data Calculations'!C$101)</xm:f>
            <x14:dxf>
              <font>
                <b/>
                <i val="0"/>
              </font>
              <fill>
                <patternFill>
                  <bgColor rgb="FFFFFF00"/>
                </patternFill>
              </fill>
            </x14:dxf>
          </x14:cfRule>
          <x14:cfRule type="expression" priority="19" id="{BD09EEB9-6FC4-4BB8-B7F4-2CC60A5E1988}">
            <xm:f>NOT('Data Calculations'!C$100)</xm:f>
            <x14:dxf>
              <font>
                <b/>
                <i val="0"/>
              </font>
              <fill>
                <patternFill>
                  <bgColor rgb="FFFFFF00"/>
                </patternFill>
              </fill>
            </x14:dxf>
          </x14:cfRule>
          <xm:sqref>C20:F20 C22:F22</xm:sqref>
        </x14:conditionalFormatting>
        <x14:conditionalFormatting xmlns:xm="http://schemas.microsoft.com/office/excel/2006/main">
          <x14:cfRule type="expression" priority="21" id="{C4F5E27E-9F92-440C-AF9A-0B1FD92CF35C}">
            <xm:f>NOT('Data Calculations'!C$116)</xm:f>
            <x14:dxf>
              <font>
                <b/>
                <i val="0"/>
              </font>
              <fill>
                <patternFill>
                  <bgColor rgb="FFFFFF00"/>
                </patternFill>
              </fill>
            </x14:dxf>
          </x14:cfRule>
          <x14:cfRule type="expression" priority="35" stopIfTrue="1" id="{95928296-650D-497D-A9A3-13040CC230D8}">
            <xm:f>NOT('Data Calculations'!C$115)</xm:f>
            <x14:dxf>
              <font>
                <b/>
                <i val="0"/>
                <color rgb="FFFF0000"/>
              </font>
            </x14:dxf>
          </x14:cfRule>
          <xm:sqref>C24:F24</xm:sqref>
        </x14:conditionalFormatting>
        <x14:conditionalFormatting xmlns:xm="http://schemas.microsoft.com/office/excel/2006/main">
          <x14:cfRule type="expression" priority="10" id="{E20B608F-4FE9-4CE4-9F15-2A9D51C5D152}">
            <xm:f>NOT('Data Calculations'!C$115)</xm:f>
            <x14:dxf>
              <font>
                <b/>
                <i val="0"/>
              </font>
              <fill>
                <patternFill>
                  <bgColor rgb="FFFFFF00"/>
                </patternFill>
              </fill>
            </x14:dxf>
          </x14:cfRule>
          <xm:sqref>C15:F15 C19:F19 C21:F23 C36:F36</xm:sqref>
        </x14:conditionalFormatting>
        <x14:conditionalFormatting xmlns:xm="http://schemas.microsoft.com/office/excel/2006/main">
          <x14:cfRule type="expression" priority="36" stopIfTrue="1" id="{84B4407A-2DD8-4580-8CDD-AEA748750269}">
            <xm:f>NOT('Data Calculations'!C$151)</xm:f>
            <x14:dxf>
              <font>
                <b/>
                <i val="0"/>
                <color rgb="FFFF0000"/>
              </font>
            </x14:dxf>
          </x14:cfRule>
          <xm:sqref>C26:F26</xm:sqref>
        </x14:conditionalFormatting>
        <x14:conditionalFormatting xmlns:xm="http://schemas.microsoft.com/office/excel/2006/main">
          <x14:cfRule type="expression" priority="38" stopIfTrue="1" id="{BF6EAB62-197C-49BA-A010-8D9C3CF968B3}">
            <xm:f>NOT('Data Calculations'!C$153)</xm:f>
            <x14:dxf>
              <font>
                <b/>
                <i val="0"/>
                <color rgb="FFFF0000"/>
              </font>
            </x14:dxf>
          </x14:cfRule>
          <xm:sqref>C29:F29</xm:sqref>
        </x14:conditionalFormatting>
        <x14:conditionalFormatting xmlns:xm="http://schemas.microsoft.com/office/excel/2006/main">
          <x14:cfRule type="expression" priority="22" id="{A675958A-75F2-4A7E-865C-CC4F3FBA549E}">
            <xm:f>NOT('Data Calculations'!C$155)</xm:f>
            <x14:dxf>
              <font>
                <b/>
                <i val="0"/>
              </font>
              <fill>
                <patternFill>
                  <bgColor rgb="FFFFFF00"/>
                </patternFill>
              </fill>
            </x14:dxf>
          </x14:cfRule>
          <xm:sqref>C26:F27</xm:sqref>
        </x14:conditionalFormatting>
        <x14:conditionalFormatting xmlns:xm="http://schemas.microsoft.com/office/excel/2006/main">
          <x14:cfRule type="expression" priority="23" id="{B30B0F06-35EE-4A65-A0A9-22C428DB55C5}">
            <xm:f>NOT('Data Calculations'!C$156)</xm:f>
            <x14:dxf>
              <font>
                <b/>
                <i val="0"/>
              </font>
              <fill>
                <patternFill>
                  <bgColor rgb="FFFFFF00"/>
                </patternFill>
              </fill>
            </x14:dxf>
          </x14:cfRule>
          <xm:sqref>C29:F30</xm:sqref>
        </x14:conditionalFormatting>
        <x14:conditionalFormatting xmlns:xm="http://schemas.microsoft.com/office/excel/2006/main">
          <x14:cfRule type="expression" priority="40" stopIfTrue="1" id="{9530C0F8-8FC3-4810-A9A2-7A9F4E1AAD54}">
            <xm:f>NOT('Data Calculations'!C$157)</xm:f>
            <x14:dxf>
              <font>
                <b/>
                <i val="0"/>
                <color rgb="FFFF0000"/>
              </font>
            </x14:dxf>
          </x14:cfRule>
          <xm:sqref>C31:F31</xm:sqref>
        </x14:conditionalFormatting>
        <x14:conditionalFormatting xmlns:xm="http://schemas.microsoft.com/office/excel/2006/main">
          <x14:cfRule type="expression" priority="25" id="{4D3B78EB-4680-4B56-B67E-7E2CCCAA0545}">
            <xm:f>NOT('Data Calculations'!C$157)</xm:f>
            <x14:dxf>
              <font>
                <b/>
                <i val="0"/>
              </font>
              <fill>
                <patternFill>
                  <bgColor rgb="FFFFFF00"/>
                </patternFill>
              </fill>
            </x14:dxf>
          </x14:cfRule>
          <xm:sqref>C37:F38</xm:sqref>
        </x14:conditionalFormatting>
        <x14:conditionalFormatting xmlns:xm="http://schemas.microsoft.com/office/excel/2006/main">
          <x14:cfRule type="expression" priority="41" stopIfTrue="1" id="{94316B93-8340-4FE4-8730-3B25672AAA0B}">
            <xm:f>NOT('Data Calculations'!C$169)</xm:f>
            <x14:dxf>
              <font>
                <b/>
                <i val="0"/>
                <color rgb="FFFF0000"/>
              </font>
            </x14:dxf>
          </x14:cfRule>
          <xm:sqref>C33:F33</xm:sqref>
        </x14:conditionalFormatting>
        <x14:conditionalFormatting xmlns:xm="http://schemas.microsoft.com/office/excel/2006/main">
          <x14:cfRule type="expression" priority="20" id="{432F466B-6A79-4D2A-B726-E437BFF7D2E9}">
            <xm:f>NOT('Data Calculations'!C$169)</xm:f>
            <x14:dxf>
              <font>
                <b/>
                <i val="0"/>
              </font>
              <fill>
                <patternFill>
                  <bgColor rgb="FFFFFF00"/>
                </patternFill>
              </fill>
            </x14:dxf>
          </x14:cfRule>
          <xm:sqref>C26:F27 C29:F30 C36:F36 C39:F39</xm:sqref>
        </x14:conditionalFormatting>
        <x14:conditionalFormatting xmlns:xm="http://schemas.microsoft.com/office/excel/2006/main">
          <x14:cfRule type="expression" priority="24" id="{804FC554-7142-4A89-AE60-D5EB9E2A9281}">
            <xm:f>NOT('Data Calculations'!C$173)</xm:f>
            <x14:dxf>
              <font>
                <b/>
                <i val="0"/>
              </font>
              <fill>
                <patternFill>
                  <bgColor rgb="FFFFFF00"/>
                </patternFill>
              </fill>
            </x14:dxf>
          </x14:cfRule>
          <xm:sqref>C31:F32</xm:sqref>
        </x14:conditionalFormatting>
        <x14:conditionalFormatting xmlns:xm="http://schemas.microsoft.com/office/excel/2006/main">
          <x14:cfRule type="expression" priority="42" stopIfTrue="1" id="{DC2B8635-67E6-44C6-B808-51C897E264CA}">
            <xm:f>NOT('Data Calculations'!C$189)</xm:f>
            <x14:dxf>
              <font>
                <b/>
                <i val="0"/>
                <color rgb="FFFF0000"/>
              </font>
            </x14:dxf>
          </x14:cfRule>
          <xm:sqref>C35:F35</xm:sqref>
        </x14:conditionalFormatting>
        <x14:conditionalFormatting xmlns:xm="http://schemas.microsoft.com/office/excel/2006/main">
          <x14:cfRule type="expression" priority="26" id="{5BA667E3-D06C-4424-A458-691F06D6F9E1}">
            <xm:f>NOT('Data Calculations'!C$189)</xm:f>
            <x14:dxf>
              <font>
                <b/>
                <i val="0"/>
              </font>
              <fill>
                <patternFill>
                  <bgColor rgb="FFFFFF00"/>
                </patternFill>
              </fill>
            </x14:dxf>
          </x14:cfRule>
          <xm:sqref>C41:F41</xm:sqref>
        </x14:conditionalFormatting>
        <x14:conditionalFormatting xmlns:xm="http://schemas.microsoft.com/office/excel/2006/main">
          <x14:cfRule type="expression" priority="27" id="{6B597ACD-3D36-45A7-AB22-BAE01DB55895}">
            <xm:f>NOT('Data Calculations'!C$230)</xm:f>
            <x14:dxf>
              <font>
                <b/>
                <i val="0"/>
                <strike/>
              </font>
              <fill>
                <patternFill>
                  <bgColor rgb="FFFFFF00"/>
                </patternFill>
              </fill>
            </x14:dxf>
          </x14:cfRule>
          <xm:sqref>C44:F46</xm:sqref>
        </x14:conditionalFormatting>
        <x14:conditionalFormatting xmlns:xm="http://schemas.microsoft.com/office/excel/2006/main">
          <x14:cfRule type="expression" priority="48" id="{E627D434-504A-4348-815D-5DC2D732227E}">
            <xm:f>NOT('Data Calculations'!C$234)</xm:f>
            <x14:dxf>
              <font>
                <b/>
                <i val="0"/>
                <u/>
                <color theme="9"/>
              </font>
            </x14:dxf>
          </x14:cfRule>
          <xm:sqref>C44:F44</xm:sqref>
        </x14:conditionalFormatting>
        <x14:conditionalFormatting xmlns:xm="http://schemas.microsoft.com/office/excel/2006/main">
          <x14:cfRule type="expression" priority="49" id="{80B9A899-BEC5-419C-AF8C-9A110ACA2DF2}">
            <xm:f>NOT('Data Calculations'!C$238)</xm:f>
            <x14:dxf>
              <font>
                <b/>
                <i val="0"/>
                <u/>
                <color theme="9"/>
              </font>
            </x14:dxf>
          </x14:cfRule>
          <xm:sqref>C46:F46</xm:sqref>
        </x14:conditionalFormatting>
        <x14:conditionalFormatting xmlns:xm="http://schemas.microsoft.com/office/excel/2006/main">
          <x14:cfRule type="expression" priority="3" stopIfTrue="1" id="{153C0185-2939-4F98-B60F-C377B29146F2}">
            <xm:f>NOT('Data Calculations'!C$34)</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94F45263-3C0C-4B86-B3EE-C23D993C3E2C}">
            <xm:f>NOT('Data Calculations'!C$34)</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5" id="{FAB092FE-2477-4641-8A61-C144569FA0CC}">
            <xm:f>NOT('Data Calculations'!C$72)</xm:f>
            <x14:dxf>
              <font>
                <b/>
                <i val="0"/>
              </font>
              <fill>
                <patternFill>
                  <bgColor rgb="FFFFFF00"/>
                </patternFill>
              </fill>
            </x14:dxf>
          </x14:cfRule>
          <xm:sqref>C14:F14</xm:sqref>
        </x14:conditionalFormatting>
        <x14:conditionalFormatting xmlns:xm="http://schemas.microsoft.com/office/excel/2006/main">
          <x14:cfRule type="expression" priority="33" stopIfTrue="1" id="{95A26F3D-91F6-4888-B393-E681A8E1CB98}">
            <xm:f>NOT('Data Calculations'!C$86)</xm:f>
            <x14:dxf>
              <font>
                <b/>
                <i val="0"/>
                <color rgb="FFFF0000"/>
              </font>
            </x14:dxf>
          </x14:cfRule>
          <xm:sqref>C15:F15</xm:sqref>
        </x14:conditionalFormatting>
        <x14:conditionalFormatting xmlns:xm="http://schemas.microsoft.com/office/excel/2006/main">
          <x14:cfRule type="expression" priority="4" stopIfTrue="1" id="{1CC58147-1E4D-48B4-A6C6-57802081714A}">
            <xm:f>NOT('Data Calculations'!C$87)</xm:f>
            <x14:dxf>
              <font>
                <color theme="0"/>
              </font>
              <fill>
                <patternFill>
                  <bgColor theme="0"/>
                </patternFill>
              </fill>
            </x14:dxf>
          </x14:cfRule>
          <xm:sqref>C31:F31 C38:F40 C17:F18</xm:sqref>
        </x14:conditionalFormatting>
        <x14:conditionalFormatting xmlns:xm="http://schemas.microsoft.com/office/excel/2006/main">
          <x14:cfRule type="expression" priority="43" id="{9D849F35-C844-489D-B274-51AB40FBF283}">
            <xm:f>NOT('Data Calculations'!C202)</xm:f>
            <x14:dxf>
              <font>
                <b/>
                <i val="0"/>
                <u/>
                <color theme="9"/>
              </font>
            </x14:dxf>
          </x14:cfRule>
          <xm:sqref>C4:F4</xm:sqref>
        </x14:conditionalFormatting>
        <x14:conditionalFormatting xmlns:xm="http://schemas.microsoft.com/office/excel/2006/main">
          <x14:cfRule type="expression" priority="44" id="{57F4D2C4-5C6E-4754-818C-93E369E5BD51}">
            <xm:f>NOT('Data Calculations'!C206)</xm:f>
            <x14:dxf>
              <font>
                <b/>
                <i val="0"/>
                <u/>
                <color theme="9"/>
              </font>
            </x14:dxf>
          </x14:cfRule>
          <xm:sqref>C5:F5</xm:sqref>
        </x14:conditionalFormatting>
        <x14:conditionalFormatting xmlns:xm="http://schemas.microsoft.com/office/excel/2006/main">
          <x14:cfRule type="expression" priority="29" stopIfTrue="1" id="{3DFBAE84-05F4-40E9-A937-EA5C5A3FBB3B}">
            <xm:f>NOT('Data Calculations'!D24)</xm:f>
            <x14:dxf>
              <font>
                <b/>
                <i val="0"/>
                <color rgb="FFFF0000"/>
              </font>
            </x14:dxf>
          </x14:cfRule>
          <xm:sqref>C1:E2</xm:sqref>
        </x14:conditionalFormatting>
        <x14:conditionalFormatting xmlns:xm="http://schemas.microsoft.com/office/excel/2006/main">
          <x14:cfRule type="expression" priority="28" id="{631A8105-4B80-4653-8012-10119F619727}">
            <xm:f>NOT('Data Calculations'!D26)</xm:f>
            <x14:dxf>
              <font>
                <b/>
                <i val="0"/>
                <color rgb="FFFF0000"/>
              </font>
            </x14:dxf>
          </x14:cfRule>
          <xm:sqref>C3:E3</xm:sqref>
        </x14:conditionalFormatting>
        <x14:conditionalFormatting xmlns:xm="http://schemas.microsoft.com/office/excel/2006/main">
          <x14:cfRule type="expression" priority="556" stopIfTrue="1" id="{3DFBAE84-05F4-40E9-A937-EA5C5A3FBB3B}">
            <xm:f>NOT('Data Calculations'!#REF!)</xm:f>
            <x14:dxf>
              <font>
                <b/>
                <i val="0"/>
                <color rgb="FFFF0000"/>
              </font>
            </x14:dxf>
          </x14:cfRule>
          <xm:sqref>F1:F2</xm:sqref>
        </x14:conditionalFormatting>
        <x14:conditionalFormatting xmlns:xm="http://schemas.microsoft.com/office/excel/2006/main">
          <x14:cfRule type="expression" priority="558" id="{631A8105-4B80-4653-8012-10119F619727}">
            <xm:f>NOT('Data Calculations'!#REF!)</xm:f>
            <x14:dxf>
              <font>
                <b/>
                <i val="0"/>
                <color rgb="FFFF0000"/>
              </font>
            </x14:dxf>
          </x14:cfRule>
          <xm:sqref>F3</xm:sqref>
        </x14:conditionalFormatting>
        <x14:conditionalFormatting xmlns:xm="http://schemas.microsoft.com/office/excel/2006/main">
          <x14:cfRule type="expression" priority="1179" stopIfTrue="1" id="{EB4420CF-164C-420E-B1C7-DB9588FA052D}">
            <xm:f>NOT('Data Calculations'!C$87)</xm:f>
            <x14:dxf>
              <font>
                <color theme="0" tint="-0.14996795556505021"/>
              </font>
              <fill>
                <patternFill>
                  <bgColor theme="0"/>
                </patternFill>
              </fill>
            </x14:dxf>
          </x14:cfRule>
          <x14:cfRule type="expression" priority="1180" stopIfTrue="1" id="{17A6FBBC-3CB9-422E-B2F0-133DCDD5872C}">
            <xm:f>NOT('Data Calculations'!C$115)</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zoomScale="75" zoomScaleNormal="75" workbookViewId="0">
      <selection activeCell="H6" sqref="H6"/>
    </sheetView>
  </sheetViews>
  <sheetFormatPr defaultColWidth="5.28515625" defaultRowHeight="12.75" x14ac:dyDescent="0.2"/>
  <cols>
    <col min="1" max="1" width="13"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E1" s="260"/>
      <c r="F1" s="3" t="s">
        <v>9</v>
      </c>
      <c r="G1" s="3" t="s">
        <v>57</v>
      </c>
      <c r="H1" s="3"/>
      <c r="I1" s="3"/>
      <c r="K1" s="3"/>
      <c r="L1" s="3" t="s">
        <v>142</v>
      </c>
      <c r="M1" s="3"/>
      <c r="N1" s="3"/>
      <c r="O1" s="3"/>
      <c r="P1" s="2" t="s">
        <v>91</v>
      </c>
      <c r="Q1" s="3"/>
    </row>
    <row r="2" spans="1:17" ht="13.5" thickBot="1" x14ac:dyDescent="0.25"/>
    <row r="3" spans="1:17" ht="21.75" thickTop="1" thickBot="1" x14ac:dyDescent="0.25">
      <c r="A3" s="696" t="s">
        <v>194</v>
      </c>
      <c r="B3" s="697"/>
      <c r="C3" s="697"/>
      <c r="D3" s="698"/>
    </row>
    <row r="4" spans="1:17" ht="13.5" thickBot="1" x14ac:dyDescent="0.25">
      <c r="A4" s="234"/>
      <c r="B4" s="235" t="s">
        <v>198</v>
      </c>
      <c r="C4" s="236" t="s">
        <v>197</v>
      </c>
      <c r="D4" s="237"/>
    </row>
    <row r="5" spans="1:17" x14ac:dyDescent="0.2">
      <c r="A5" s="238" t="s">
        <v>196</v>
      </c>
      <c r="B5" s="239">
        <v>-2</v>
      </c>
      <c r="C5" s="240">
        <v>20</v>
      </c>
      <c r="D5" s="237"/>
    </row>
    <row r="6" spans="1:17" x14ac:dyDescent="0.2">
      <c r="A6" s="238" t="s">
        <v>199</v>
      </c>
      <c r="B6" s="241">
        <v>-2</v>
      </c>
      <c r="C6" s="242">
        <v>20</v>
      </c>
      <c r="D6" s="237"/>
    </row>
    <row r="7" spans="1:17" x14ac:dyDescent="0.2">
      <c r="A7" s="238" t="s">
        <v>200</v>
      </c>
      <c r="B7" s="241">
        <v>-10</v>
      </c>
      <c r="C7" s="242">
        <v>20</v>
      </c>
      <c r="D7" s="237"/>
    </row>
    <row r="8" spans="1:17" x14ac:dyDescent="0.2">
      <c r="A8" s="238" t="s">
        <v>201</v>
      </c>
      <c r="B8" s="241">
        <v>-10</v>
      </c>
      <c r="C8" s="242">
        <v>20</v>
      </c>
      <c r="D8" s="237"/>
    </row>
    <row r="9" spans="1:17" x14ac:dyDescent="0.2">
      <c r="A9" s="238" t="s">
        <v>292</v>
      </c>
      <c r="B9" s="241">
        <f>MIN(MIN(A87:A123),MIN(A299:A335))</f>
        <v>4</v>
      </c>
      <c r="C9" s="242">
        <f>MAX(MAX(A87:A123),MAX(A299:A335))</f>
        <v>40</v>
      </c>
      <c r="D9" s="237"/>
    </row>
    <row r="10" spans="1:17" x14ac:dyDescent="0.2">
      <c r="A10" s="238" t="s">
        <v>293</v>
      </c>
      <c r="B10" s="241">
        <f>MIN(MIN(B86:AL86),MIN(B298:AL298))</f>
        <v>4</v>
      </c>
      <c r="C10" s="242">
        <f>MAX(MAX(B86:AL86),MAX(B298:AL298))</f>
        <v>40</v>
      </c>
      <c r="D10" s="237"/>
    </row>
    <row r="11" spans="1:17" x14ac:dyDescent="0.2">
      <c r="A11" s="238" t="s">
        <v>31</v>
      </c>
      <c r="B11" s="241">
        <f>MIN(B29:BF29)</f>
        <v>4</v>
      </c>
      <c r="C11" s="242">
        <f>MAX(B29:BF29)</f>
        <v>60</v>
      </c>
      <c r="D11" s="237"/>
    </row>
    <row r="12" spans="1:17" ht="13.5" thickBot="1" x14ac:dyDescent="0.25">
      <c r="A12" s="243" t="s">
        <v>24</v>
      </c>
      <c r="B12" s="343">
        <f>MIN(A30:A80)</f>
        <v>0</v>
      </c>
      <c r="C12" s="344">
        <f>MAX(A30:A80)</f>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0.97</v>
      </c>
      <c r="C22" s="231"/>
      <c r="D22" s="237"/>
    </row>
    <row r="23" spans="1:60" ht="17.45" customHeight="1" x14ac:dyDescent="0.2">
      <c r="A23" s="256" t="s">
        <v>72</v>
      </c>
      <c r="B23" s="257">
        <v>0.98</v>
      </c>
      <c r="C23" s="231"/>
      <c r="D23" s="237"/>
    </row>
    <row r="24" spans="1:60" ht="17.45" customHeight="1" thickBot="1" x14ac:dyDescent="0.25">
      <c r="A24" s="258" t="s">
        <v>73</v>
      </c>
      <c r="B24" s="259">
        <v>0.99</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6" t="s">
        <v>31</v>
      </c>
      <c r="BH28" s="237"/>
    </row>
    <row r="29" spans="1:60" s="272" customFormat="1" ht="14.25" thickTop="1" thickBot="1" x14ac:dyDescent="0.25">
      <c r="A29" s="347"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8">
        <v>0</v>
      </c>
      <c r="B30" s="274">
        <v>0.24726967355941123</v>
      </c>
      <c r="C30" s="275">
        <v>0.259031953688246</v>
      </c>
      <c r="D30" s="275">
        <v>0.27084494637655143</v>
      </c>
      <c r="E30" s="275">
        <v>0.28453776857605156</v>
      </c>
      <c r="F30" s="275">
        <v>0.29823145820628527</v>
      </c>
      <c r="G30" s="275">
        <v>0.31167748472519691</v>
      </c>
      <c r="H30" s="275">
        <v>0.32521955197841762</v>
      </c>
      <c r="I30" s="275">
        <v>0.33833954473839345</v>
      </c>
      <c r="J30" s="276">
        <v>0.35144911233850845</v>
      </c>
      <c r="K30" s="274">
        <v>0.36457676008244522</v>
      </c>
      <c r="L30" s="275">
        <v>0.37772252499980519</v>
      </c>
      <c r="M30" s="275">
        <v>0.3908864442213773</v>
      </c>
      <c r="N30" s="275">
        <v>0.40406851290439871</v>
      </c>
      <c r="O30" s="275">
        <v>0.41726880770974778</v>
      </c>
      <c r="P30" s="275">
        <v>0.43048736606821947</v>
      </c>
      <c r="Q30" s="275">
        <v>0.44372422551316876</v>
      </c>
      <c r="R30" s="275">
        <v>0.45697942368087058</v>
      </c>
      <c r="S30" s="276">
        <v>0.46596824148387361</v>
      </c>
      <c r="T30" s="274">
        <v>0.4749975931592072</v>
      </c>
      <c r="U30" s="275">
        <v>0.48404066165155474</v>
      </c>
      <c r="V30" s="275">
        <v>0.49309747929887027</v>
      </c>
      <c r="W30" s="275">
        <v>0.50216807854083834</v>
      </c>
      <c r="X30" s="275">
        <v>0.51122761269299632</v>
      </c>
      <c r="Y30" s="275">
        <v>0.52030010677187488</v>
      </c>
      <c r="Z30" s="275">
        <v>0.52938559142737074</v>
      </c>
      <c r="AA30" s="275">
        <v>0.5384840974061087</v>
      </c>
      <c r="AB30" s="276">
        <v>0.54759565555181966</v>
      </c>
      <c r="AC30" s="274">
        <v>0.55286372806761841</v>
      </c>
      <c r="AD30" s="275">
        <v>0.55784129222157508</v>
      </c>
      <c r="AE30" s="275">
        <v>0.56282035088797444</v>
      </c>
      <c r="AF30" s="275">
        <v>0.56780090495300728</v>
      </c>
      <c r="AG30" s="275">
        <v>0.57278295530356194</v>
      </c>
      <c r="AH30" s="275">
        <v>0.57791945452178184</v>
      </c>
      <c r="AI30" s="275">
        <v>0.58306010607657366</v>
      </c>
      <c r="AJ30" s="275">
        <v>0.58820491243206108</v>
      </c>
      <c r="AK30" s="275">
        <v>0.59335387605431866</v>
      </c>
      <c r="AL30" s="276">
        <v>0.59850699941137264</v>
      </c>
      <c r="AM30" s="274">
        <v>0.60260559952909809</v>
      </c>
      <c r="AN30" s="275">
        <v>0.60670419964682354</v>
      </c>
      <c r="AO30" s="275">
        <v>0.6108027997645491</v>
      </c>
      <c r="AP30" s="275">
        <v>0.61490139988227455</v>
      </c>
      <c r="AQ30" s="275">
        <v>0.61899999999999999</v>
      </c>
      <c r="AR30" s="275">
        <v>0.62219999999999998</v>
      </c>
      <c r="AS30" s="275">
        <v>0.62539999999999996</v>
      </c>
      <c r="AT30" s="275">
        <v>0.62860000000000005</v>
      </c>
      <c r="AU30" s="275">
        <v>0.63180000000000003</v>
      </c>
      <c r="AV30" s="276">
        <v>0.63500000000000001</v>
      </c>
      <c r="AW30" s="274">
        <v>0.63719999999999999</v>
      </c>
      <c r="AX30" s="275">
        <v>0.63939999999999997</v>
      </c>
      <c r="AY30" s="275">
        <v>0.64160000000000006</v>
      </c>
      <c r="AZ30" s="275">
        <v>0.64380000000000004</v>
      </c>
      <c r="BA30" s="275">
        <v>0.64600000000000002</v>
      </c>
      <c r="BB30" s="275">
        <v>0.64780000000000004</v>
      </c>
      <c r="BC30" s="275">
        <v>0.64960000000000007</v>
      </c>
      <c r="BD30" s="275">
        <v>0.65139999999999998</v>
      </c>
      <c r="BE30" s="275">
        <v>0.6532</v>
      </c>
      <c r="BF30" s="276">
        <v>0.65500000000000003</v>
      </c>
      <c r="BG30" s="276">
        <f>BF30</f>
        <v>0.65500000000000003</v>
      </c>
      <c r="BH30" s="237"/>
    </row>
    <row r="31" spans="1:60" x14ac:dyDescent="0.2">
      <c r="A31" s="348">
        <v>0.5</v>
      </c>
      <c r="B31" s="277">
        <v>0.5661448205010392</v>
      </c>
      <c r="C31" s="278">
        <v>0.57533247472244153</v>
      </c>
      <c r="D31" s="278">
        <v>0.58484564827793317</v>
      </c>
      <c r="E31" s="278">
        <v>0.59480371062066795</v>
      </c>
      <c r="F31" s="278">
        <v>0.60477652457800757</v>
      </c>
      <c r="G31" s="278">
        <v>0.61747049755698991</v>
      </c>
      <c r="H31" s="278">
        <v>0.63042552970664822</v>
      </c>
      <c r="I31" s="278">
        <v>0.64092466585922758</v>
      </c>
      <c r="J31" s="279">
        <v>0.6512593098436964</v>
      </c>
      <c r="K31" s="277">
        <v>0.66160817721375431</v>
      </c>
      <c r="L31" s="278">
        <v>0.67197129710004933</v>
      </c>
      <c r="M31" s="278">
        <v>0.68234869871283155</v>
      </c>
      <c r="N31" s="278">
        <v>0.69274045095226922</v>
      </c>
      <c r="O31" s="278">
        <v>0.70314654476811289</v>
      </c>
      <c r="P31" s="278">
        <v>0.7135670096135035</v>
      </c>
      <c r="Q31" s="278">
        <v>0.72400187502228897</v>
      </c>
      <c r="R31" s="278">
        <v>0.73445117060929954</v>
      </c>
      <c r="S31" s="279">
        <v>0.74087416420612862</v>
      </c>
      <c r="T31" s="277">
        <v>0.74689994635676604</v>
      </c>
      <c r="U31" s="278">
        <v>0.75293495518822617</v>
      </c>
      <c r="V31" s="278">
        <v>0.75897921245278288</v>
      </c>
      <c r="W31" s="278">
        <v>0.76503273997114207</v>
      </c>
      <c r="X31" s="278">
        <v>0.77106433315136824</v>
      </c>
      <c r="Y31" s="278">
        <v>0.77710474727327927</v>
      </c>
      <c r="Z31" s="278">
        <v>0.7831540031981794</v>
      </c>
      <c r="AA31" s="278">
        <v>0.78921212185320577</v>
      </c>
      <c r="AB31" s="279">
        <v>0.79527912423159008</v>
      </c>
      <c r="AC31" s="277">
        <v>0.79894685946806621</v>
      </c>
      <c r="AD31" s="278">
        <v>0.80177198498206526</v>
      </c>
      <c r="AE31" s="278">
        <v>0.80459800192238862</v>
      </c>
      <c r="AF31" s="278">
        <v>0.80742491081761392</v>
      </c>
      <c r="AG31" s="278">
        <v>0.81025271219674166</v>
      </c>
      <c r="AH31" s="278">
        <v>0.81325520210357283</v>
      </c>
      <c r="AI31" s="278">
        <v>0.81625980973787882</v>
      </c>
      <c r="AJ31" s="278">
        <v>0.81926653635638436</v>
      </c>
      <c r="AK31" s="278">
        <v>0.82227538321680849</v>
      </c>
      <c r="AL31" s="279">
        <v>0.82528635157786612</v>
      </c>
      <c r="AM31" s="277">
        <v>0.82722908126229289</v>
      </c>
      <c r="AN31" s="278">
        <v>0.82917181094671966</v>
      </c>
      <c r="AO31" s="278">
        <v>0.83111454063114643</v>
      </c>
      <c r="AP31" s="278">
        <v>0.8330572703155732</v>
      </c>
      <c r="AQ31" s="278">
        <v>0.83499999999999996</v>
      </c>
      <c r="AR31" s="278">
        <v>0.83660000000000001</v>
      </c>
      <c r="AS31" s="278">
        <v>0.83819999999999995</v>
      </c>
      <c r="AT31" s="278">
        <v>0.83979999999999999</v>
      </c>
      <c r="AU31" s="278">
        <v>0.84139999999999993</v>
      </c>
      <c r="AV31" s="279">
        <v>0.84299999999999997</v>
      </c>
      <c r="AW31" s="277">
        <v>0.84439999999999993</v>
      </c>
      <c r="AX31" s="278">
        <v>0.8458</v>
      </c>
      <c r="AY31" s="278">
        <v>0.84719999999999995</v>
      </c>
      <c r="AZ31" s="278">
        <v>0.84860000000000002</v>
      </c>
      <c r="BA31" s="278">
        <v>0.85</v>
      </c>
      <c r="BB31" s="278">
        <v>0.85099999999999998</v>
      </c>
      <c r="BC31" s="278">
        <v>0.85199999999999998</v>
      </c>
      <c r="BD31" s="278">
        <v>0.85299999999999998</v>
      </c>
      <c r="BE31" s="278">
        <v>0.85399999999999998</v>
      </c>
      <c r="BF31" s="279">
        <v>0.85499999999999998</v>
      </c>
      <c r="BG31" s="279">
        <f t="shared" ref="BG31:BG80" si="0">BF31</f>
        <v>0.85499999999999998</v>
      </c>
      <c r="BH31" s="237"/>
    </row>
    <row r="32" spans="1:60" x14ac:dyDescent="0.2">
      <c r="A32" s="348">
        <v>1</v>
      </c>
      <c r="B32" s="277">
        <v>0.77882276003937201</v>
      </c>
      <c r="C32" s="278">
        <v>0.78303663532504575</v>
      </c>
      <c r="D32" s="278">
        <v>0.78783402350913811</v>
      </c>
      <c r="E32" s="278">
        <v>0.7948537917321008</v>
      </c>
      <c r="F32" s="278">
        <v>0.80201677943896132</v>
      </c>
      <c r="G32" s="278">
        <v>0.81020468767076204</v>
      </c>
      <c r="H32" s="278">
        <v>0.8186340052550054</v>
      </c>
      <c r="I32" s="278">
        <v>0.82561947642509836</v>
      </c>
      <c r="J32" s="279">
        <v>0.83239940004368285</v>
      </c>
      <c r="K32" s="277">
        <v>0.83918863539019717</v>
      </c>
      <c r="L32" s="278">
        <v>0.84598720153581664</v>
      </c>
      <c r="M32" s="278">
        <v>0.85279511760382987</v>
      </c>
      <c r="N32" s="278">
        <v>0.85961253648947</v>
      </c>
      <c r="O32" s="278">
        <v>0.86643934582370885</v>
      </c>
      <c r="P32" s="278">
        <v>0.87327556489161029</v>
      </c>
      <c r="Q32" s="278">
        <v>0.88012121303108282</v>
      </c>
      <c r="R32" s="278">
        <v>0.88697630963305729</v>
      </c>
      <c r="S32" s="279">
        <v>0.8913941102341123</v>
      </c>
      <c r="T32" s="277">
        <v>0.8952548808214873</v>
      </c>
      <c r="U32" s="278">
        <v>0.89912160745435099</v>
      </c>
      <c r="V32" s="278">
        <v>0.90299430417432458</v>
      </c>
      <c r="W32" s="278">
        <v>0.90687298506719982</v>
      </c>
      <c r="X32" s="278">
        <v>0.91072821366431955</v>
      </c>
      <c r="Y32" s="278">
        <v>0.91458920212053074</v>
      </c>
      <c r="Z32" s="278">
        <v>0.91845596405775343</v>
      </c>
      <c r="AA32" s="278">
        <v>0.92232851314089859</v>
      </c>
      <c r="AB32" s="279">
        <v>0.92620686307803179</v>
      </c>
      <c r="AC32" s="277">
        <v>0.92855738260669285</v>
      </c>
      <c r="AD32" s="278">
        <v>0.92977497091961758</v>
      </c>
      <c r="AE32" s="278">
        <v>0.93099296706703216</v>
      </c>
      <c r="AF32" s="278">
        <v>0.93221137129076714</v>
      </c>
      <c r="AG32" s="278">
        <v>0.93343018383284448</v>
      </c>
      <c r="AH32" s="278">
        <v>0.93480428015742301</v>
      </c>
      <c r="AI32" s="278">
        <v>0.93617920015593548</v>
      </c>
      <c r="AJ32" s="278">
        <v>0.93755494431717556</v>
      </c>
      <c r="AK32" s="278">
        <v>0.93893151313032386</v>
      </c>
      <c r="AL32" s="279">
        <v>0.94030890708494763</v>
      </c>
      <c r="AM32" s="277">
        <v>0.9412471256679581</v>
      </c>
      <c r="AN32" s="278">
        <v>0.94218534425096856</v>
      </c>
      <c r="AO32" s="278">
        <v>0.94312356283397902</v>
      </c>
      <c r="AP32" s="278">
        <v>0.94406178141698949</v>
      </c>
      <c r="AQ32" s="278">
        <v>0.94499999999999995</v>
      </c>
      <c r="AR32" s="278">
        <v>0.94579999999999997</v>
      </c>
      <c r="AS32" s="278">
        <v>0.9466</v>
      </c>
      <c r="AT32" s="278">
        <v>0.94739999999999991</v>
      </c>
      <c r="AU32" s="278">
        <v>0.94819999999999993</v>
      </c>
      <c r="AV32" s="279">
        <v>0.94899999999999995</v>
      </c>
      <c r="AW32" s="277">
        <v>0.9496</v>
      </c>
      <c r="AX32" s="278">
        <v>0.95019999999999993</v>
      </c>
      <c r="AY32" s="278">
        <v>0.95079999999999998</v>
      </c>
      <c r="AZ32" s="278">
        <v>0.95139999999999991</v>
      </c>
      <c r="BA32" s="278">
        <v>0.95199999999999996</v>
      </c>
      <c r="BB32" s="278">
        <v>0.95239999999999991</v>
      </c>
      <c r="BC32" s="278">
        <v>0.95279999999999998</v>
      </c>
      <c r="BD32" s="278">
        <v>0.95319999999999994</v>
      </c>
      <c r="BE32" s="278">
        <v>0.9536</v>
      </c>
      <c r="BF32" s="279">
        <v>0.95399999999999996</v>
      </c>
      <c r="BG32" s="279">
        <f t="shared" si="0"/>
        <v>0.95399999999999996</v>
      </c>
      <c r="BH32" s="237"/>
    </row>
    <row r="33" spans="1:60" x14ac:dyDescent="0.2">
      <c r="A33" s="348">
        <v>1.5</v>
      </c>
      <c r="B33" s="277">
        <v>0.89337338669879129</v>
      </c>
      <c r="C33" s="278">
        <v>0.89517139426667713</v>
      </c>
      <c r="D33" s="278">
        <v>0.89759342921677088</v>
      </c>
      <c r="E33" s="278">
        <v>0.90217897720874163</v>
      </c>
      <c r="F33" s="278">
        <v>0.90698007008297499</v>
      </c>
      <c r="G33" s="278">
        <v>0.91160176199592668</v>
      </c>
      <c r="H33" s="278">
        <v>0.91632910561598557</v>
      </c>
      <c r="I33" s="278">
        <v>0.92054955711502306</v>
      </c>
      <c r="J33" s="279">
        <v>0.92463784542456973</v>
      </c>
      <c r="K33" s="277">
        <v>0.92873173717024782</v>
      </c>
      <c r="L33" s="278">
        <v>0.93283124382834903</v>
      </c>
      <c r="M33" s="278">
        <v>0.93693637690652631</v>
      </c>
      <c r="N33" s="278">
        <v>0.94104733158431897</v>
      </c>
      <c r="O33" s="278">
        <v>0.94516393739725835</v>
      </c>
      <c r="P33" s="278">
        <v>0.94928620595102153</v>
      </c>
      <c r="Q33" s="278">
        <v>0.95341414888308329</v>
      </c>
      <c r="R33" s="278">
        <v>0.95754777786283085</v>
      </c>
      <c r="S33" s="279">
        <v>0.96008581206068699</v>
      </c>
      <c r="T33" s="277">
        <v>0.96198781649104792</v>
      </c>
      <c r="U33" s="278">
        <v>0.96389277937504469</v>
      </c>
      <c r="V33" s="278">
        <v>0.96580070768735271</v>
      </c>
      <c r="W33" s="278">
        <v>0.96771160842458748</v>
      </c>
      <c r="X33" s="278">
        <v>0.96960202756853342</v>
      </c>
      <c r="Y33" s="278">
        <v>0.97149533985763947</v>
      </c>
      <c r="Z33" s="278">
        <v>0.9733915521341221</v>
      </c>
      <c r="AA33" s="278">
        <v>0.97529067126178615</v>
      </c>
      <c r="AB33" s="279">
        <v>0.97719270412611925</v>
      </c>
      <c r="AC33" s="277">
        <v>0.97867450307605697</v>
      </c>
      <c r="AD33" s="278">
        <v>0.97932879451662913</v>
      </c>
      <c r="AE33" s="278">
        <v>0.97998331868362676</v>
      </c>
      <c r="AF33" s="278">
        <v>0.98063807571504757</v>
      </c>
      <c r="AG33" s="278">
        <v>0.98129306574899822</v>
      </c>
      <c r="AH33" s="278">
        <v>0.98206655942284993</v>
      </c>
      <c r="AI33" s="278">
        <v>0.9828404505554752</v>
      </c>
      <c r="AJ33" s="278">
        <v>0.98361473938274013</v>
      </c>
      <c r="AK33" s="278">
        <v>0.98438942614069447</v>
      </c>
      <c r="AL33" s="279">
        <v>0.98516451106557668</v>
      </c>
      <c r="AM33" s="277">
        <v>0.98573160885246136</v>
      </c>
      <c r="AN33" s="278">
        <v>0.98629870663934605</v>
      </c>
      <c r="AO33" s="278">
        <v>0.98686580442623062</v>
      </c>
      <c r="AP33" s="278">
        <v>0.9874329022131153</v>
      </c>
      <c r="AQ33" s="278">
        <v>0.98799999999999999</v>
      </c>
      <c r="AR33" s="278">
        <v>0.98839999999999995</v>
      </c>
      <c r="AS33" s="278">
        <v>0.98880000000000001</v>
      </c>
      <c r="AT33" s="278">
        <v>0.98919999999999997</v>
      </c>
      <c r="AU33" s="278">
        <v>0.98960000000000004</v>
      </c>
      <c r="AV33" s="279">
        <v>0.99</v>
      </c>
      <c r="AW33" s="277">
        <v>0.99039999999999995</v>
      </c>
      <c r="AX33" s="278">
        <v>0.99080000000000001</v>
      </c>
      <c r="AY33" s="278">
        <v>0.99119999999999997</v>
      </c>
      <c r="AZ33" s="278">
        <v>0.99160000000000004</v>
      </c>
      <c r="BA33" s="278">
        <v>0.99199999999999999</v>
      </c>
      <c r="BB33" s="278">
        <v>0.99219999999999997</v>
      </c>
      <c r="BC33" s="278">
        <v>0.99239999999999995</v>
      </c>
      <c r="BD33" s="278">
        <v>0.99260000000000004</v>
      </c>
      <c r="BE33" s="278">
        <v>0.99280000000000002</v>
      </c>
      <c r="BF33" s="279">
        <v>0.99299999999999999</v>
      </c>
      <c r="BG33" s="279">
        <f t="shared" si="0"/>
        <v>0.99299999999999999</v>
      </c>
      <c r="BH33" s="237"/>
    </row>
    <row r="34" spans="1:60" x14ac:dyDescent="0.2">
      <c r="A34" s="349">
        <v>2</v>
      </c>
      <c r="B34" s="281">
        <v>0.95587581086675377</v>
      </c>
      <c r="C34" s="282">
        <v>0.95597283563984092</v>
      </c>
      <c r="D34" s="282">
        <v>0.95647427017870423</v>
      </c>
      <c r="E34" s="282">
        <v>0.95865827256362479</v>
      </c>
      <c r="F34" s="282">
        <v>0.96107316382224339</v>
      </c>
      <c r="G34" s="282">
        <v>0.9637883979478713</v>
      </c>
      <c r="H34" s="282">
        <v>0.96665617079713795</v>
      </c>
      <c r="I34" s="282">
        <v>0.96886739240972652</v>
      </c>
      <c r="J34" s="283">
        <v>0.97088111580994818</v>
      </c>
      <c r="K34" s="281">
        <v>0.97289759333692116</v>
      </c>
      <c r="L34" s="282">
        <v>0.97491683063132162</v>
      </c>
      <c r="M34" s="282">
        <v>0.97693883334923914</v>
      </c>
      <c r="N34" s="282">
        <v>0.978963783282776</v>
      </c>
      <c r="O34" s="282">
        <v>0.98099151072714541</v>
      </c>
      <c r="P34" s="282">
        <v>0.98302202138649297</v>
      </c>
      <c r="Q34" s="282">
        <v>0.98505532098059245</v>
      </c>
      <c r="R34" s="282">
        <v>0.9870914152449014</v>
      </c>
      <c r="S34" s="283">
        <v>0.98845958872326145</v>
      </c>
      <c r="T34" s="281">
        <v>0.98942158841395877</v>
      </c>
      <c r="U34" s="282">
        <v>0.9903850957834992</v>
      </c>
      <c r="V34" s="282">
        <v>0.99135011438629594</v>
      </c>
      <c r="W34" s="282">
        <v>0.99231664778794604</v>
      </c>
      <c r="X34" s="282">
        <v>0.99326872121588872</v>
      </c>
      <c r="Y34" s="282">
        <v>0.99422228515856514</v>
      </c>
      <c r="Z34" s="282">
        <v>0.99517734314100137</v>
      </c>
      <c r="AA34" s="282">
        <v>0.99613389869935431</v>
      </c>
      <c r="AB34" s="283">
        <v>0.99709195538094564</v>
      </c>
      <c r="AC34" s="281">
        <v>0.99791999098571949</v>
      </c>
      <c r="AD34" s="282">
        <v>0.99809902290538488</v>
      </c>
      <c r="AE34" s="282">
        <v>0.99827812558375895</v>
      </c>
      <c r="AF34" s="282">
        <v>0.99845729906280156</v>
      </c>
      <c r="AG34" s="282">
        <v>0.99863654338450192</v>
      </c>
      <c r="AH34" s="282">
        <v>0.99889359595062099</v>
      </c>
      <c r="AI34" s="282">
        <v>0.99915075019188893</v>
      </c>
      <c r="AJ34" s="282">
        <v>0.99940800616864056</v>
      </c>
      <c r="AK34" s="282">
        <v>0.99966536394126182</v>
      </c>
      <c r="AL34" s="283">
        <v>0.99992282357018547</v>
      </c>
      <c r="AM34" s="281">
        <v>1.0001382588561483</v>
      </c>
      <c r="AN34" s="282">
        <v>1.0003536941421112</v>
      </c>
      <c r="AO34" s="282">
        <v>1.0005691294280741</v>
      </c>
      <c r="AP34" s="282">
        <v>1.000784564714037</v>
      </c>
      <c r="AQ34" s="282">
        <v>1.0009999999999999</v>
      </c>
      <c r="AR34" s="282">
        <v>1.0010999999999999</v>
      </c>
      <c r="AS34" s="282">
        <v>1.0011999999999999</v>
      </c>
      <c r="AT34" s="282">
        <v>1.0013000000000001</v>
      </c>
      <c r="AU34" s="282">
        <v>1.0014000000000001</v>
      </c>
      <c r="AV34" s="283">
        <v>1.0015000000000001</v>
      </c>
      <c r="AW34" s="281">
        <v>1.0016</v>
      </c>
      <c r="AX34" s="282">
        <v>1.0017</v>
      </c>
      <c r="AY34" s="282">
        <v>1.0018</v>
      </c>
      <c r="AZ34" s="282">
        <v>1.0019</v>
      </c>
      <c r="BA34" s="282">
        <v>1.002</v>
      </c>
      <c r="BB34" s="282">
        <v>1.002</v>
      </c>
      <c r="BC34" s="282">
        <v>1.002</v>
      </c>
      <c r="BD34" s="282">
        <v>1.002</v>
      </c>
      <c r="BE34" s="282">
        <v>1.002</v>
      </c>
      <c r="BF34" s="283">
        <v>1.002</v>
      </c>
      <c r="BG34" s="283">
        <f t="shared" si="0"/>
        <v>1.002</v>
      </c>
      <c r="BH34" s="237"/>
    </row>
    <row r="35" spans="1:60" x14ac:dyDescent="0.2">
      <c r="A35" s="348">
        <v>2.5</v>
      </c>
      <c r="B35" s="284">
        <v>0.98703807497498108</v>
      </c>
      <c r="C35" s="285">
        <v>0.98653429066831955</v>
      </c>
      <c r="D35" s="285">
        <v>0.9865448912505479</v>
      </c>
      <c r="E35" s="285">
        <v>0.98737160323200479</v>
      </c>
      <c r="F35" s="285">
        <v>0.98834327785117548</v>
      </c>
      <c r="G35" s="285">
        <v>0.98965511065918021</v>
      </c>
      <c r="H35" s="285">
        <v>0.99110338331858827</v>
      </c>
      <c r="I35" s="285">
        <v>0.99198771149925569</v>
      </c>
      <c r="J35" s="286">
        <v>0.99266519247578455</v>
      </c>
      <c r="K35" s="284">
        <v>0.99334359784524517</v>
      </c>
      <c r="L35" s="285">
        <v>0.99402292950086912</v>
      </c>
      <c r="M35" s="285">
        <v>0.99470318934106028</v>
      </c>
      <c r="N35" s="285">
        <v>0.99538449238679383</v>
      </c>
      <c r="O35" s="285">
        <v>0.99606672758426273</v>
      </c>
      <c r="P35" s="285">
        <v>0.99674989684781889</v>
      </c>
      <c r="Q35" s="285">
        <v>0.99743400209705557</v>
      </c>
      <c r="R35" s="285">
        <v>0.99811904525683404</v>
      </c>
      <c r="S35" s="286">
        <v>0.99864391373155914</v>
      </c>
      <c r="T35" s="284">
        <v>0.99903309988301969</v>
      </c>
      <c r="U35" s="285">
        <v>0.99942290026830727</v>
      </c>
      <c r="V35" s="285">
        <v>0.99981331633550363</v>
      </c>
      <c r="W35" s="285">
        <v>1.000204349537243</v>
      </c>
      <c r="X35" s="285">
        <v>1.0005879786508078</v>
      </c>
      <c r="Y35" s="285">
        <v>1.0009722214652448</v>
      </c>
      <c r="Z35" s="285">
        <v>1.0013570794319568</v>
      </c>
      <c r="AA35" s="285">
        <v>1.0017425540068958</v>
      </c>
      <c r="AB35" s="286">
        <v>1.0021286466506349</v>
      </c>
      <c r="AC35" s="284">
        <v>1.0025322831755648</v>
      </c>
      <c r="AD35" s="285">
        <v>1.0026227160870385</v>
      </c>
      <c r="AE35" s="285">
        <v>1.0027131865688828</v>
      </c>
      <c r="AF35" s="285">
        <v>1.0028036946433809</v>
      </c>
      <c r="AG35" s="285">
        <v>1.0028942403328249</v>
      </c>
      <c r="AH35" s="285">
        <v>1.003022660145966</v>
      </c>
      <c r="AI35" s="285">
        <v>1.0031511251595042</v>
      </c>
      <c r="AJ35" s="285">
        <v>1.0032796354002742</v>
      </c>
      <c r="AK35" s="285">
        <v>1.0034081908951136</v>
      </c>
      <c r="AL35" s="286">
        <v>1.0035367916708908</v>
      </c>
      <c r="AM35" s="287">
        <v>1.0036294333367126</v>
      </c>
      <c r="AN35" s="288">
        <v>1.0037220750025344</v>
      </c>
      <c r="AO35" s="288">
        <v>1.0038147166683564</v>
      </c>
      <c r="AP35" s="288">
        <v>1.0039073583341782</v>
      </c>
      <c r="AQ35" s="288">
        <v>1.004</v>
      </c>
      <c r="AR35" s="288">
        <v>1.0041</v>
      </c>
      <c r="AS35" s="288">
        <v>1.0042</v>
      </c>
      <c r="AT35" s="288">
        <v>1.0043</v>
      </c>
      <c r="AU35" s="288">
        <v>1.0044</v>
      </c>
      <c r="AV35" s="289">
        <v>1.0044999999999999</v>
      </c>
      <c r="AW35" s="287">
        <v>1.0045999999999999</v>
      </c>
      <c r="AX35" s="288">
        <v>1.0046999999999999</v>
      </c>
      <c r="AY35" s="288">
        <v>1.0047999999999999</v>
      </c>
      <c r="AZ35" s="288">
        <v>1.0048999999999999</v>
      </c>
      <c r="BA35" s="288">
        <v>1.0049999999999999</v>
      </c>
      <c r="BB35" s="288">
        <v>1.0049999999999999</v>
      </c>
      <c r="BC35" s="288">
        <v>1.0049999999999999</v>
      </c>
      <c r="BD35" s="288">
        <v>1.0049999999999999</v>
      </c>
      <c r="BE35" s="288">
        <v>1.0049999999999999</v>
      </c>
      <c r="BF35" s="289">
        <v>1.0049999999999999</v>
      </c>
      <c r="BG35" s="289">
        <f t="shared" si="0"/>
        <v>1.0049999999999999</v>
      </c>
      <c r="BH35" s="237"/>
    </row>
    <row r="36" spans="1:60" x14ac:dyDescent="0.2">
      <c r="A36" s="348">
        <v>3</v>
      </c>
      <c r="B36" s="277">
        <v>1</v>
      </c>
      <c r="C36" s="278">
        <v>1</v>
      </c>
      <c r="D36" s="278">
        <v>1</v>
      </c>
      <c r="E36" s="278">
        <v>1</v>
      </c>
      <c r="F36" s="278">
        <v>1</v>
      </c>
      <c r="G36" s="278">
        <v>1</v>
      </c>
      <c r="H36" s="278">
        <v>1</v>
      </c>
      <c r="I36" s="278">
        <v>1</v>
      </c>
      <c r="J36" s="279">
        <v>1</v>
      </c>
      <c r="K36" s="277">
        <v>1</v>
      </c>
      <c r="L36" s="278">
        <v>1</v>
      </c>
      <c r="M36" s="278">
        <v>1</v>
      </c>
      <c r="N36" s="278">
        <v>1</v>
      </c>
      <c r="O36" s="278">
        <v>1</v>
      </c>
      <c r="P36" s="278">
        <v>1</v>
      </c>
      <c r="Q36" s="278">
        <v>1</v>
      </c>
      <c r="R36" s="278">
        <v>1</v>
      </c>
      <c r="S36" s="279">
        <v>1</v>
      </c>
      <c r="T36" s="277">
        <v>1</v>
      </c>
      <c r="U36" s="278">
        <v>1</v>
      </c>
      <c r="V36" s="278">
        <v>1</v>
      </c>
      <c r="W36" s="278">
        <v>1</v>
      </c>
      <c r="X36" s="278">
        <v>1</v>
      </c>
      <c r="Y36" s="278">
        <v>1</v>
      </c>
      <c r="Z36" s="278">
        <v>1</v>
      </c>
      <c r="AA36" s="278">
        <v>1</v>
      </c>
      <c r="AB36" s="279">
        <v>1</v>
      </c>
      <c r="AC36" s="277">
        <v>1</v>
      </c>
      <c r="AD36" s="278">
        <v>1</v>
      </c>
      <c r="AE36" s="278">
        <v>1</v>
      </c>
      <c r="AF36" s="278">
        <v>1</v>
      </c>
      <c r="AG36" s="278">
        <v>1</v>
      </c>
      <c r="AH36" s="278">
        <v>1</v>
      </c>
      <c r="AI36" s="278">
        <v>1</v>
      </c>
      <c r="AJ36" s="278">
        <v>1</v>
      </c>
      <c r="AK36" s="278">
        <v>1</v>
      </c>
      <c r="AL36" s="279">
        <v>1</v>
      </c>
      <c r="AM36" s="277">
        <v>1</v>
      </c>
      <c r="AN36" s="278">
        <v>1</v>
      </c>
      <c r="AO36" s="278">
        <v>1</v>
      </c>
      <c r="AP36" s="278">
        <v>1</v>
      </c>
      <c r="AQ36" s="278">
        <v>1</v>
      </c>
      <c r="AR36" s="278">
        <v>1</v>
      </c>
      <c r="AS36" s="278">
        <v>1</v>
      </c>
      <c r="AT36" s="278">
        <v>1</v>
      </c>
      <c r="AU36" s="278">
        <v>1</v>
      </c>
      <c r="AV36" s="279">
        <v>1</v>
      </c>
      <c r="AW36" s="277">
        <v>1</v>
      </c>
      <c r="AX36" s="278">
        <v>1</v>
      </c>
      <c r="AY36" s="278">
        <v>1</v>
      </c>
      <c r="AZ36" s="278">
        <v>1</v>
      </c>
      <c r="BA36" s="278">
        <v>1</v>
      </c>
      <c r="BB36" s="278">
        <v>1</v>
      </c>
      <c r="BC36" s="278">
        <v>1</v>
      </c>
      <c r="BD36" s="278">
        <v>1</v>
      </c>
      <c r="BE36" s="278">
        <v>1</v>
      </c>
      <c r="BF36" s="279">
        <v>1</v>
      </c>
      <c r="BG36" s="279">
        <f t="shared" si="0"/>
        <v>1</v>
      </c>
      <c r="BH36" s="237"/>
    </row>
    <row r="37" spans="1:60" x14ac:dyDescent="0.2">
      <c r="A37" s="348">
        <v>3.5</v>
      </c>
      <c r="B37" s="277">
        <v>1.0033317264100103</v>
      </c>
      <c r="C37" s="278">
        <v>1.0030718323476786</v>
      </c>
      <c r="D37" s="278">
        <v>1.0025733338631722</v>
      </c>
      <c r="E37" s="278">
        <v>1.0020802000584839</v>
      </c>
      <c r="F37" s="278">
        <v>1.0015870715435211</v>
      </c>
      <c r="G37" s="278">
        <v>1.0014853652252906</v>
      </c>
      <c r="H37" s="278">
        <v>1.0014804555628534</v>
      </c>
      <c r="I37" s="278">
        <v>1.001144398125853</v>
      </c>
      <c r="J37" s="279">
        <v>1.0006516071778595</v>
      </c>
      <c r="K37" s="277">
        <v>1.0001581465836018</v>
      </c>
      <c r="L37" s="278">
        <v>0.99966401497157797</v>
      </c>
      <c r="M37" s="278">
        <v>0.99916921096655031</v>
      </c>
      <c r="N37" s="278">
        <v>0.99867357587007433</v>
      </c>
      <c r="O37" s="278">
        <v>0.99817726577477495</v>
      </c>
      <c r="P37" s="278">
        <v>0.99768027929441561</v>
      </c>
      <c r="Q37" s="278">
        <v>0.997182615038958</v>
      </c>
      <c r="R37" s="278">
        <v>0.99668427161455708</v>
      </c>
      <c r="S37" s="279">
        <v>0.99631788449559444</v>
      </c>
      <c r="T37" s="277">
        <v>0.99621648227421844</v>
      </c>
      <c r="U37" s="278">
        <v>0.9961149142893827</v>
      </c>
      <c r="V37" s="278">
        <v>0.99601318015029239</v>
      </c>
      <c r="W37" s="278">
        <v>0.99591127946492775</v>
      </c>
      <c r="X37" s="278">
        <v>0.99581713721381782</v>
      </c>
      <c r="Y37" s="278">
        <v>0.99572282594318073</v>
      </c>
      <c r="Z37" s="278">
        <v>0.99562834525328847</v>
      </c>
      <c r="AA37" s="278">
        <v>0.99553369474315345</v>
      </c>
      <c r="AB37" s="279">
        <v>0.99543887401052156</v>
      </c>
      <c r="AC37" s="277">
        <v>0.9952829548927753</v>
      </c>
      <c r="AD37" s="278">
        <v>0.9951616897447767</v>
      </c>
      <c r="AE37" s="278">
        <v>0.99507015303980828</v>
      </c>
      <c r="AF37" s="278">
        <v>0.9949785743846542</v>
      </c>
      <c r="AG37" s="278">
        <v>0.99488695375443459</v>
      </c>
      <c r="AH37" s="278">
        <v>0.99476001211543885</v>
      </c>
      <c r="AI37" s="278">
        <v>0.99463303563858074</v>
      </c>
      <c r="AJ37" s="278">
        <v>0.9945060243031848</v>
      </c>
      <c r="AK37" s="278">
        <v>0.99437897808856313</v>
      </c>
      <c r="AL37" s="279">
        <v>0.99425189697400707</v>
      </c>
      <c r="AM37" s="277">
        <v>0.99420151757920561</v>
      </c>
      <c r="AN37" s="278">
        <v>0.99415113818440426</v>
      </c>
      <c r="AO37" s="278">
        <v>0.9941007587896028</v>
      </c>
      <c r="AP37" s="278">
        <v>0.99405037939480145</v>
      </c>
      <c r="AQ37" s="278">
        <v>0.99399999999999999</v>
      </c>
      <c r="AR37" s="278">
        <v>0.99380000000000002</v>
      </c>
      <c r="AS37" s="278">
        <v>0.99360000000000004</v>
      </c>
      <c r="AT37" s="278">
        <v>0.99339999999999995</v>
      </c>
      <c r="AU37" s="278">
        <v>0.99319999999999997</v>
      </c>
      <c r="AV37" s="279">
        <v>0.99299999999999999</v>
      </c>
      <c r="AW37" s="277">
        <v>0.99299999999999999</v>
      </c>
      <c r="AX37" s="278">
        <v>0.99299999999999999</v>
      </c>
      <c r="AY37" s="278">
        <v>0.99299999999999999</v>
      </c>
      <c r="AZ37" s="278">
        <v>0.99299999999999999</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8">
        <v>4</v>
      </c>
      <c r="B38" s="277">
        <v>0.99839708400931171</v>
      </c>
      <c r="C38" s="278">
        <v>0.99917066079222849</v>
      </c>
      <c r="D38" s="278">
        <v>0.9996390883180476</v>
      </c>
      <c r="E38" s="278">
        <v>0.99900106358467178</v>
      </c>
      <c r="F38" s="278">
        <v>0.99801028789046942</v>
      </c>
      <c r="G38" s="278">
        <v>0.99742951198403551</v>
      </c>
      <c r="H38" s="278">
        <v>0.99692350877743696</v>
      </c>
      <c r="I38" s="278">
        <v>0.99627317961528716</v>
      </c>
      <c r="J38" s="279">
        <v>0.9955739043816747</v>
      </c>
      <c r="K38" s="277">
        <v>0.99487368139689369</v>
      </c>
      <c r="L38" s="278">
        <v>0.99417250871987251</v>
      </c>
      <c r="M38" s="278">
        <v>0.99347038440423541</v>
      </c>
      <c r="N38" s="278">
        <v>0.99276695347188237</v>
      </c>
      <c r="O38" s="278">
        <v>0.9920625674912491</v>
      </c>
      <c r="P38" s="278">
        <v>0.99135722450096408</v>
      </c>
      <c r="Q38" s="278">
        <v>0.99065092253427978</v>
      </c>
      <c r="R38" s="278">
        <v>0.98994365961905673</v>
      </c>
      <c r="S38" s="279">
        <v>0.98936304432804845</v>
      </c>
      <c r="T38" s="277">
        <v>0.98915651166662244</v>
      </c>
      <c r="U38" s="278">
        <v>0.98894964050937884</v>
      </c>
      <c r="V38" s="278">
        <v>0.98874243005829854</v>
      </c>
      <c r="W38" s="278">
        <v>0.98853487951285479</v>
      </c>
      <c r="X38" s="278">
        <v>0.98834265350715944</v>
      </c>
      <c r="Y38" s="278">
        <v>0.9881500789736718</v>
      </c>
      <c r="Z38" s="278">
        <v>0.98795715508813342</v>
      </c>
      <c r="AA38" s="278">
        <v>0.98776388102368406</v>
      </c>
      <c r="AB38" s="279">
        <v>0.98757025595085024</v>
      </c>
      <c r="AC38" s="277">
        <v>0.98731450962018019</v>
      </c>
      <c r="AD38" s="278">
        <v>0.9871700212472182</v>
      </c>
      <c r="AE38" s="278">
        <v>0.98718505182513472</v>
      </c>
      <c r="AF38" s="278">
        <v>0.98720008048845653</v>
      </c>
      <c r="AG38" s="278">
        <v>0.98721510723604611</v>
      </c>
      <c r="AH38" s="278">
        <v>0.98716222815187815</v>
      </c>
      <c r="AI38" s="278">
        <v>0.98710934775660408</v>
      </c>
      <c r="AJ38" s="278">
        <v>0.98705646604944519</v>
      </c>
      <c r="AK38" s="278">
        <v>0.9870035830296231</v>
      </c>
      <c r="AL38" s="279">
        <v>0.98695069869635932</v>
      </c>
      <c r="AM38" s="277">
        <v>0.98696055895708745</v>
      </c>
      <c r="AN38" s="278">
        <v>0.98697041921781559</v>
      </c>
      <c r="AO38" s="278">
        <v>0.98698027947854372</v>
      </c>
      <c r="AP38" s="278">
        <v>0.98699013973927185</v>
      </c>
      <c r="AQ38" s="278">
        <v>0.98699999999999999</v>
      </c>
      <c r="AR38" s="278">
        <v>0.98699999999999999</v>
      </c>
      <c r="AS38" s="278">
        <v>0.98699999999999999</v>
      </c>
      <c r="AT38" s="278">
        <v>0.98699999999999999</v>
      </c>
      <c r="AU38" s="278">
        <v>0.98699999999999999</v>
      </c>
      <c r="AV38" s="279">
        <v>0.98699999999999999</v>
      </c>
      <c r="AW38" s="277">
        <v>0.98680000000000001</v>
      </c>
      <c r="AX38" s="278">
        <v>0.98660000000000003</v>
      </c>
      <c r="AY38" s="278">
        <v>0.98639999999999994</v>
      </c>
      <c r="AZ38" s="278">
        <v>0.98619999999999997</v>
      </c>
      <c r="BA38" s="278">
        <v>0.98599999999999999</v>
      </c>
      <c r="BB38" s="278">
        <v>0.98599999999999999</v>
      </c>
      <c r="BC38" s="278">
        <v>0.98599999999999999</v>
      </c>
      <c r="BD38" s="278">
        <v>0.98599999999999999</v>
      </c>
      <c r="BE38" s="278">
        <v>0.98599999999999999</v>
      </c>
      <c r="BF38" s="279">
        <v>0.98599999999999999</v>
      </c>
      <c r="BG38" s="279">
        <f t="shared" si="0"/>
        <v>0.98599999999999999</v>
      </c>
      <c r="BH38" s="237"/>
    </row>
    <row r="39" spans="1:60" x14ac:dyDescent="0.2">
      <c r="A39" s="349">
        <v>4.5</v>
      </c>
      <c r="B39" s="290">
        <v>0.98805014410297565</v>
      </c>
      <c r="C39" s="291">
        <v>0.98946496524391703</v>
      </c>
      <c r="D39" s="291">
        <v>0.99041739639038207</v>
      </c>
      <c r="E39" s="291">
        <v>0.99066696544509714</v>
      </c>
      <c r="F39" s="291">
        <v>0.99065073388352487</v>
      </c>
      <c r="G39" s="291">
        <v>0.99011574508665878</v>
      </c>
      <c r="H39" s="291">
        <v>0.98910097239917316</v>
      </c>
      <c r="I39" s="291">
        <v>0.98815577209518179</v>
      </c>
      <c r="J39" s="292">
        <v>0.98734478520358826</v>
      </c>
      <c r="K39" s="290">
        <v>0.98653270196688025</v>
      </c>
      <c r="L39" s="291">
        <v>0.98571952013965225</v>
      </c>
      <c r="M39" s="291">
        <v>0.98490523747036607</v>
      </c>
      <c r="N39" s="291">
        <v>0.9840892700970808</v>
      </c>
      <c r="O39" s="291">
        <v>0.98327219832126811</v>
      </c>
      <c r="P39" s="291">
        <v>0.9824540198748275</v>
      </c>
      <c r="Q39" s="291">
        <v>0.98163473248344402</v>
      </c>
      <c r="R39" s="291">
        <v>0.9808143338665678</v>
      </c>
      <c r="S39" s="292">
        <v>0.98009507811038743</v>
      </c>
      <c r="T39" s="290">
        <v>0.97987986889951495</v>
      </c>
      <c r="U39" s="291">
        <v>0.97966430098694768</v>
      </c>
      <c r="V39" s="291">
        <v>0.97944837352703462</v>
      </c>
      <c r="W39" s="291">
        <v>0.97923208567146003</v>
      </c>
      <c r="X39" s="291">
        <v>0.97903860801102693</v>
      </c>
      <c r="Y39" s="291">
        <v>0.97884475749539579</v>
      </c>
      <c r="Z39" s="291">
        <v>0.97865053324277418</v>
      </c>
      <c r="AA39" s="291">
        <v>0.9784559343685868</v>
      </c>
      <c r="AB39" s="292">
        <v>0.97826095998546192</v>
      </c>
      <c r="AC39" s="290">
        <v>0.97800365668853451</v>
      </c>
      <c r="AD39" s="291">
        <v>0.97787556297455469</v>
      </c>
      <c r="AE39" s="291">
        <v>0.97809813922186462</v>
      </c>
      <c r="AF39" s="291">
        <v>0.97832080345527872</v>
      </c>
      <c r="AG39" s="291">
        <v>0.97854355572697915</v>
      </c>
      <c r="AH39" s="291">
        <v>0.97866845520883305</v>
      </c>
      <c r="AI39" s="291">
        <v>0.97879340409370708</v>
      </c>
      <c r="AJ39" s="291">
        <v>0.97891840241092065</v>
      </c>
      <c r="AK39" s="291">
        <v>0.97904345018981087</v>
      </c>
      <c r="AL39" s="292">
        <v>0.97916854745974469</v>
      </c>
      <c r="AM39" s="281">
        <v>0.97913483796779577</v>
      </c>
      <c r="AN39" s="282">
        <v>0.97910112847584685</v>
      </c>
      <c r="AO39" s="282">
        <v>0.97906741898389782</v>
      </c>
      <c r="AP39" s="282">
        <v>0.9790337094919489</v>
      </c>
      <c r="AQ39" s="282">
        <v>0.97899999999999998</v>
      </c>
      <c r="AR39" s="282">
        <v>0.97899999999999998</v>
      </c>
      <c r="AS39" s="282">
        <v>0.97899999999999998</v>
      </c>
      <c r="AT39" s="282">
        <v>0.97899999999999998</v>
      </c>
      <c r="AU39" s="282">
        <v>0.97899999999999998</v>
      </c>
      <c r="AV39" s="283">
        <v>0.97899999999999998</v>
      </c>
      <c r="AW39" s="281">
        <v>0.97899999999999998</v>
      </c>
      <c r="AX39" s="282">
        <v>0.97899999999999998</v>
      </c>
      <c r="AY39" s="282">
        <v>0.97899999999999998</v>
      </c>
      <c r="AZ39" s="282">
        <v>0.97899999999999998</v>
      </c>
      <c r="BA39" s="282">
        <v>0.97899999999999998</v>
      </c>
      <c r="BB39" s="282">
        <v>0.97899999999999998</v>
      </c>
      <c r="BC39" s="282">
        <v>0.97899999999999998</v>
      </c>
      <c r="BD39" s="282">
        <v>0.97899999999999998</v>
      </c>
      <c r="BE39" s="282">
        <v>0.97899999999999998</v>
      </c>
      <c r="BF39" s="283">
        <v>0.97899999999999998</v>
      </c>
      <c r="BG39" s="283">
        <f t="shared" si="0"/>
        <v>0.97899999999999998</v>
      </c>
      <c r="BH39" s="237"/>
    </row>
    <row r="40" spans="1:60" x14ac:dyDescent="0.2">
      <c r="A40" s="348">
        <v>5</v>
      </c>
      <c r="B40" s="287">
        <v>0.97817770037195972</v>
      </c>
      <c r="C40" s="288">
        <v>0.97966633830918604</v>
      </c>
      <c r="D40" s="288">
        <v>0.98011852234571828</v>
      </c>
      <c r="E40" s="288">
        <v>0.97989924764331704</v>
      </c>
      <c r="F40" s="288">
        <v>0.97938330367939852</v>
      </c>
      <c r="G40" s="288">
        <v>0.97930744394109248</v>
      </c>
      <c r="H40" s="288">
        <v>0.97926192405796142</v>
      </c>
      <c r="I40" s="288">
        <v>0.97882077624685171</v>
      </c>
      <c r="J40" s="289">
        <v>0.97809479376759534</v>
      </c>
      <c r="K40" s="287">
        <v>0.9773678333742053</v>
      </c>
      <c r="L40" s="288">
        <v>0.97663989306383392</v>
      </c>
      <c r="M40" s="288">
        <v>0.97591097082816158</v>
      </c>
      <c r="N40" s="288">
        <v>0.9751802253249845</v>
      </c>
      <c r="O40" s="288">
        <v>0.97444849511387499</v>
      </c>
      <c r="P40" s="288">
        <v>0.97371577817254928</v>
      </c>
      <c r="Q40" s="288">
        <v>0.97298207247318069</v>
      </c>
      <c r="R40" s="288">
        <v>0.97224737598238542</v>
      </c>
      <c r="S40" s="289">
        <v>0.97156814342657127</v>
      </c>
      <c r="T40" s="287">
        <v>0.97144450315475928</v>
      </c>
      <c r="U40" s="288">
        <v>0.9713206444228647</v>
      </c>
      <c r="V40" s="288">
        <v>0.97119656671585985</v>
      </c>
      <c r="W40" s="288">
        <v>0.97107226951709769</v>
      </c>
      <c r="X40" s="288">
        <v>0.97097824517122566</v>
      </c>
      <c r="Y40" s="288">
        <v>0.9708839916376264</v>
      </c>
      <c r="Z40" s="288">
        <v>0.97078950837427336</v>
      </c>
      <c r="AA40" s="288">
        <v>0.97069479483743493</v>
      </c>
      <c r="AB40" s="289">
        <v>0.9705998504816592</v>
      </c>
      <c r="AC40" s="287">
        <v>0.97044295035503225</v>
      </c>
      <c r="AD40" s="288">
        <v>0.9701707670251305</v>
      </c>
      <c r="AE40" s="288">
        <v>0.97030115432405928</v>
      </c>
      <c r="AF40" s="288">
        <v>0.97043158499993687</v>
      </c>
      <c r="AG40" s="288">
        <v>0.97056205907848814</v>
      </c>
      <c r="AH40" s="288">
        <v>0.97056695160155482</v>
      </c>
      <c r="AI40" s="288">
        <v>0.97057186397213224</v>
      </c>
      <c r="AJ40" s="288">
        <v>0.97057679620199755</v>
      </c>
      <c r="AK40" s="288">
        <v>0.97058174830293886</v>
      </c>
      <c r="AL40" s="289">
        <v>0.97058672028675341</v>
      </c>
      <c r="AM40" s="287">
        <v>0.97066937622940275</v>
      </c>
      <c r="AN40" s="288">
        <v>0.97075203217205208</v>
      </c>
      <c r="AO40" s="288">
        <v>0.97083468811470131</v>
      </c>
      <c r="AP40" s="288">
        <v>0.97091734405735064</v>
      </c>
      <c r="AQ40" s="288">
        <v>0.97099999999999997</v>
      </c>
      <c r="AR40" s="288">
        <v>0.97099999999999997</v>
      </c>
      <c r="AS40" s="288">
        <v>0.97099999999999997</v>
      </c>
      <c r="AT40" s="288">
        <v>0.97099999999999997</v>
      </c>
      <c r="AU40" s="288">
        <v>0.97099999999999997</v>
      </c>
      <c r="AV40" s="289">
        <v>0.97099999999999997</v>
      </c>
      <c r="AW40" s="287">
        <v>0.97099999999999997</v>
      </c>
      <c r="AX40" s="288">
        <v>0.97099999999999997</v>
      </c>
      <c r="AY40" s="288">
        <v>0.97099999999999997</v>
      </c>
      <c r="AZ40" s="288">
        <v>0.97099999999999997</v>
      </c>
      <c r="BA40" s="288">
        <v>0.97099999999999997</v>
      </c>
      <c r="BB40" s="288">
        <v>0.97099999999999997</v>
      </c>
      <c r="BC40" s="288">
        <v>0.97099999999999997</v>
      </c>
      <c r="BD40" s="288">
        <v>0.97099999999999997</v>
      </c>
      <c r="BE40" s="288">
        <v>0.97099999999999997</v>
      </c>
      <c r="BF40" s="289">
        <v>0.97099999999999997</v>
      </c>
      <c r="BG40" s="289">
        <f t="shared" si="0"/>
        <v>0.97099999999999997</v>
      </c>
      <c r="BH40" s="237"/>
    </row>
    <row r="41" spans="1:60" x14ac:dyDescent="0.2">
      <c r="A41" s="348">
        <v>5.5</v>
      </c>
      <c r="B41" s="277">
        <v>0.96625389997806999</v>
      </c>
      <c r="C41" s="278">
        <v>0.96864270869343039</v>
      </c>
      <c r="D41" s="278">
        <v>0.97008062287051533</v>
      </c>
      <c r="E41" s="278">
        <v>0.97054571645301013</v>
      </c>
      <c r="F41" s="278">
        <v>0.97051903136275997</v>
      </c>
      <c r="G41" s="278">
        <v>0.97039143993703258</v>
      </c>
      <c r="H41" s="278">
        <v>0.96983336472563053</v>
      </c>
      <c r="I41" s="278">
        <v>0.96921421053178891</v>
      </c>
      <c r="J41" s="279">
        <v>0.96867364761447661</v>
      </c>
      <c r="K41" s="277">
        <v>0.96813236063241925</v>
      </c>
      <c r="L41" s="278">
        <v>0.96759034810267108</v>
      </c>
      <c r="M41" s="278">
        <v>0.96704760853823835</v>
      </c>
      <c r="N41" s="278">
        <v>0.96650301764757152</v>
      </c>
      <c r="O41" s="278">
        <v>0.96595769798775089</v>
      </c>
      <c r="P41" s="278">
        <v>0.96541164806211044</v>
      </c>
      <c r="Q41" s="278">
        <v>0.96486486636988478</v>
      </c>
      <c r="R41" s="278">
        <v>0.96431735140619135</v>
      </c>
      <c r="S41" s="279">
        <v>0.9638292481923203</v>
      </c>
      <c r="T41" s="277">
        <v>0.96366803415816271</v>
      </c>
      <c r="U41" s="278">
        <v>0.96353666581838515</v>
      </c>
      <c r="V41" s="278">
        <v>0.96340506133854753</v>
      </c>
      <c r="W41" s="278">
        <v>0.96327322016150208</v>
      </c>
      <c r="X41" s="278">
        <v>0.96317875829392519</v>
      </c>
      <c r="Y41" s="278">
        <v>0.9630840470405434</v>
      </c>
      <c r="Z41" s="278">
        <v>0.96298908581156462</v>
      </c>
      <c r="AA41" s="278">
        <v>0.9628938740153371</v>
      </c>
      <c r="AB41" s="279">
        <v>0.96279841105834041</v>
      </c>
      <c r="AC41" s="277">
        <v>0.9626416884004666</v>
      </c>
      <c r="AD41" s="278">
        <v>0.96232512921901947</v>
      </c>
      <c r="AE41" s="278">
        <v>0.96266584628095075</v>
      </c>
      <c r="AF41" s="278">
        <v>0.96300670841501868</v>
      </c>
      <c r="AG41" s="278">
        <v>0.96334771570726274</v>
      </c>
      <c r="AH41" s="278">
        <v>0.96353762884388661</v>
      </c>
      <c r="AI41" s="278">
        <v>0.96372759571163358</v>
      </c>
      <c r="AJ41" s="278">
        <v>0.96391761634238937</v>
      </c>
      <c r="AK41" s="278">
        <v>0.96410769076806513</v>
      </c>
      <c r="AL41" s="279">
        <v>0.96429781902059675</v>
      </c>
      <c r="AM41" s="277">
        <v>0.96423825521647744</v>
      </c>
      <c r="AN41" s="278">
        <v>0.96417869141235801</v>
      </c>
      <c r="AO41" s="278">
        <v>0.9641191276082387</v>
      </c>
      <c r="AP41" s="278">
        <v>0.96405956380411928</v>
      </c>
      <c r="AQ41" s="278">
        <v>0.96399999999999997</v>
      </c>
      <c r="AR41" s="278">
        <v>0.96399999999999997</v>
      </c>
      <c r="AS41" s="278">
        <v>0.96399999999999997</v>
      </c>
      <c r="AT41" s="278">
        <v>0.96399999999999997</v>
      </c>
      <c r="AU41" s="278">
        <v>0.96399999999999997</v>
      </c>
      <c r="AV41" s="279">
        <v>0.96399999999999997</v>
      </c>
      <c r="AW41" s="277">
        <v>0.96399999999999997</v>
      </c>
      <c r="AX41" s="278">
        <v>0.96399999999999997</v>
      </c>
      <c r="AY41" s="278">
        <v>0.96399999999999997</v>
      </c>
      <c r="AZ41" s="278">
        <v>0.96399999999999997</v>
      </c>
      <c r="BA41" s="278">
        <v>0.96399999999999997</v>
      </c>
      <c r="BB41" s="278">
        <v>0.96399999999999997</v>
      </c>
      <c r="BC41" s="278">
        <v>0.96399999999999997</v>
      </c>
      <c r="BD41" s="278">
        <v>0.96399999999999997</v>
      </c>
      <c r="BE41" s="278">
        <v>0.96399999999999997</v>
      </c>
      <c r="BF41" s="279">
        <v>0.96399999999999997</v>
      </c>
      <c r="BG41" s="279">
        <f t="shared" si="0"/>
        <v>0.96399999999999997</v>
      </c>
      <c r="BH41" s="237"/>
    </row>
    <row r="42" spans="1:60" x14ac:dyDescent="0.2">
      <c r="A42" s="348">
        <v>6</v>
      </c>
      <c r="B42" s="277">
        <v>0.95210265413201323</v>
      </c>
      <c r="C42" s="278">
        <v>0.95512156491837041</v>
      </c>
      <c r="D42" s="278">
        <v>0.95755463842428512</v>
      </c>
      <c r="E42" s="278">
        <v>0.95874047702333676</v>
      </c>
      <c r="F42" s="278">
        <v>0.95920771241016412</v>
      </c>
      <c r="G42" s="278">
        <v>0.95962546376979929</v>
      </c>
      <c r="H42" s="278">
        <v>0.95954818520961693</v>
      </c>
      <c r="I42" s="278">
        <v>0.95923911346980228</v>
      </c>
      <c r="J42" s="279">
        <v>0.95878546064030257</v>
      </c>
      <c r="K42" s="277">
        <v>0.95833120362735635</v>
      </c>
      <c r="L42" s="278">
        <v>0.95787634119354692</v>
      </c>
      <c r="M42" s="278">
        <v>0.95742087209807691</v>
      </c>
      <c r="N42" s="278">
        <v>0.95696336800200288</v>
      </c>
      <c r="O42" s="278">
        <v>0.95650525609540238</v>
      </c>
      <c r="P42" s="278">
        <v>0.95604653513001914</v>
      </c>
      <c r="Q42" s="278">
        <v>0.95558720385418072</v>
      </c>
      <c r="R42" s="278">
        <v>0.95512726101277923</v>
      </c>
      <c r="S42" s="279">
        <v>0.9547302276144507</v>
      </c>
      <c r="T42" s="277">
        <v>0.95471131268198273</v>
      </c>
      <c r="U42" s="278">
        <v>0.95477304742891167</v>
      </c>
      <c r="V42" s="278">
        <v>0.9548348521681832</v>
      </c>
      <c r="W42" s="278">
        <v>0.95489672706493789</v>
      </c>
      <c r="X42" s="278">
        <v>0.95500318819828123</v>
      </c>
      <c r="Y42" s="278">
        <v>0.95510972389989468</v>
      </c>
      <c r="Z42" s="278">
        <v>0.95521633434612896</v>
      </c>
      <c r="AA42" s="278">
        <v>0.95532301971389322</v>
      </c>
      <c r="AB42" s="279">
        <v>0.95542978018065516</v>
      </c>
      <c r="AC42" s="277">
        <v>0.95547671289287683</v>
      </c>
      <c r="AD42" s="278">
        <v>0.95513580353385286</v>
      </c>
      <c r="AE42" s="278">
        <v>0.95528243793652645</v>
      </c>
      <c r="AF42" s="278">
        <v>0.95542911764543426</v>
      </c>
      <c r="AG42" s="278">
        <v>0.955575842687447</v>
      </c>
      <c r="AH42" s="278">
        <v>0.95554798344416336</v>
      </c>
      <c r="AI42" s="278">
        <v>0.95552013768488941</v>
      </c>
      <c r="AJ42" s="278">
        <v>0.95549230541762598</v>
      </c>
      <c r="AK42" s="278">
        <v>0.95546448665038131</v>
      </c>
      <c r="AL42" s="279">
        <v>0.95543668139116933</v>
      </c>
      <c r="AM42" s="277">
        <v>0.95534934511293546</v>
      </c>
      <c r="AN42" s="278">
        <v>0.95526200883470158</v>
      </c>
      <c r="AO42" s="278">
        <v>0.95517467255646771</v>
      </c>
      <c r="AP42" s="278">
        <v>0.95508733627823383</v>
      </c>
      <c r="AQ42" s="278">
        <v>0.95499999999999996</v>
      </c>
      <c r="AR42" s="278">
        <v>0.95499999999999996</v>
      </c>
      <c r="AS42" s="278">
        <v>0.95499999999999996</v>
      </c>
      <c r="AT42" s="278">
        <v>0.95499999999999996</v>
      </c>
      <c r="AU42" s="278">
        <v>0.95499999999999996</v>
      </c>
      <c r="AV42" s="279">
        <v>0.95499999999999996</v>
      </c>
      <c r="AW42" s="277">
        <v>0.95519999999999994</v>
      </c>
      <c r="AX42" s="278">
        <v>0.95539999999999992</v>
      </c>
      <c r="AY42" s="278">
        <v>0.9556</v>
      </c>
      <c r="AZ42" s="278">
        <v>0.95579999999999998</v>
      </c>
      <c r="BA42" s="278">
        <v>0.95599999999999996</v>
      </c>
      <c r="BB42" s="278">
        <v>0.95599999999999996</v>
      </c>
      <c r="BC42" s="278">
        <v>0.95599999999999996</v>
      </c>
      <c r="BD42" s="278">
        <v>0.95599999999999996</v>
      </c>
      <c r="BE42" s="278">
        <v>0.95599999999999996</v>
      </c>
      <c r="BF42" s="279">
        <v>0.95599999999999996</v>
      </c>
      <c r="BG42" s="279">
        <f t="shared" si="0"/>
        <v>0.95599999999999996</v>
      </c>
      <c r="BH42" s="237"/>
    </row>
    <row r="43" spans="1:60" x14ac:dyDescent="0.2">
      <c r="A43" s="348">
        <v>6.5</v>
      </c>
      <c r="B43" s="277">
        <v>0.94028412925301585</v>
      </c>
      <c r="C43" s="278">
        <v>0.94363773966301556</v>
      </c>
      <c r="D43" s="278">
        <v>0.94607260385921477</v>
      </c>
      <c r="E43" s="278">
        <v>0.94731914102166526</v>
      </c>
      <c r="F43" s="278">
        <v>0.94778366172786488</v>
      </c>
      <c r="G43" s="278">
        <v>0.9484909190387375</v>
      </c>
      <c r="H43" s="278">
        <v>0.94889861596161074</v>
      </c>
      <c r="I43" s="278">
        <v>0.94897769206133376</v>
      </c>
      <c r="J43" s="279">
        <v>0.94871225710461837</v>
      </c>
      <c r="K43" s="277">
        <v>0.94844647405624727</v>
      </c>
      <c r="L43" s="278">
        <v>0.94818034220330061</v>
      </c>
      <c r="M43" s="278">
        <v>0.94791386083091</v>
      </c>
      <c r="N43" s="278">
        <v>0.94764527921715602</v>
      </c>
      <c r="O43" s="278">
        <v>0.94737634760794831</v>
      </c>
      <c r="P43" s="278">
        <v>0.9471070652845055</v>
      </c>
      <c r="Q43" s="278">
        <v>0.94683743152607658</v>
      </c>
      <c r="R43" s="278">
        <v>0.94656744560993411</v>
      </c>
      <c r="S43" s="279">
        <v>0.94636383007047609</v>
      </c>
      <c r="T43" s="277">
        <v>0.94642820358488422</v>
      </c>
      <c r="U43" s="278">
        <v>0.94658385556323565</v>
      </c>
      <c r="V43" s="278">
        <v>0.94673972578722942</v>
      </c>
      <c r="W43" s="278">
        <v>0.94689581477179585</v>
      </c>
      <c r="X43" s="278">
        <v>0.94710333851805961</v>
      </c>
      <c r="Y43" s="278">
        <v>0.94731109676796799</v>
      </c>
      <c r="Z43" s="278">
        <v>0.94751909007611701</v>
      </c>
      <c r="AA43" s="278">
        <v>0.9477273189988511</v>
      </c>
      <c r="AB43" s="279">
        <v>0.94793578409427381</v>
      </c>
      <c r="AC43" s="277">
        <v>0.94808608968348951</v>
      </c>
      <c r="AD43" s="278">
        <v>0.94775619782758991</v>
      </c>
      <c r="AE43" s="278">
        <v>0.94791098049279188</v>
      </c>
      <c r="AF43" s="278">
        <v>0.94806580935823836</v>
      </c>
      <c r="AG43" s="278">
        <v>0.94822068445132823</v>
      </c>
      <c r="AH43" s="278">
        <v>0.94817943116876835</v>
      </c>
      <c r="AI43" s="278">
        <v>0.9481381888482151</v>
      </c>
      <c r="AJ43" s="278">
        <v>0.94809695749617273</v>
      </c>
      <c r="AK43" s="278">
        <v>0.94805573711915292</v>
      </c>
      <c r="AL43" s="279">
        <v>0.94801452772366968</v>
      </c>
      <c r="AM43" s="277">
        <v>0.94801162217893575</v>
      </c>
      <c r="AN43" s="278">
        <v>0.94800871663420183</v>
      </c>
      <c r="AO43" s="278">
        <v>0.9480058110894678</v>
      </c>
      <c r="AP43" s="278">
        <v>0.94800290554473388</v>
      </c>
      <c r="AQ43" s="278">
        <v>0.94799999999999995</v>
      </c>
      <c r="AR43" s="278">
        <v>0.94799999999999995</v>
      </c>
      <c r="AS43" s="278">
        <v>0.94799999999999995</v>
      </c>
      <c r="AT43" s="278">
        <v>0.94799999999999995</v>
      </c>
      <c r="AU43" s="278">
        <v>0.94799999999999995</v>
      </c>
      <c r="AV43" s="279">
        <v>0.94799999999999995</v>
      </c>
      <c r="AW43" s="277">
        <v>0.94799999999999995</v>
      </c>
      <c r="AX43" s="278">
        <v>0.94799999999999995</v>
      </c>
      <c r="AY43" s="278">
        <v>0.94799999999999995</v>
      </c>
      <c r="AZ43" s="278">
        <v>0.94799999999999995</v>
      </c>
      <c r="BA43" s="278">
        <v>0.94799999999999995</v>
      </c>
      <c r="BB43" s="278">
        <v>0.94799999999999995</v>
      </c>
      <c r="BC43" s="278">
        <v>0.94799999999999995</v>
      </c>
      <c r="BD43" s="278">
        <v>0.94799999999999995</v>
      </c>
      <c r="BE43" s="278">
        <v>0.94799999999999995</v>
      </c>
      <c r="BF43" s="279">
        <v>0.94799999999999995</v>
      </c>
      <c r="BG43" s="279">
        <f t="shared" si="0"/>
        <v>0.94799999999999995</v>
      </c>
      <c r="BH43" s="237"/>
    </row>
    <row r="44" spans="1:60" x14ac:dyDescent="0.2">
      <c r="A44" s="349">
        <v>7</v>
      </c>
      <c r="B44" s="281">
        <v>0.92808694297339922</v>
      </c>
      <c r="C44" s="282">
        <v>0.93181907003538922</v>
      </c>
      <c r="D44" s="282">
        <v>0.93425598898307061</v>
      </c>
      <c r="E44" s="282">
        <v>0.93585591099028909</v>
      </c>
      <c r="F44" s="282">
        <v>0.93682129819030902</v>
      </c>
      <c r="G44" s="282">
        <v>0.93806296945822332</v>
      </c>
      <c r="H44" s="282">
        <v>0.93896085145948993</v>
      </c>
      <c r="I44" s="282">
        <v>0.93946254957019093</v>
      </c>
      <c r="J44" s="283">
        <v>0.93938767915787702</v>
      </c>
      <c r="K44" s="281">
        <v>0.93931271906320846</v>
      </c>
      <c r="L44" s="282">
        <v>0.93923766910250805</v>
      </c>
      <c r="M44" s="282">
        <v>0.93916252909159836</v>
      </c>
      <c r="N44" s="282">
        <v>0.93908520901252812</v>
      </c>
      <c r="O44" s="282">
        <v>0.93900779881176821</v>
      </c>
      <c r="P44" s="282">
        <v>0.93893029830423647</v>
      </c>
      <c r="Q44" s="282">
        <v>0.93885270730434411</v>
      </c>
      <c r="R44" s="282">
        <v>0.93877502562599346</v>
      </c>
      <c r="S44" s="283">
        <v>0.93876702210670449</v>
      </c>
      <c r="T44" s="281">
        <v>0.93881421491977379</v>
      </c>
      <c r="U44" s="282">
        <v>0.93886144752930134</v>
      </c>
      <c r="V44" s="282">
        <v>0.93890872002910897</v>
      </c>
      <c r="W44" s="282">
        <v>0.93895603251331439</v>
      </c>
      <c r="X44" s="282">
        <v>0.93906107924497328</v>
      </c>
      <c r="Y44" s="282">
        <v>0.93916616919551277</v>
      </c>
      <c r="Z44" s="282">
        <v>0.93927130246714463</v>
      </c>
      <c r="AA44" s="282">
        <v>0.93937647916240175</v>
      </c>
      <c r="AB44" s="283">
        <v>0.93948169938414461</v>
      </c>
      <c r="AC44" s="281">
        <v>0.93953049291520951</v>
      </c>
      <c r="AD44" s="282">
        <v>0.93907801350447118</v>
      </c>
      <c r="AE44" s="282">
        <v>0.93927129555801803</v>
      </c>
      <c r="AF44" s="282">
        <v>0.93953644677356851</v>
      </c>
      <c r="AG44" s="282">
        <v>0.93980170282615727</v>
      </c>
      <c r="AH44" s="282">
        <v>0.93985139093513936</v>
      </c>
      <c r="AI44" s="282">
        <v>0.93990109869786775</v>
      </c>
      <c r="AJ44" s="282">
        <v>0.93995082612600478</v>
      </c>
      <c r="AK44" s="282">
        <v>0.94000057323122199</v>
      </c>
      <c r="AL44" s="283">
        <v>0.94005034002520405</v>
      </c>
      <c r="AM44" s="281">
        <v>0.94004027202016327</v>
      </c>
      <c r="AN44" s="282">
        <v>0.94003020401512238</v>
      </c>
      <c r="AO44" s="282">
        <v>0.94002013601008161</v>
      </c>
      <c r="AP44" s="282">
        <v>0.94001006800504072</v>
      </c>
      <c r="AQ44" s="282">
        <v>0.94</v>
      </c>
      <c r="AR44" s="282">
        <v>0.94</v>
      </c>
      <c r="AS44" s="282">
        <v>0.94</v>
      </c>
      <c r="AT44" s="282">
        <v>0.94</v>
      </c>
      <c r="AU44" s="282">
        <v>0.94</v>
      </c>
      <c r="AV44" s="283">
        <v>0.94</v>
      </c>
      <c r="AW44" s="281">
        <v>0.94019999999999992</v>
      </c>
      <c r="AX44" s="282">
        <v>0.9403999999999999</v>
      </c>
      <c r="AY44" s="282">
        <v>0.94059999999999999</v>
      </c>
      <c r="AZ44" s="282">
        <v>0.94079999999999997</v>
      </c>
      <c r="BA44" s="282">
        <v>0.94099999999999995</v>
      </c>
      <c r="BB44" s="282">
        <v>0.94079999999999997</v>
      </c>
      <c r="BC44" s="282">
        <v>0.94059999999999999</v>
      </c>
      <c r="BD44" s="282">
        <v>0.9403999999999999</v>
      </c>
      <c r="BE44" s="282">
        <v>0.94019999999999992</v>
      </c>
      <c r="BF44" s="283">
        <v>0.94</v>
      </c>
      <c r="BG44" s="283">
        <f t="shared" si="0"/>
        <v>0.94</v>
      </c>
      <c r="BH44" s="237"/>
    </row>
    <row r="45" spans="1:60" x14ac:dyDescent="0.2">
      <c r="A45" s="348">
        <v>7.5</v>
      </c>
      <c r="B45" s="284">
        <v>0.91550797700110209</v>
      </c>
      <c r="C45" s="285">
        <v>0.91966300035858695</v>
      </c>
      <c r="D45" s="285">
        <v>0.92210225063038864</v>
      </c>
      <c r="E45" s="285">
        <v>0.92430665991486616</v>
      </c>
      <c r="F45" s="285">
        <v>0.92628326167843911</v>
      </c>
      <c r="G45" s="285">
        <v>0.92796332257574909</v>
      </c>
      <c r="H45" s="285">
        <v>0.92834306232072139</v>
      </c>
      <c r="I45" s="285">
        <v>0.92851539867933564</v>
      </c>
      <c r="J45" s="286">
        <v>0.92853050980567164</v>
      </c>
      <c r="K45" s="284">
        <v>0.92854565354030949</v>
      </c>
      <c r="L45" s="285">
        <v>0.92856082995003353</v>
      </c>
      <c r="M45" s="285">
        <v>0.92857603910181141</v>
      </c>
      <c r="N45" s="285">
        <v>0.92858884357322058</v>
      </c>
      <c r="O45" s="285">
        <v>0.92860168079300076</v>
      </c>
      <c r="P45" s="285">
        <v>0.92861455082840383</v>
      </c>
      <c r="Q45" s="285">
        <v>0.92862745374687061</v>
      </c>
      <c r="R45" s="285">
        <v>0.92864038961602657</v>
      </c>
      <c r="S45" s="286">
        <v>0.92872578372789671</v>
      </c>
      <c r="T45" s="284">
        <v>0.92891701067947674</v>
      </c>
      <c r="U45" s="285">
        <v>0.92915963410683133</v>
      </c>
      <c r="V45" s="285">
        <v>0.92940261193150497</v>
      </c>
      <c r="W45" s="285">
        <v>0.9296459449896638</v>
      </c>
      <c r="X45" s="285">
        <v>0.9299535185659159</v>
      </c>
      <c r="Y45" s="285">
        <v>0.93026147922511426</v>
      </c>
      <c r="Z45" s="285">
        <v>0.93056982788269793</v>
      </c>
      <c r="AA45" s="285">
        <v>0.93087856545700021</v>
      </c>
      <c r="AB45" s="286">
        <v>0.93118769286924974</v>
      </c>
      <c r="AC45" s="284">
        <v>0.93144294829713692</v>
      </c>
      <c r="AD45" s="285">
        <v>0.93120145948194932</v>
      </c>
      <c r="AE45" s="285">
        <v>0.93142335045701818</v>
      </c>
      <c r="AF45" s="285">
        <v>0.93179988932770852</v>
      </c>
      <c r="AG45" s="285">
        <v>0.93217659685432297</v>
      </c>
      <c r="AH45" s="285">
        <v>0.93231985982965215</v>
      </c>
      <c r="AI45" s="285">
        <v>0.93246314758828563</v>
      </c>
      <c r="AJ45" s="285">
        <v>0.93260646014493009</v>
      </c>
      <c r="AK45" s="285">
        <v>0.93274979751430531</v>
      </c>
      <c r="AL45" s="286">
        <v>0.93289315971114151</v>
      </c>
      <c r="AM45" s="287">
        <v>0.93311452776891324</v>
      </c>
      <c r="AN45" s="288">
        <v>0.93333589582668497</v>
      </c>
      <c r="AO45" s="288">
        <v>0.93355726388445659</v>
      </c>
      <c r="AP45" s="288">
        <v>0.93377863194222832</v>
      </c>
      <c r="AQ45" s="288">
        <v>0.93400000000000005</v>
      </c>
      <c r="AR45" s="288">
        <v>0.93420000000000003</v>
      </c>
      <c r="AS45" s="288">
        <v>0.93440000000000001</v>
      </c>
      <c r="AT45" s="288">
        <v>0.9346000000000001</v>
      </c>
      <c r="AU45" s="288">
        <v>0.93480000000000008</v>
      </c>
      <c r="AV45" s="289">
        <v>0.93500000000000005</v>
      </c>
      <c r="AW45" s="287">
        <v>0.93500000000000005</v>
      </c>
      <c r="AX45" s="288">
        <v>0.93500000000000005</v>
      </c>
      <c r="AY45" s="288">
        <v>0.93500000000000005</v>
      </c>
      <c r="AZ45" s="288">
        <v>0.93500000000000005</v>
      </c>
      <c r="BA45" s="288">
        <v>0.93500000000000005</v>
      </c>
      <c r="BB45" s="288">
        <v>0.93500000000000005</v>
      </c>
      <c r="BC45" s="288">
        <v>0.93500000000000005</v>
      </c>
      <c r="BD45" s="288">
        <v>0.93500000000000005</v>
      </c>
      <c r="BE45" s="288">
        <v>0.93500000000000005</v>
      </c>
      <c r="BF45" s="289">
        <v>0.93500000000000005</v>
      </c>
      <c r="BG45" s="289">
        <f t="shared" si="0"/>
        <v>0.93500000000000005</v>
      </c>
      <c r="BH45" s="237"/>
    </row>
    <row r="46" spans="1:60" x14ac:dyDescent="0.2">
      <c r="A46" s="348">
        <v>8</v>
      </c>
      <c r="B46" s="277">
        <v>0.90209680592139063</v>
      </c>
      <c r="C46" s="278">
        <v>0.90676049276072268</v>
      </c>
      <c r="D46" s="278">
        <v>0.91021850326993592</v>
      </c>
      <c r="E46" s="278">
        <v>0.91266708908627103</v>
      </c>
      <c r="F46" s="278">
        <v>0.91414005269601584</v>
      </c>
      <c r="G46" s="278">
        <v>0.91595632158947637</v>
      </c>
      <c r="H46" s="278">
        <v>0.9173381300440111</v>
      </c>
      <c r="I46" s="278">
        <v>0.91833903977438236</v>
      </c>
      <c r="J46" s="279">
        <v>0.91844558915671781</v>
      </c>
      <c r="K46" s="277">
        <v>0.91855229498756386</v>
      </c>
      <c r="L46" s="278">
        <v>0.91865915758734118</v>
      </c>
      <c r="M46" s="278">
        <v>0.918766177277343</v>
      </c>
      <c r="N46" s="278">
        <v>0.9188705582654012</v>
      </c>
      <c r="O46" s="278">
        <v>0.91897509627498275</v>
      </c>
      <c r="P46" s="278">
        <v>0.91907979162856235</v>
      </c>
      <c r="Q46" s="278">
        <v>0.91918464464949567</v>
      </c>
      <c r="R46" s="278">
        <v>0.91928965566202814</v>
      </c>
      <c r="S46" s="279">
        <v>0.91946976158646188</v>
      </c>
      <c r="T46" s="277">
        <v>0.91974526659336786</v>
      </c>
      <c r="U46" s="278">
        <v>0.92008280112065832</v>
      </c>
      <c r="V46" s="278">
        <v>0.92042084279059966</v>
      </c>
      <c r="W46" s="278">
        <v>0.92075939279974128</v>
      </c>
      <c r="X46" s="278">
        <v>0.9211683206110024</v>
      </c>
      <c r="Y46" s="278">
        <v>0.92157780671046874</v>
      </c>
      <c r="Z46" s="278">
        <v>0.92198785241847914</v>
      </c>
      <c r="AA46" s="278">
        <v>0.92239845905953743</v>
      </c>
      <c r="AB46" s="279">
        <v>0.92280962796233001</v>
      </c>
      <c r="AC46" s="277">
        <v>0.92316959207308191</v>
      </c>
      <c r="AD46" s="278">
        <v>0.92303733260217136</v>
      </c>
      <c r="AE46" s="278">
        <v>0.92321538170108641</v>
      </c>
      <c r="AF46" s="278">
        <v>0.9236005085728819</v>
      </c>
      <c r="AG46" s="278">
        <v>0.92398580994687263</v>
      </c>
      <c r="AH46" s="278">
        <v>0.92412153059224167</v>
      </c>
      <c r="AI46" s="278">
        <v>0.92425727117572043</v>
      </c>
      <c r="AJ46" s="278">
        <v>0.924393031709138</v>
      </c>
      <c r="AK46" s="278">
        <v>0.92452881220433658</v>
      </c>
      <c r="AL46" s="279">
        <v>0.92466461267316757</v>
      </c>
      <c r="AM46" s="277">
        <v>0.92493169013853405</v>
      </c>
      <c r="AN46" s="278">
        <v>0.92519876760390052</v>
      </c>
      <c r="AO46" s="278">
        <v>0.9254658450692671</v>
      </c>
      <c r="AP46" s="278">
        <v>0.92573292253463357</v>
      </c>
      <c r="AQ46" s="278">
        <v>0.92600000000000005</v>
      </c>
      <c r="AR46" s="278">
        <v>0.92600000000000005</v>
      </c>
      <c r="AS46" s="278">
        <v>0.92600000000000005</v>
      </c>
      <c r="AT46" s="278">
        <v>0.92600000000000005</v>
      </c>
      <c r="AU46" s="278">
        <v>0.92600000000000005</v>
      </c>
      <c r="AV46" s="279">
        <v>0.92600000000000005</v>
      </c>
      <c r="AW46" s="277">
        <v>0.92620000000000002</v>
      </c>
      <c r="AX46" s="278">
        <v>0.9264</v>
      </c>
      <c r="AY46" s="278">
        <v>0.92660000000000009</v>
      </c>
      <c r="AZ46" s="278">
        <v>0.92680000000000007</v>
      </c>
      <c r="BA46" s="278">
        <v>0.92700000000000005</v>
      </c>
      <c r="BB46" s="278">
        <v>0.92700000000000005</v>
      </c>
      <c r="BC46" s="278">
        <v>0.92700000000000005</v>
      </c>
      <c r="BD46" s="278">
        <v>0.92700000000000005</v>
      </c>
      <c r="BE46" s="278">
        <v>0.92700000000000005</v>
      </c>
      <c r="BF46" s="279">
        <v>0.92700000000000005</v>
      </c>
      <c r="BG46" s="279">
        <f t="shared" si="0"/>
        <v>0.92700000000000005</v>
      </c>
      <c r="BH46" s="237"/>
    </row>
    <row r="47" spans="1:60" x14ac:dyDescent="0.2">
      <c r="A47" s="348">
        <v>8.5</v>
      </c>
      <c r="B47" s="277">
        <v>0.88801790393572788</v>
      </c>
      <c r="C47" s="278">
        <v>0.89312396990191445</v>
      </c>
      <c r="D47" s="278">
        <v>0.89709982865804394</v>
      </c>
      <c r="E47" s="278">
        <v>0.90037660823838872</v>
      </c>
      <c r="F47" s="278">
        <v>0.90287230295100485</v>
      </c>
      <c r="G47" s="278">
        <v>0.90541900311583945</v>
      </c>
      <c r="H47" s="278">
        <v>0.90679113265629785</v>
      </c>
      <c r="I47" s="278">
        <v>0.90786633404588168</v>
      </c>
      <c r="J47" s="279">
        <v>0.90816742492109959</v>
      </c>
      <c r="K47" s="277">
        <v>0.90846893390335859</v>
      </c>
      <c r="L47" s="278">
        <v>0.90877086184897482</v>
      </c>
      <c r="M47" s="278">
        <v>0.90907320961660676</v>
      </c>
      <c r="N47" s="278">
        <v>0.90937281589306285</v>
      </c>
      <c r="O47" s="278">
        <v>0.90967284153237515</v>
      </c>
      <c r="P47" s="278">
        <v>0.90997328739578487</v>
      </c>
      <c r="Q47" s="278">
        <v>0.91027415434689296</v>
      </c>
      <c r="R47" s="278">
        <v>0.91057544325166728</v>
      </c>
      <c r="S47" s="279">
        <v>0.91095447045768307</v>
      </c>
      <c r="T47" s="277">
        <v>0.91135673444912912</v>
      </c>
      <c r="U47" s="278">
        <v>0.91168739706238844</v>
      </c>
      <c r="V47" s="278">
        <v>0.91201855431030976</v>
      </c>
      <c r="W47" s="278">
        <v>0.91235020735993078</v>
      </c>
      <c r="X47" s="278">
        <v>0.91275801454481331</v>
      </c>
      <c r="Y47" s="278">
        <v>0.91316637043325632</v>
      </c>
      <c r="Z47" s="278">
        <v>0.91357527632293112</v>
      </c>
      <c r="AA47" s="278">
        <v>0.91398473351560083</v>
      </c>
      <c r="AB47" s="279">
        <v>0.91439474331714521</v>
      </c>
      <c r="AC47" s="277">
        <v>0.91475628419519017</v>
      </c>
      <c r="AD47" s="278">
        <v>0.91463008114996225</v>
      </c>
      <c r="AE47" s="278">
        <v>0.91473761651451024</v>
      </c>
      <c r="AF47" s="278">
        <v>0.91513110362769701</v>
      </c>
      <c r="AG47" s="278">
        <v>0.91552477103078833</v>
      </c>
      <c r="AH47" s="278">
        <v>0.91565434323342121</v>
      </c>
      <c r="AI47" s="278">
        <v>0.91578393135237113</v>
      </c>
      <c r="AJ47" s="278">
        <v>0.91591353539708309</v>
      </c>
      <c r="AK47" s="278">
        <v>0.91604315537700987</v>
      </c>
      <c r="AL47" s="279">
        <v>0.91617279130161133</v>
      </c>
      <c r="AM47" s="277">
        <v>0.91613823304128905</v>
      </c>
      <c r="AN47" s="278">
        <v>0.91610367478096677</v>
      </c>
      <c r="AO47" s="278">
        <v>0.9160691165206446</v>
      </c>
      <c r="AP47" s="278">
        <v>0.91603455826032232</v>
      </c>
      <c r="AQ47" s="278">
        <v>0.91600000000000004</v>
      </c>
      <c r="AR47" s="278">
        <v>0.91600000000000004</v>
      </c>
      <c r="AS47" s="278">
        <v>0.91600000000000004</v>
      </c>
      <c r="AT47" s="278">
        <v>0.91600000000000004</v>
      </c>
      <c r="AU47" s="278">
        <v>0.91600000000000004</v>
      </c>
      <c r="AV47" s="279">
        <v>0.91600000000000004</v>
      </c>
      <c r="AW47" s="277">
        <v>0.91620000000000001</v>
      </c>
      <c r="AX47" s="278">
        <v>0.91639999999999999</v>
      </c>
      <c r="AY47" s="278">
        <v>0.91660000000000008</v>
      </c>
      <c r="AZ47" s="278">
        <v>0.91680000000000006</v>
      </c>
      <c r="BA47" s="278">
        <v>0.91700000000000004</v>
      </c>
      <c r="BB47" s="278">
        <v>0.91700000000000004</v>
      </c>
      <c r="BC47" s="278">
        <v>0.91700000000000004</v>
      </c>
      <c r="BD47" s="278">
        <v>0.91700000000000004</v>
      </c>
      <c r="BE47" s="278">
        <v>0.91700000000000004</v>
      </c>
      <c r="BF47" s="279">
        <v>0.91700000000000004</v>
      </c>
      <c r="BG47" s="279">
        <f t="shared" si="0"/>
        <v>0.91700000000000004</v>
      </c>
      <c r="BH47" s="237"/>
    </row>
    <row r="48" spans="1:60" x14ac:dyDescent="0.2">
      <c r="A48" s="348">
        <v>9</v>
      </c>
      <c r="B48" s="277">
        <v>0.87618772784549059</v>
      </c>
      <c r="C48" s="278">
        <v>0.88212909240151438</v>
      </c>
      <c r="D48" s="278">
        <v>0.88611469361685702</v>
      </c>
      <c r="E48" s="278">
        <v>0.889212095908547</v>
      </c>
      <c r="F48" s="278">
        <v>0.89120207788536288</v>
      </c>
      <c r="G48" s="278">
        <v>0.89345970730547264</v>
      </c>
      <c r="H48" s="278">
        <v>0.89482082887550762</v>
      </c>
      <c r="I48" s="278">
        <v>0.89594945092097122</v>
      </c>
      <c r="J48" s="279">
        <v>0.89644595595470833</v>
      </c>
      <c r="K48" s="277">
        <v>0.89694314108795314</v>
      </c>
      <c r="L48" s="278">
        <v>0.89744100771360213</v>
      </c>
      <c r="M48" s="278">
        <v>0.89793955722836194</v>
      </c>
      <c r="N48" s="278">
        <v>0.89843526397500151</v>
      </c>
      <c r="O48" s="278">
        <v>0.898931652399936</v>
      </c>
      <c r="P48" s="278">
        <v>0.89942872390311823</v>
      </c>
      <c r="Q48" s="278">
        <v>0.8999264798883424</v>
      </c>
      <c r="R48" s="278">
        <v>0.90042492176324784</v>
      </c>
      <c r="S48" s="279">
        <v>0.90100343585973952</v>
      </c>
      <c r="T48" s="277">
        <v>0.90157371931481112</v>
      </c>
      <c r="U48" s="278">
        <v>0.90189621167082368</v>
      </c>
      <c r="V48" s="278">
        <v>0.90221918421482317</v>
      </c>
      <c r="W48" s="278">
        <v>0.90254263807976165</v>
      </c>
      <c r="X48" s="278">
        <v>0.90294767464045322</v>
      </c>
      <c r="Y48" s="278">
        <v>0.90335324786487214</v>
      </c>
      <c r="Z48" s="278">
        <v>0.90375935902221349</v>
      </c>
      <c r="AA48" s="278">
        <v>0.90416600938567881</v>
      </c>
      <c r="AB48" s="279">
        <v>0.9045732002324911</v>
      </c>
      <c r="AC48" s="277">
        <v>0.90493494031727062</v>
      </c>
      <c r="AD48" s="278">
        <v>0.90481416587245211</v>
      </c>
      <c r="AE48" s="278">
        <v>0.90488118400715711</v>
      </c>
      <c r="AF48" s="278">
        <v>0.90538686061119589</v>
      </c>
      <c r="AG48" s="278">
        <v>0.90589279159268421</v>
      </c>
      <c r="AH48" s="278">
        <v>0.90612196463203543</v>
      </c>
      <c r="AI48" s="278">
        <v>0.90635115498353802</v>
      </c>
      <c r="AJ48" s="278">
        <v>0.90658036265746522</v>
      </c>
      <c r="AK48" s="278">
        <v>0.9068095876640988</v>
      </c>
      <c r="AL48" s="279">
        <v>0.90703883001372965</v>
      </c>
      <c r="AM48" s="277">
        <v>0.90723106401098375</v>
      </c>
      <c r="AN48" s="278">
        <v>0.90742329800823784</v>
      </c>
      <c r="AO48" s="278">
        <v>0.90761553200549183</v>
      </c>
      <c r="AP48" s="278">
        <v>0.90780776600274593</v>
      </c>
      <c r="AQ48" s="278">
        <v>0.90800000000000003</v>
      </c>
      <c r="AR48" s="278">
        <v>0.90810000000000002</v>
      </c>
      <c r="AS48" s="278">
        <v>0.90820000000000001</v>
      </c>
      <c r="AT48" s="278">
        <v>0.9083</v>
      </c>
      <c r="AU48" s="278">
        <v>0.90839999999999999</v>
      </c>
      <c r="AV48" s="279">
        <v>0.90849999999999997</v>
      </c>
      <c r="AW48" s="277">
        <v>0.90859999999999996</v>
      </c>
      <c r="AX48" s="278">
        <v>0.90869999999999995</v>
      </c>
      <c r="AY48" s="278">
        <v>0.90880000000000005</v>
      </c>
      <c r="AZ48" s="278">
        <v>0.90890000000000004</v>
      </c>
      <c r="BA48" s="278">
        <v>0.90900000000000003</v>
      </c>
      <c r="BB48" s="278">
        <v>0.90900000000000003</v>
      </c>
      <c r="BC48" s="278">
        <v>0.90900000000000003</v>
      </c>
      <c r="BD48" s="278">
        <v>0.90900000000000003</v>
      </c>
      <c r="BE48" s="278">
        <v>0.90900000000000003</v>
      </c>
      <c r="BF48" s="279">
        <v>0.90900000000000003</v>
      </c>
      <c r="BG48" s="279">
        <f t="shared" si="0"/>
        <v>0.90900000000000003</v>
      </c>
      <c r="BH48" s="237"/>
    </row>
    <row r="49" spans="1:60" x14ac:dyDescent="0.2">
      <c r="A49" s="349">
        <v>9.5</v>
      </c>
      <c r="B49" s="290">
        <v>0.8610131827278521</v>
      </c>
      <c r="C49" s="291">
        <v>0.86727378008281997</v>
      </c>
      <c r="D49" s="291">
        <v>0.87281437471924239</v>
      </c>
      <c r="E49" s="291">
        <v>0.87708488963834152</v>
      </c>
      <c r="F49" s="291">
        <v>0.87959432423712336</v>
      </c>
      <c r="G49" s="291">
        <v>0.88242582492075028</v>
      </c>
      <c r="H49" s="291">
        <v>0.88429244610024904</v>
      </c>
      <c r="I49" s="291">
        <v>0.88594054766660746</v>
      </c>
      <c r="J49" s="292">
        <v>0.88653231364353458</v>
      </c>
      <c r="K49" s="290">
        <v>0.88712488705905357</v>
      </c>
      <c r="L49" s="291">
        <v>0.88771826956686528</v>
      </c>
      <c r="M49" s="291">
        <v>0.88831246282518772</v>
      </c>
      <c r="N49" s="291">
        <v>0.88890356945050053</v>
      </c>
      <c r="O49" s="291">
        <v>0.88949548482174634</v>
      </c>
      <c r="P49" s="291">
        <v>0.89008821059983634</v>
      </c>
      <c r="Q49" s="291">
        <v>0.8906817484502374</v>
      </c>
      <c r="R49" s="291">
        <v>0.89127610004297697</v>
      </c>
      <c r="S49" s="292">
        <v>0.89195261878734422</v>
      </c>
      <c r="T49" s="290">
        <v>0.8926514519749541</v>
      </c>
      <c r="U49" s="291">
        <v>0.89307039352599427</v>
      </c>
      <c r="V49" s="291">
        <v>0.89348997239151995</v>
      </c>
      <c r="W49" s="291">
        <v>0.89391019007520733</v>
      </c>
      <c r="X49" s="291">
        <v>0.89441747693440798</v>
      </c>
      <c r="Y49" s="291">
        <v>0.89492548125375093</v>
      </c>
      <c r="Z49" s="291">
        <v>0.89543420473001167</v>
      </c>
      <c r="AA49" s="291">
        <v>0.89594364906531943</v>
      </c>
      <c r="AB49" s="292">
        <v>0.89645381596718066</v>
      </c>
      <c r="AC49" s="290">
        <v>0.89692183548088011</v>
      </c>
      <c r="AD49" s="291">
        <v>0.89691173339453101</v>
      </c>
      <c r="AE49" s="291">
        <v>0.89698019986639177</v>
      </c>
      <c r="AF49" s="291">
        <v>0.89749452783762229</v>
      </c>
      <c r="AG49" s="291">
        <v>0.89800911867193989</v>
      </c>
      <c r="AH49" s="291">
        <v>0.89823509434778503</v>
      </c>
      <c r="AI49" s="291">
        <v>0.89846108389107149</v>
      </c>
      <c r="AJ49" s="291">
        <v>0.89868708731002545</v>
      </c>
      <c r="AK49" s="291">
        <v>0.89891310461288521</v>
      </c>
      <c r="AL49" s="292">
        <v>0.89913913580789195</v>
      </c>
      <c r="AM49" s="281">
        <v>0.89931130864631359</v>
      </c>
      <c r="AN49" s="282">
        <v>0.89948348148473523</v>
      </c>
      <c r="AO49" s="282">
        <v>0.89965565432315675</v>
      </c>
      <c r="AP49" s="282">
        <v>0.89982782716157839</v>
      </c>
      <c r="AQ49" s="282">
        <v>0.9</v>
      </c>
      <c r="AR49" s="282">
        <v>0.9002</v>
      </c>
      <c r="AS49" s="282">
        <v>0.90039999999999998</v>
      </c>
      <c r="AT49" s="282">
        <v>0.90060000000000007</v>
      </c>
      <c r="AU49" s="282">
        <v>0.90080000000000005</v>
      </c>
      <c r="AV49" s="283">
        <v>0.90100000000000002</v>
      </c>
      <c r="AW49" s="281">
        <v>0.90100000000000002</v>
      </c>
      <c r="AX49" s="282">
        <v>0.90100000000000002</v>
      </c>
      <c r="AY49" s="282">
        <v>0.90100000000000002</v>
      </c>
      <c r="AZ49" s="282">
        <v>0.90100000000000002</v>
      </c>
      <c r="BA49" s="282">
        <v>0.90100000000000002</v>
      </c>
      <c r="BB49" s="282">
        <v>0.9012</v>
      </c>
      <c r="BC49" s="282">
        <v>0.90139999999999998</v>
      </c>
      <c r="BD49" s="282">
        <v>0.90160000000000007</v>
      </c>
      <c r="BE49" s="282">
        <v>0.90180000000000005</v>
      </c>
      <c r="BF49" s="283">
        <v>0.90200000000000002</v>
      </c>
      <c r="BG49" s="283">
        <f t="shared" si="0"/>
        <v>0.90200000000000002</v>
      </c>
      <c r="BH49" s="237"/>
    </row>
    <row r="50" spans="1:60" x14ac:dyDescent="0.2">
      <c r="A50" s="348">
        <v>10</v>
      </c>
      <c r="B50" s="287">
        <v>0.84915736423870514</v>
      </c>
      <c r="C50" s="288">
        <v>0.8564214590589011</v>
      </c>
      <c r="D50" s="288">
        <v>0.86146196879245984</v>
      </c>
      <c r="E50" s="288">
        <v>0.86553008797998499</v>
      </c>
      <c r="F50" s="288">
        <v>0.86804654560714556</v>
      </c>
      <c r="G50" s="288">
        <v>0.87093966254499589</v>
      </c>
      <c r="H50" s="288">
        <v>0.87279802946820129</v>
      </c>
      <c r="I50" s="288">
        <v>0.87449272400079703</v>
      </c>
      <c r="J50" s="289">
        <v>0.87517972364818386</v>
      </c>
      <c r="K50" s="287">
        <v>0.87586765761250107</v>
      </c>
      <c r="L50" s="288">
        <v>0.87655652780730764</v>
      </c>
      <c r="M50" s="288">
        <v>0.87724633615138781</v>
      </c>
      <c r="N50" s="288">
        <v>0.87793282035625597</v>
      </c>
      <c r="O50" s="288">
        <v>0.87862023971854986</v>
      </c>
      <c r="P50" s="288">
        <v>0.87930859615879231</v>
      </c>
      <c r="Q50" s="288">
        <v>0.87999789160276742</v>
      </c>
      <c r="R50" s="288">
        <v>0.88068812798154061</v>
      </c>
      <c r="S50" s="289">
        <v>0.88146231830764199</v>
      </c>
      <c r="T50" s="287">
        <v>0.88228955589934954</v>
      </c>
      <c r="U50" s="288">
        <v>0.8828045298634164</v>
      </c>
      <c r="V50" s="288">
        <v>0.88332029841474025</v>
      </c>
      <c r="W50" s="288">
        <v>0.88383686342806378</v>
      </c>
      <c r="X50" s="288">
        <v>0.88444561609957584</v>
      </c>
      <c r="Y50" s="288">
        <v>0.88505526962916881</v>
      </c>
      <c r="Z50" s="288">
        <v>0.88566582614734846</v>
      </c>
      <c r="AA50" s="288">
        <v>0.88627728779134529</v>
      </c>
      <c r="AB50" s="289">
        <v>0.88688965670513775</v>
      </c>
      <c r="AC50" s="287">
        <v>0.88746341063438905</v>
      </c>
      <c r="AD50" s="288">
        <v>0.88756421142287234</v>
      </c>
      <c r="AE50" s="288">
        <v>0.88766498746757028</v>
      </c>
      <c r="AF50" s="288">
        <v>0.88829266523693062</v>
      </c>
      <c r="AG50" s="288">
        <v>0.88892068809435443</v>
      </c>
      <c r="AH50" s="288">
        <v>0.88924994383406675</v>
      </c>
      <c r="AI50" s="288">
        <v>0.88957921395254391</v>
      </c>
      <c r="AJ50" s="288">
        <v>0.88990849845831921</v>
      </c>
      <c r="AK50" s="288">
        <v>0.89023779735993114</v>
      </c>
      <c r="AL50" s="289">
        <v>0.8905671106659282</v>
      </c>
      <c r="AM50" s="287">
        <v>0.8908536885327426</v>
      </c>
      <c r="AN50" s="288">
        <v>0.8911402663995569</v>
      </c>
      <c r="AO50" s="288">
        <v>0.89142684426637131</v>
      </c>
      <c r="AP50" s="288">
        <v>0.89171342213318561</v>
      </c>
      <c r="AQ50" s="288">
        <v>0.89200000000000002</v>
      </c>
      <c r="AR50" s="288">
        <v>0.89219999999999999</v>
      </c>
      <c r="AS50" s="288">
        <v>0.89239999999999997</v>
      </c>
      <c r="AT50" s="288">
        <v>0.89260000000000006</v>
      </c>
      <c r="AU50" s="288">
        <v>0.89280000000000004</v>
      </c>
      <c r="AV50" s="289">
        <v>0.89300000000000002</v>
      </c>
      <c r="AW50" s="287">
        <v>0.8931</v>
      </c>
      <c r="AX50" s="288">
        <v>0.89319999999999999</v>
      </c>
      <c r="AY50" s="288">
        <v>0.89329999999999998</v>
      </c>
      <c r="AZ50" s="288">
        <v>0.89339999999999997</v>
      </c>
      <c r="BA50" s="288">
        <v>0.89349999999999996</v>
      </c>
      <c r="BB50" s="288">
        <v>0.89359999999999995</v>
      </c>
      <c r="BC50" s="288">
        <v>0.89369999999999994</v>
      </c>
      <c r="BD50" s="288">
        <v>0.89380000000000004</v>
      </c>
      <c r="BE50" s="288">
        <v>0.89390000000000003</v>
      </c>
      <c r="BF50" s="289">
        <v>0.89400000000000002</v>
      </c>
      <c r="BG50" s="289">
        <f t="shared" si="0"/>
        <v>0.89400000000000002</v>
      </c>
      <c r="BH50" s="237"/>
    </row>
    <row r="51" spans="1:60" x14ac:dyDescent="0.2">
      <c r="A51" s="348">
        <v>10.5</v>
      </c>
      <c r="B51" s="277">
        <v>0.83648289262067832</v>
      </c>
      <c r="C51" s="278">
        <v>0.84245362218920017</v>
      </c>
      <c r="D51" s="278">
        <v>0.84802895099867259</v>
      </c>
      <c r="E51" s="278">
        <v>0.85270836021586571</v>
      </c>
      <c r="F51" s="278">
        <v>0.85575131062466003</v>
      </c>
      <c r="G51" s="278">
        <v>0.85922570267762011</v>
      </c>
      <c r="H51" s="278">
        <v>0.86159573851767024</v>
      </c>
      <c r="I51" s="278">
        <v>0.86380618089894456</v>
      </c>
      <c r="J51" s="279">
        <v>0.86465756578647956</v>
      </c>
      <c r="K51" s="277">
        <v>0.86544234806821552</v>
      </c>
      <c r="L51" s="278">
        <v>0.86622819532826589</v>
      </c>
      <c r="M51" s="278">
        <v>0.86701510974928009</v>
      </c>
      <c r="N51" s="278">
        <v>0.86779846278517081</v>
      </c>
      <c r="O51" s="278">
        <v>0.86858287879859863</v>
      </c>
      <c r="P51" s="278">
        <v>0.8693683599725891</v>
      </c>
      <c r="Q51" s="278">
        <v>0.8701549084961504</v>
      </c>
      <c r="R51" s="278">
        <v>0.87094252656429216</v>
      </c>
      <c r="S51" s="279">
        <v>0.8718157954837229</v>
      </c>
      <c r="T51" s="277">
        <v>0.87274170169867937</v>
      </c>
      <c r="U51" s="278">
        <v>0.87338563850020978</v>
      </c>
      <c r="V51" s="278">
        <v>0.87399906284003315</v>
      </c>
      <c r="W51" s="278">
        <v>0.87461344432088994</v>
      </c>
      <c r="X51" s="278">
        <v>0.87532499211557391</v>
      </c>
      <c r="Y51" s="278">
        <v>0.87603762998972157</v>
      </c>
      <c r="Z51" s="278">
        <v>0.87675136052134195</v>
      </c>
      <c r="AA51" s="278">
        <v>0.87746618629658168</v>
      </c>
      <c r="AB51" s="279">
        <v>0.8781821099097542</v>
      </c>
      <c r="AC51" s="277">
        <v>0.87886304997292508</v>
      </c>
      <c r="AD51" s="278">
        <v>0.87907575404936578</v>
      </c>
      <c r="AE51" s="278">
        <v>0.87928850733452557</v>
      </c>
      <c r="AF51" s="278">
        <v>0.87995118265034955</v>
      </c>
      <c r="AG51" s="278">
        <v>0.88069365140071176</v>
      </c>
      <c r="AH51" s="278">
        <v>0.88112811719610051</v>
      </c>
      <c r="AI51" s="278">
        <v>0.88156259778808954</v>
      </c>
      <c r="AJ51" s="278">
        <v>0.88199709318545971</v>
      </c>
      <c r="AK51" s="278">
        <v>0.88243160339700055</v>
      </c>
      <c r="AL51" s="279">
        <v>0.88286612843150603</v>
      </c>
      <c r="AM51" s="277">
        <v>0.88319290274520479</v>
      </c>
      <c r="AN51" s="278">
        <v>0.88351967705890355</v>
      </c>
      <c r="AO51" s="278">
        <v>0.88384645137260243</v>
      </c>
      <c r="AP51" s="278">
        <v>0.88417322568630119</v>
      </c>
      <c r="AQ51" s="278">
        <v>0.88449999999999995</v>
      </c>
      <c r="AR51" s="278">
        <v>0.88459999999999994</v>
      </c>
      <c r="AS51" s="278">
        <v>0.88469999999999993</v>
      </c>
      <c r="AT51" s="278">
        <v>0.88480000000000003</v>
      </c>
      <c r="AU51" s="278">
        <v>0.88490000000000002</v>
      </c>
      <c r="AV51" s="279">
        <v>0.88500000000000001</v>
      </c>
      <c r="AW51" s="277">
        <v>0.88519999999999999</v>
      </c>
      <c r="AX51" s="278">
        <v>0.88539999999999996</v>
      </c>
      <c r="AY51" s="278">
        <v>0.88560000000000005</v>
      </c>
      <c r="AZ51" s="278">
        <v>0.88580000000000003</v>
      </c>
      <c r="BA51" s="278">
        <v>0.88600000000000001</v>
      </c>
      <c r="BB51" s="278">
        <v>0.88600000000000001</v>
      </c>
      <c r="BC51" s="278">
        <v>0.88600000000000001</v>
      </c>
      <c r="BD51" s="278">
        <v>0.88600000000000001</v>
      </c>
      <c r="BE51" s="278">
        <v>0.88600000000000001</v>
      </c>
      <c r="BF51" s="279">
        <v>0.88600000000000001</v>
      </c>
      <c r="BG51" s="279">
        <f t="shared" si="0"/>
        <v>0.88600000000000001</v>
      </c>
      <c r="BH51" s="237"/>
    </row>
    <row r="52" spans="1:60" x14ac:dyDescent="0.2">
      <c r="A52" s="348">
        <v>11</v>
      </c>
      <c r="B52" s="277">
        <v>0.82411347681523339</v>
      </c>
      <c r="C52" s="278">
        <v>0.83013601179369123</v>
      </c>
      <c r="D52" s="278">
        <v>0.83572908531080725</v>
      </c>
      <c r="E52" s="278">
        <v>0.84085810172035436</v>
      </c>
      <c r="F52" s="278">
        <v>0.84495358950629884</v>
      </c>
      <c r="G52" s="278">
        <v>0.84934938759303713</v>
      </c>
      <c r="H52" s="278">
        <v>0.85119262556714248</v>
      </c>
      <c r="I52" s="278">
        <v>0.85287844032887783</v>
      </c>
      <c r="J52" s="279">
        <v>0.85392695411250197</v>
      </c>
      <c r="K52" s="277">
        <v>0.85491406814556792</v>
      </c>
      <c r="L52" s="278">
        <v>0.85590251602335565</v>
      </c>
      <c r="M52" s="278">
        <v>0.85689230047955189</v>
      </c>
      <c r="N52" s="278">
        <v>0.85787842982358919</v>
      </c>
      <c r="O52" s="278">
        <v>0.85886588951352805</v>
      </c>
      <c r="P52" s="278">
        <v>0.85985468228148521</v>
      </c>
      <c r="Q52" s="278">
        <v>0.86084481086706532</v>
      </c>
      <c r="R52" s="278">
        <v>0.86183627801738316</v>
      </c>
      <c r="S52" s="279">
        <v>0.86291514667413449</v>
      </c>
      <c r="T52" s="277">
        <v>0.86404645604583907</v>
      </c>
      <c r="U52" s="278">
        <v>0.86475784910582087</v>
      </c>
      <c r="V52" s="278">
        <v>0.86536484211491493</v>
      </c>
      <c r="W52" s="278">
        <v>0.86597278184209436</v>
      </c>
      <c r="X52" s="278">
        <v>0.86668252777898402</v>
      </c>
      <c r="Y52" s="278">
        <v>0.86739335918178795</v>
      </c>
      <c r="Z52" s="278">
        <v>0.86810527861760756</v>
      </c>
      <c r="AA52" s="278">
        <v>0.86881828866164246</v>
      </c>
      <c r="AB52" s="279">
        <v>0.8695323918972272</v>
      </c>
      <c r="AC52" s="277">
        <v>0.87021506106509461</v>
      </c>
      <c r="AD52" s="278">
        <v>0.87043410658207232</v>
      </c>
      <c r="AE52" s="278">
        <v>0.87065320123505785</v>
      </c>
      <c r="AF52" s="278">
        <v>0.87117003920490321</v>
      </c>
      <c r="AG52" s="278">
        <v>0.87181477984029698</v>
      </c>
      <c r="AH52" s="278">
        <v>0.87214355360214546</v>
      </c>
      <c r="AI52" s="278">
        <v>0.87247233829586912</v>
      </c>
      <c r="AJ52" s="278">
        <v>0.87280113392795389</v>
      </c>
      <c r="AK52" s="278">
        <v>0.8731299405048929</v>
      </c>
      <c r="AL52" s="279">
        <v>0.8734587580331834</v>
      </c>
      <c r="AM52" s="277">
        <v>0.87356700642654672</v>
      </c>
      <c r="AN52" s="278">
        <v>0.87367525481991004</v>
      </c>
      <c r="AO52" s="278">
        <v>0.87378350321327336</v>
      </c>
      <c r="AP52" s="278">
        <v>0.87389175160663668</v>
      </c>
      <c r="AQ52" s="278">
        <v>0.874</v>
      </c>
      <c r="AR52" s="278">
        <v>0.87409999999999999</v>
      </c>
      <c r="AS52" s="278">
        <v>0.87419999999999998</v>
      </c>
      <c r="AT52" s="278">
        <v>0.87430000000000008</v>
      </c>
      <c r="AU52" s="278">
        <v>0.87440000000000007</v>
      </c>
      <c r="AV52" s="279">
        <v>0.87450000000000006</v>
      </c>
      <c r="AW52" s="277">
        <v>0.87460000000000004</v>
      </c>
      <c r="AX52" s="278">
        <v>0.87470000000000003</v>
      </c>
      <c r="AY52" s="278">
        <v>0.87480000000000002</v>
      </c>
      <c r="AZ52" s="278">
        <v>0.87490000000000001</v>
      </c>
      <c r="BA52" s="278">
        <v>0.875</v>
      </c>
      <c r="BB52" s="278">
        <v>0.87519999999999998</v>
      </c>
      <c r="BC52" s="278">
        <v>0.87539999999999996</v>
      </c>
      <c r="BD52" s="278">
        <v>0.87560000000000004</v>
      </c>
      <c r="BE52" s="278">
        <v>0.87580000000000002</v>
      </c>
      <c r="BF52" s="279">
        <v>0.876</v>
      </c>
      <c r="BG52" s="279">
        <f t="shared" si="0"/>
        <v>0.876</v>
      </c>
      <c r="BH52" s="237"/>
    </row>
    <row r="53" spans="1:60" x14ac:dyDescent="0.2">
      <c r="A53" s="348">
        <v>11.5</v>
      </c>
      <c r="B53" s="277">
        <v>0.814450690255347</v>
      </c>
      <c r="C53" s="278">
        <v>0.82100638426166239</v>
      </c>
      <c r="D53" s="278">
        <v>0.82661687416086149</v>
      </c>
      <c r="E53" s="278">
        <v>0.83148667198006143</v>
      </c>
      <c r="F53" s="278">
        <v>0.83454854908980758</v>
      </c>
      <c r="G53" s="278">
        <v>0.83815484832788967</v>
      </c>
      <c r="H53" s="278">
        <v>0.84051480132829981</v>
      </c>
      <c r="I53" s="278">
        <v>0.84272132342819028</v>
      </c>
      <c r="J53" s="279">
        <v>0.84396401187953474</v>
      </c>
      <c r="K53" s="277">
        <v>0.84505065926160738</v>
      </c>
      <c r="L53" s="278">
        <v>0.84613877185359054</v>
      </c>
      <c r="M53" s="278">
        <v>0.84722835265840291</v>
      </c>
      <c r="N53" s="278">
        <v>0.84831404979331859</v>
      </c>
      <c r="O53" s="278">
        <v>0.84940120719031964</v>
      </c>
      <c r="P53" s="278">
        <v>0.85048982784833305</v>
      </c>
      <c r="Q53" s="278">
        <v>0.85157991477450046</v>
      </c>
      <c r="R53" s="278">
        <v>0.85267147098420826</v>
      </c>
      <c r="S53" s="279">
        <v>0.85385187339412782</v>
      </c>
      <c r="T53" s="277">
        <v>0.85508434597791394</v>
      </c>
      <c r="U53" s="278">
        <v>0.85594819802379341</v>
      </c>
      <c r="V53" s="278">
        <v>0.85665446164365455</v>
      </c>
      <c r="W53" s="278">
        <v>0.85736183616666461</v>
      </c>
      <c r="X53" s="278">
        <v>0.85817563411224795</v>
      </c>
      <c r="Y53" s="278">
        <v>0.85899071412153072</v>
      </c>
      <c r="Z53" s="278">
        <v>0.85980707922655997</v>
      </c>
      <c r="AA53" s="278">
        <v>0.86062473246895255</v>
      </c>
      <c r="AB53" s="279">
        <v>0.86144367689993295</v>
      </c>
      <c r="AC53" s="277">
        <v>0.86223500847233314</v>
      </c>
      <c r="AD53" s="278">
        <v>0.86256711172333911</v>
      </c>
      <c r="AE53" s="278">
        <v>0.86289934623137421</v>
      </c>
      <c r="AF53" s="278">
        <v>0.86340790905276388</v>
      </c>
      <c r="AG53" s="278">
        <v>0.8640609557128871</v>
      </c>
      <c r="AH53" s="278">
        <v>0.86439074871391108</v>
      </c>
      <c r="AI53" s="278">
        <v>0.86472055230408962</v>
      </c>
      <c r="AJ53" s="278">
        <v>0.86505036648970601</v>
      </c>
      <c r="AK53" s="278">
        <v>0.86538019127704957</v>
      </c>
      <c r="AL53" s="279">
        <v>0.8657100266724127</v>
      </c>
      <c r="AM53" s="277">
        <v>0.86596802133793016</v>
      </c>
      <c r="AN53" s="278">
        <v>0.86622601600344762</v>
      </c>
      <c r="AO53" s="278">
        <v>0.86648401066896508</v>
      </c>
      <c r="AP53" s="278">
        <v>0.86674200533448253</v>
      </c>
      <c r="AQ53" s="278">
        <v>0.86699999999999999</v>
      </c>
      <c r="AR53" s="278">
        <v>0.86719999999999997</v>
      </c>
      <c r="AS53" s="278">
        <v>0.86739999999999995</v>
      </c>
      <c r="AT53" s="278">
        <v>0.86760000000000004</v>
      </c>
      <c r="AU53" s="278">
        <v>0.86780000000000002</v>
      </c>
      <c r="AV53" s="279">
        <v>0.86799999999999999</v>
      </c>
      <c r="AW53" s="277">
        <v>0.86819999999999997</v>
      </c>
      <c r="AX53" s="278">
        <v>0.86839999999999995</v>
      </c>
      <c r="AY53" s="278">
        <v>0.86860000000000004</v>
      </c>
      <c r="AZ53" s="278">
        <v>0.86880000000000002</v>
      </c>
      <c r="BA53" s="278">
        <v>0.86899999999999999</v>
      </c>
      <c r="BB53" s="278">
        <v>0.86899999999999999</v>
      </c>
      <c r="BC53" s="278">
        <v>0.86899999999999999</v>
      </c>
      <c r="BD53" s="278">
        <v>0.86899999999999999</v>
      </c>
      <c r="BE53" s="278">
        <v>0.86899999999999999</v>
      </c>
      <c r="BF53" s="279">
        <v>0.86899999999999999</v>
      </c>
      <c r="BG53" s="279">
        <f t="shared" si="0"/>
        <v>0.86899999999999999</v>
      </c>
      <c r="BH53" s="237"/>
    </row>
    <row r="54" spans="1:60" x14ac:dyDescent="0.2">
      <c r="A54" s="349">
        <v>12</v>
      </c>
      <c r="B54" s="281">
        <v>0.80094513876597151</v>
      </c>
      <c r="C54" s="282">
        <v>0.80808286419979436</v>
      </c>
      <c r="D54" s="282">
        <v>0.81371170687665617</v>
      </c>
      <c r="E54" s="282">
        <v>0.81882538868733479</v>
      </c>
      <c r="F54" s="282">
        <v>0.8224230984490446</v>
      </c>
      <c r="G54" s="282">
        <v>0.82662150451246597</v>
      </c>
      <c r="H54" s="282">
        <v>0.82950238759183514</v>
      </c>
      <c r="I54" s="282">
        <v>0.83223389952519433</v>
      </c>
      <c r="J54" s="283">
        <v>0.83371449241104534</v>
      </c>
      <c r="K54" s="281">
        <v>0.83490141121514327</v>
      </c>
      <c r="L54" s="282">
        <v>0.83608992718452491</v>
      </c>
      <c r="M54" s="282">
        <v>0.83728004359254893</v>
      </c>
      <c r="N54" s="282">
        <v>0.83846605690373632</v>
      </c>
      <c r="O54" s="282">
        <v>0.83965366077179071</v>
      </c>
      <c r="P54" s="282">
        <v>0.84084285846322149</v>
      </c>
      <c r="Q54" s="282">
        <v>0.84203365325348845</v>
      </c>
      <c r="R54" s="282">
        <v>0.8432260484270343</v>
      </c>
      <c r="S54" s="283">
        <v>0.84450856024694299</v>
      </c>
      <c r="T54" s="281">
        <v>0.84584275653100516</v>
      </c>
      <c r="U54" s="282">
        <v>0.84679628026858278</v>
      </c>
      <c r="V54" s="282">
        <v>0.84749589952949111</v>
      </c>
      <c r="W54" s="282">
        <v>0.84819661924243794</v>
      </c>
      <c r="X54" s="282">
        <v>0.84900790924270575</v>
      </c>
      <c r="Y54" s="282">
        <v>0.84982047735563548</v>
      </c>
      <c r="Z54" s="282">
        <v>0.85063432660393068</v>
      </c>
      <c r="AA54" s="282">
        <v>0.85144946001983568</v>
      </c>
      <c r="AB54" s="283">
        <v>0.85226588064516828</v>
      </c>
      <c r="AC54" s="281">
        <v>0.85305841977014063</v>
      </c>
      <c r="AD54" s="282">
        <v>0.85339662698771779</v>
      </c>
      <c r="AE54" s="282">
        <v>0.85373496787479097</v>
      </c>
      <c r="AF54" s="282">
        <v>0.85424504657783251</v>
      </c>
      <c r="AG54" s="282">
        <v>0.85501290333105451</v>
      </c>
      <c r="AH54" s="282">
        <v>0.85545172655782575</v>
      </c>
      <c r="AI54" s="282">
        <v>0.85589056327658486</v>
      </c>
      <c r="AJ54" s="282">
        <v>0.85632941349533576</v>
      </c>
      <c r="AK54" s="282">
        <v>0.85676827722209248</v>
      </c>
      <c r="AL54" s="283">
        <v>0.85720715446487505</v>
      </c>
      <c r="AM54" s="281">
        <v>0.85756572357190008</v>
      </c>
      <c r="AN54" s="282">
        <v>0.857924292678925</v>
      </c>
      <c r="AO54" s="282">
        <v>0.85828286178595004</v>
      </c>
      <c r="AP54" s="282">
        <v>0.85864143089297496</v>
      </c>
      <c r="AQ54" s="282">
        <v>0.85899999999999999</v>
      </c>
      <c r="AR54" s="282">
        <v>0.85919999999999996</v>
      </c>
      <c r="AS54" s="282">
        <v>0.85939999999999994</v>
      </c>
      <c r="AT54" s="282">
        <v>0.85960000000000003</v>
      </c>
      <c r="AU54" s="282">
        <v>0.85980000000000001</v>
      </c>
      <c r="AV54" s="283">
        <v>0.86</v>
      </c>
      <c r="AW54" s="281">
        <v>0.86019999999999996</v>
      </c>
      <c r="AX54" s="282">
        <v>0.86039999999999994</v>
      </c>
      <c r="AY54" s="282">
        <v>0.86060000000000003</v>
      </c>
      <c r="AZ54" s="282">
        <v>0.86080000000000001</v>
      </c>
      <c r="BA54" s="282">
        <v>0.86099999999999999</v>
      </c>
      <c r="BB54" s="282">
        <v>0.86119999999999997</v>
      </c>
      <c r="BC54" s="282">
        <v>0.86139999999999994</v>
      </c>
      <c r="BD54" s="282">
        <v>0.86160000000000003</v>
      </c>
      <c r="BE54" s="282">
        <v>0.86180000000000001</v>
      </c>
      <c r="BF54" s="283">
        <v>0.86199999999999999</v>
      </c>
      <c r="BG54" s="283">
        <f t="shared" si="0"/>
        <v>0.86199999999999999</v>
      </c>
      <c r="BH54" s="237"/>
    </row>
    <row r="55" spans="1:60" x14ac:dyDescent="0.2">
      <c r="A55" s="348">
        <v>12.5</v>
      </c>
      <c r="B55" s="284">
        <v>0.78878864074326605</v>
      </c>
      <c r="C55" s="285">
        <v>0.79602671554757098</v>
      </c>
      <c r="D55" s="285">
        <v>0.80167400811482692</v>
      </c>
      <c r="E55" s="285">
        <v>0.80700184808164388</v>
      </c>
      <c r="F55" s="285">
        <v>0.8111399270912053</v>
      </c>
      <c r="G55" s="285">
        <v>0.8159361025083065</v>
      </c>
      <c r="H55" s="285">
        <v>0.81881411980834307</v>
      </c>
      <c r="I55" s="285">
        <v>0.82154587955013236</v>
      </c>
      <c r="J55" s="286">
        <v>0.82317626618804218</v>
      </c>
      <c r="K55" s="284">
        <v>0.82446419284314698</v>
      </c>
      <c r="L55" s="285">
        <v>0.82575384920722528</v>
      </c>
      <c r="M55" s="285">
        <v>0.82704523882528069</v>
      </c>
      <c r="N55" s="285">
        <v>0.82833231683516384</v>
      </c>
      <c r="O55" s="285">
        <v>0.82962111607328592</v>
      </c>
      <c r="P55" s="285">
        <v>0.83091164007451301</v>
      </c>
      <c r="Q55" s="285">
        <v>0.83220389238340164</v>
      </c>
      <c r="R55" s="285">
        <v>0.83349787655422358</v>
      </c>
      <c r="S55" s="286">
        <v>0.83488307747728352</v>
      </c>
      <c r="T55" s="284">
        <v>0.83631956180778422</v>
      </c>
      <c r="U55" s="285">
        <v>0.83743798710231054</v>
      </c>
      <c r="V55" s="285">
        <v>0.83823756381539605</v>
      </c>
      <c r="W55" s="285">
        <v>0.83903840703760024</v>
      </c>
      <c r="X55" s="285">
        <v>0.83995394425837255</v>
      </c>
      <c r="Y55" s="285">
        <v>0.84087096160870911</v>
      </c>
      <c r="Z55" s="285">
        <v>0.84178946258907716</v>
      </c>
      <c r="AA55" s="285">
        <v>0.84270945071099423</v>
      </c>
      <c r="AB55" s="286">
        <v>0.84363092949706542</v>
      </c>
      <c r="AC55" s="284">
        <v>0.84453249957837362</v>
      </c>
      <c r="AD55" s="285">
        <v>0.84498443239944776</v>
      </c>
      <c r="AE55" s="285">
        <v>0.84543658905643015</v>
      </c>
      <c r="AF55" s="285">
        <v>0.84594282909242313</v>
      </c>
      <c r="AG55" s="285">
        <v>0.84661098124484491</v>
      </c>
      <c r="AH55" s="285">
        <v>0.84694490534438738</v>
      </c>
      <c r="AI55" s="285">
        <v>0.84727884177226187</v>
      </c>
      <c r="AJ55" s="285">
        <v>0.84761279053578442</v>
      </c>
      <c r="AK55" s="285">
        <v>0.84794675164227717</v>
      </c>
      <c r="AL55" s="286">
        <v>0.8482807250990676</v>
      </c>
      <c r="AM55" s="287">
        <v>0.84842458007925403</v>
      </c>
      <c r="AN55" s="288">
        <v>0.84856843505944057</v>
      </c>
      <c r="AO55" s="288">
        <v>0.848712290039627</v>
      </c>
      <c r="AP55" s="288">
        <v>0.84885614501981355</v>
      </c>
      <c r="AQ55" s="288">
        <v>0.84899999999999998</v>
      </c>
      <c r="AR55" s="288">
        <v>0.84919999999999995</v>
      </c>
      <c r="AS55" s="288">
        <v>0.84939999999999993</v>
      </c>
      <c r="AT55" s="288">
        <v>0.84960000000000002</v>
      </c>
      <c r="AU55" s="288">
        <v>0.8498</v>
      </c>
      <c r="AV55" s="289">
        <v>0.85</v>
      </c>
      <c r="AW55" s="287">
        <v>0.85009999999999997</v>
      </c>
      <c r="AX55" s="288">
        <v>0.85019999999999996</v>
      </c>
      <c r="AY55" s="288">
        <v>0.85030000000000006</v>
      </c>
      <c r="AZ55" s="288">
        <v>0.85040000000000004</v>
      </c>
      <c r="BA55" s="288">
        <v>0.85050000000000003</v>
      </c>
      <c r="BB55" s="288">
        <v>0.85060000000000002</v>
      </c>
      <c r="BC55" s="288">
        <v>0.85070000000000001</v>
      </c>
      <c r="BD55" s="288">
        <v>0.8508</v>
      </c>
      <c r="BE55" s="288">
        <v>0.85089999999999999</v>
      </c>
      <c r="BF55" s="289">
        <v>0.85099999999999998</v>
      </c>
      <c r="BG55" s="289">
        <f t="shared" si="0"/>
        <v>0.85099999999999998</v>
      </c>
      <c r="BH55" s="237"/>
    </row>
    <row r="56" spans="1:60" x14ac:dyDescent="0.2">
      <c r="A56" s="348">
        <v>13</v>
      </c>
      <c r="B56" s="277">
        <v>0.77743229806064307</v>
      </c>
      <c r="C56" s="278">
        <v>0.78443164113764119</v>
      </c>
      <c r="D56" s="278">
        <v>0.79168943165644279</v>
      </c>
      <c r="E56" s="278">
        <v>0.79820922842415698</v>
      </c>
      <c r="F56" s="278">
        <v>0.80183093031211661</v>
      </c>
      <c r="G56" s="278">
        <v>0.80610585968781689</v>
      </c>
      <c r="H56" s="278">
        <v>0.80853548151695143</v>
      </c>
      <c r="I56" s="278">
        <v>0.81073605067041055</v>
      </c>
      <c r="J56" s="279">
        <v>0.81234720422248252</v>
      </c>
      <c r="K56" s="277">
        <v>0.81373687354121205</v>
      </c>
      <c r="L56" s="278">
        <v>0.81512840569869471</v>
      </c>
      <c r="M56" s="278">
        <v>0.816521804512782</v>
      </c>
      <c r="N56" s="278">
        <v>0.81791069579270159</v>
      </c>
      <c r="O56" s="278">
        <v>0.81930143934746869</v>
      </c>
      <c r="P56" s="278">
        <v>0.82069403898107851</v>
      </c>
      <c r="Q56" s="278">
        <v>0.82208849850795351</v>
      </c>
      <c r="R56" s="278">
        <v>0.82348482175297066</v>
      </c>
      <c r="S56" s="279">
        <v>0.82497329539840647</v>
      </c>
      <c r="T56" s="277">
        <v>0.82651263587155421</v>
      </c>
      <c r="U56" s="278">
        <v>0.82779707655133794</v>
      </c>
      <c r="V56" s="278">
        <v>0.82869718257742875</v>
      </c>
      <c r="W56" s="278">
        <v>0.82959872251530475</v>
      </c>
      <c r="X56" s="278">
        <v>0.83061883092926947</v>
      </c>
      <c r="Y56" s="278">
        <v>0.83164062526730465</v>
      </c>
      <c r="Z56" s="278">
        <v>0.8326641095165781</v>
      </c>
      <c r="AA56" s="278">
        <v>0.83368928767683925</v>
      </c>
      <c r="AB56" s="279">
        <v>0.83471616376047275</v>
      </c>
      <c r="AC56" s="277">
        <v>0.83572715273342701</v>
      </c>
      <c r="AD56" s="278">
        <v>0.83629335371281532</v>
      </c>
      <c r="AE56" s="278">
        <v>0.83685987410784235</v>
      </c>
      <c r="AF56" s="278">
        <v>0.83744835108425997</v>
      </c>
      <c r="AG56" s="278">
        <v>0.83823198031539659</v>
      </c>
      <c r="AH56" s="278">
        <v>0.83867712237048242</v>
      </c>
      <c r="AI56" s="278">
        <v>0.83912228187943583</v>
      </c>
      <c r="AJ56" s="278">
        <v>0.83956745885261486</v>
      </c>
      <c r="AK56" s="278">
        <v>0.84001265330038599</v>
      </c>
      <c r="AL56" s="279">
        <v>0.84045786523312371</v>
      </c>
      <c r="AM56" s="277">
        <v>0.84066629218649902</v>
      </c>
      <c r="AN56" s="278">
        <v>0.84087471913987422</v>
      </c>
      <c r="AO56" s="278">
        <v>0.84108314609324952</v>
      </c>
      <c r="AP56" s="278">
        <v>0.84129157304662472</v>
      </c>
      <c r="AQ56" s="278">
        <v>0.84150000000000003</v>
      </c>
      <c r="AR56" s="278">
        <v>0.8417</v>
      </c>
      <c r="AS56" s="278">
        <v>0.84189999999999998</v>
      </c>
      <c r="AT56" s="278">
        <v>0.84210000000000007</v>
      </c>
      <c r="AU56" s="278">
        <v>0.84230000000000005</v>
      </c>
      <c r="AV56" s="279">
        <v>0.84250000000000003</v>
      </c>
      <c r="AW56" s="277">
        <v>0.84260000000000002</v>
      </c>
      <c r="AX56" s="278">
        <v>0.8427</v>
      </c>
      <c r="AY56" s="278">
        <v>0.84279999999999999</v>
      </c>
      <c r="AZ56" s="278">
        <v>0.84289999999999998</v>
      </c>
      <c r="BA56" s="278">
        <v>0.84299999999999997</v>
      </c>
      <c r="BB56" s="278">
        <v>0.84309999999999996</v>
      </c>
      <c r="BC56" s="278">
        <v>0.84319999999999995</v>
      </c>
      <c r="BD56" s="278">
        <v>0.84330000000000005</v>
      </c>
      <c r="BE56" s="278">
        <v>0.84340000000000004</v>
      </c>
      <c r="BF56" s="279">
        <v>0.84350000000000003</v>
      </c>
      <c r="BG56" s="279">
        <f t="shared" si="0"/>
        <v>0.84350000000000003</v>
      </c>
      <c r="BH56" s="237"/>
    </row>
    <row r="57" spans="1:60" x14ac:dyDescent="0.2">
      <c r="A57" s="348">
        <v>13.5</v>
      </c>
      <c r="B57" s="277">
        <v>0.76655747309827504</v>
      </c>
      <c r="C57" s="278">
        <v>0.77342252866297212</v>
      </c>
      <c r="D57" s="278">
        <v>0.77910715160833166</v>
      </c>
      <c r="E57" s="278">
        <v>0.78457010957428219</v>
      </c>
      <c r="F57" s="278">
        <v>0.78873711977622951</v>
      </c>
      <c r="G57" s="278">
        <v>0.79354994944366097</v>
      </c>
      <c r="H57" s="278">
        <v>0.79757399809226615</v>
      </c>
      <c r="I57" s="278">
        <v>0.80137447223911273</v>
      </c>
      <c r="J57" s="279">
        <v>0.80358176984462271</v>
      </c>
      <c r="K57" s="277">
        <v>0.80496852727468893</v>
      </c>
      <c r="L57" s="278">
        <v>0.80635714189545848</v>
      </c>
      <c r="M57" s="278">
        <v>0.80774761751320689</v>
      </c>
      <c r="N57" s="278">
        <v>0.80913324783938367</v>
      </c>
      <c r="O57" s="278">
        <v>0.81052072339753212</v>
      </c>
      <c r="P57" s="278">
        <v>0.81191004797718536</v>
      </c>
      <c r="Q57" s="278">
        <v>0.81330122537826077</v>
      </c>
      <c r="R57" s="278">
        <v>0.81469425941109441</v>
      </c>
      <c r="S57" s="279">
        <v>0.81618023186040589</v>
      </c>
      <c r="T57" s="277">
        <v>0.81771655154843714</v>
      </c>
      <c r="U57" s="278">
        <v>0.81906149974931197</v>
      </c>
      <c r="V57" s="278">
        <v>0.81995590854845835</v>
      </c>
      <c r="W57" s="278">
        <v>0.82085174270542172</v>
      </c>
      <c r="X57" s="278">
        <v>0.82186971854902069</v>
      </c>
      <c r="Y57" s="278">
        <v>0.82288938015490742</v>
      </c>
      <c r="Z57" s="278">
        <v>0.82391073150986671</v>
      </c>
      <c r="AA57" s="278">
        <v>0.82493377661326461</v>
      </c>
      <c r="AB57" s="279">
        <v>0.82595851947710064</v>
      </c>
      <c r="AC57" s="277">
        <v>0.82697120976451721</v>
      </c>
      <c r="AD57" s="278">
        <v>0.82754378973075349</v>
      </c>
      <c r="AE57" s="278">
        <v>0.82811669683005973</v>
      </c>
      <c r="AF57" s="278">
        <v>0.82868993125641544</v>
      </c>
      <c r="AG57" s="278">
        <v>0.82957328085329718</v>
      </c>
      <c r="AH57" s="278">
        <v>0.83013109701532051</v>
      </c>
      <c r="AI57" s="278">
        <v>0.83068893761160423</v>
      </c>
      <c r="AJ57" s="278">
        <v>0.83124680265664852</v>
      </c>
      <c r="AK57" s="278">
        <v>0.83180469216496411</v>
      </c>
      <c r="AL57" s="279">
        <v>0.83236260615107527</v>
      </c>
      <c r="AM57" s="277">
        <v>0.83269008492086016</v>
      </c>
      <c r="AN57" s="278">
        <v>0.83301756369064517</v>
      </c>
      <c r="AO57" s="278">
        <v>0.83334504246043006</v>
      </c>
      <c r="AP57" s="278">
        <v>0.83367252123021507</v>
      </c>
      <c r="AQ57" s="278">
        <v>0.83399999999999996</v>
      </c>
      <c r="AR57" s="278">
        <v>0.83419999999999994</v>
      </c>
      <c r="AS57" s="278">
        <v>0.83439999999999992</v>
      </c>
      <c r="AT57" s="278">
        <v>0.83460000000000001</v>
      </c>
      <c r="AU57" s="278">
        <v>0.83479999999999999</v>
      </c>
      <c r="AV57" s="279">
        <v>0.83499999999999996</v>
      </c>
      <c r="AW57" s="277">
        <v>0.83519999999999994</v>
      </c>
      <c r="AX57" s="278">
        <v>0.83539999999999992</v>
      </c>
      <c r="AY57" s="278">
        <v>0.83560000000000001</v>
      </c>
      <c r="AZ57" s="278">
        <v>0.83579999999999999</v>
      </c>
      <c r="BA57" s="278">
        <v>0.83599999999999997</v>
      </c>
      <c r="BB57" s="278">
        <v>0.83619999999999994</v>
      </c>
      <c r="BC57" s="278">
        <v>0.83639999999999992</v>
      </c>
      <c r="BD57" s="278">
        <v>0.83660000000000001</v>
      </c>
      <c r="BE57" s="278">
        <v>0.83679999999999999</v>
      </c>
      <c r="BF57" s="279">
        <v>0.83699999999999997</v>
      </c>
      <c r="BG57" s="279">
        <f t="shared" si="0"/>
        <v>0.83699999999999997</v>
      </c>
      <c r="BH57" s="237"/>
    </row>
    <row r="58" spans="1:60" x14ac:dyDescent="0.2">
      <c r="A58" s="348">
        <v>14</v>
      </c>
      <c r="B58" s="277">
        <v>0.75230502500745611</v>
      </c>
      <c r="C58" s="278">
        <v>0.75995744660798159</v>
      </c>
      <c r="D58" s="278">
        <v>0.76726704831646153</v>
      </c>
      <c r="E58" s="278">
        <v>0.77414680402319214</v>
      </c>
      <c r="F58" s="278">
        <v>0.77832834808877738</v>
      </c>
      <c r="G58" s="278">
        <v>0.78315009739617303</v>
      </c>
      <c r="H58" s="278">
        <v>0.78674779197937739</v>
      </c>
      <c r="I58" s="278">
        <v>0.79001671252488082</v>
      </c>
      <c r="J58" s="279">
        <v>0.79225508022494229</v>
      </c>
      <c r="K58" s="277">
        <v>0.79385204838156942</v>
      </c>
      <c r="L58" s="278">
        <v>0.79545114958973862</v>
      </c>
      <c r="M58" s="278">
        <v>0.79705238822109659</v>
      </c>
      <c r="N58" s="278">
        <v>0.79864875199759411</v>
      </c>
      <c r="O58" s="278">
        <v>0.80024723345517246</v>
      </c>
      <c r="P58" s="278">
        <v>0.80184783694289075</v>
      </c>
      <c r="Q58" s="278">
        <v>0.80345056682172455</v>
      </c>
      <c r="R58" s="278">
        <v>0.80505542746460734</v>
      </c>
      <c r="S58" s="279">
        <v>0.80675410378209744</v>
      </c>
      <c r="T58" s="277">
        <v>0.8085029142290252</v>
      </c>
      <c r="U58" s="278">
        <v>0.81008152188926996</v>
      </c>
      <c r="V58" s="278">
        <v>0.81096994175192394</v>
      </c>
      <c r="W58" s="278">
        <v>0.81185977792209729</v>
      </c>
      <c r="X58" s="278">
        <v>0.81287509029470584</v>
      </c>
      <c r="Y58" s="278">
        <v>0.81389208736273255</v>
      </c>
      <c r="Z58" s="278">
        <v>0.81491077311044158</v>
      </c>
      <c r="AA58" s="278">
        <v>0.81593115153466744</v>
      </c>
      <c r="AB58" s="279">
        <v>0.81695322664486936</v>
      </c>
      <c r="AC58" s="277">
        <v>0.81796709405916379</v>
      </c>
      <c r="AD58" s="278">
        <v>0.81854566071968549</v>
      </c>
      <c r="AE58" s="278">
        <v>0.81912456206858564</v>
      </c>
      <c r="AF58" s="278">
        <v>0.81970379830432105</v>
      </c>
      <c r="AG58" s="278">
        <v>0.82063269580564546</v>
      </c>
      <c r="AH58" s="278">
        <v>0.8213045803907788</v>
      </c>
      <c r="AI58" s="278">
        <v>0.82197649861781752</v>
      </c>
      <c r="AJ58" s="278">
        <v>0.8226484505067253</v>
      </c>
      <c r="AK58" s="278">
        <v>0.82332043607748351</v>
      </c>
      <c r="AL58" s="279">
        <v>0.82399245535008681</v>
      </c>
      <c r="AM58" s="277">
        <v>0.82439396428006939</v>
      </c>
      <c r="AN58" s="278">
        <v>0.82479547321005209</v>
      </c>
      <c r="AO58" s="278">
        <v>0.82519698214003467</v>
      </c>
      <c r="AP58" s="278">
        <v>0.82559849107001737</v>
      </c>
      <c r="AQ58" s="278">
        <v>0.82599999999999996</v>
      </c>
      <c r="AR58" s="278">
        <v>0.82629999999999992</v>
      </c>
      <c r="AS58" s="278">
        <v>0.8266</v>
      </c>
      <c r="AT58" s="278">
        <v>0.82689999999999997</v>
      </c>
      <c r="AU58" s="278">
        <v>0.82720000000000005</v>
      </c>
      <c r="AV58" s="279">
        <v>0.82750000000000001</v>
      </c>
      <c r="AW58" s="277">
        <v>0.82779999999999998</v>
      </c>
      <c r="AX58" s="278">
        <v>0.82809999999999995</v>
      </c>
      <c r="AY58" s="278">
        <v>0.82840000000000003</v>
      </c>
      <c r="AZ58" s="278">
        <v>0.82869999999999999</v>
      </c>
      <c r="BA58" s="278">
        <v>0.82899999999999996</v>
      </c>
      <c r="BB58" s="278">
        <v>0.82919999999999994</v>
      </c>
      <c r="BC58" s="278">
        <v>0.82939999999999992</v>
      </c>
      <c r="BD58" s="278">
        <v>0.8296</v>
      </c>
      <c r="BE58" s="278">
        <v>0.82979999999999998</v>
      </c>
      <c r="BF58" s="279">
        <v>0.83</v>
      </c>
      <c r="BG58" s="279">
        <f t="shared" si="0"/>
        <v>0.83</v>
      </c>
      <c r="BH58" s="237"/>
    </row>
    <row r="59" spans="1:60" x14ac:dyDescent="0.2">
      <c r="A59" s="349">
        <v>14.5</v>
      </c>
      <c r="B59" s="290">
        <v>0.74263146855549889</v>
      </c>
      <c r="C59" s="291">
        <v>0.75090338572802884</v>
      </c>
      <c r="D59" s="291">
        <v>0.75662629065927978</v>
      </c>
      <c r="E59" s="291">
        <v>0.76229628521039705</v>
      </c>
      <c r="F59" s="291">
        <v>0.76702991452912983</v>
      </c>
      <c r="G59" s="291">
        <v>0.77239762331359652</v>
      </c>
      <c r="H59" s="291">
        <v>0.77659826196710458</v>
      </c>
      <c r="I59" s="291">
        <v>0.78040870277744356</v>
      </c>
      <c r="J59" s="292">
        <v>0.78297058272871245</v>
      </c>
      <c r="K59" s="290">
        <v>0.7845652413684332</v>
      </c>
      <c r="L59" s="291">
        <v>0.7861620278143121</v>
      </c>
      <c r="M59" s="291">
        <v>0.78776094642724459</v>
      </c>
      <c r="N59" s="291">
        <v>0.78935468043543833</v>
      </c>
      <c r="O59" s="291">
        <v>0.79095052529311971</v>
      </c>
      <c r="P59" s="291">
        <v>0.79254848533531597</v>
      </c>
      <c r="Q59" s="291">
        <v>0.79414856490893693</v>
      </c>
      <c r="R59" s="291">
        <v>0.79575076837280723</v>
      </c>
      <c r="S59" s="292">
        <v>0.7974472791942756</v>
      </c>
      <c r="T59" s="290">
        <v>0.79919337486883013</v>
      </c>
      <c r="U59" s="291">
        <v>0.80086628495561196</v>
      </c>
      <c r="V59" s="291">
        <v>0.80185713236911327</v>
      </c>
      <c r="W59" s="291">
        <v>0.80284956714456812</v>
      </c>
      <c r="X59" s="291">
        <v>0.80397080739959725</v>
      </c>
      <c r="Y59" s="291">
        <v>0.80509394640355769</v>
      </c>
      <c r="Z59" s="291">
        <v>0.80621898864694463</v>
      </c>
      <c r="AA59" s="291">
        <v>0.80734593863442183</v>
      </c>
      <c r="AB59" s="292">
        <v>0.80847480088488011</v>
      </c>
      <c r="AC59" s="290">
        <v>0.80959950593897179</v>
      </c>
      <c r="AD59" s="291">
        <v>0.81029353765721202</v>
      </c>
      <c r="AE59" s="291">
        <v>0.81098801047682278</v>
      </c>
      <c r="AF59" s="291">
        <v>0.81168292465935965</v>
      </c>
      <c r="AG59" s="291">
        <v>0.81252080104857438</v>
      </c>
      <c r="AH59" s="291">
        <v>0.81308884899024991</v>
      </c>
      <c r="AI59" s="291">
        <v>0.81365693162674591</v>
      </c>
      <c r="AJ59" s="291">
        <v>0.81422504897865033</v>
      </c>
      <c r="AK59" s="291">
        <v>0.81479320106656816</v>
      </c>
      <c r="AL59" s="292">
        <v>0.81536138791112389</v>
      </c>
      <c r="AM59" s="281">
        <v>0.81568911032889913</v>
      </c>
      <c r="AN59" s="282">
        <v>0.81601683274667436</v>
      </c>
      <c r="AO59" s="282">
        <v>0.81634455516444948</v>
      </c>
      <c r="AP59" s="282">
        <v>0.81667227758222471</v>
      </c>
      <c r="AQ59" s="282">
        <v>0.81699999999999995</v>
      </c>
      <c r="AR59" s="282">
        <v>0.81729999999999992</v>
      </c>
      <c r="AS59" s="282">
        <v>0.81759999999999999</v>
      </c>
      <c r="AT59" s="282">
        <v>0.81789999999999996</v>
      </c>
      <c r="AU59" s="282">
        <v>0.81820000000000004</v>
      </c>
      <c r="AV59" s="283">
        <v>0.81850000000000001</v>
      </c>
      <c r="AW59" s="281">
        <v>0.81869999999999998</v>
      </c>
      <c r="AX59" s="282">
        <v>0.81889999999999996</v>
      </c>
      <c r="AY59" s="282">
        <v>0.81910000000000005</v>
      </c>
      <c r="AZ59" s="282">
        <v>0.81930000000000003</v>
      </c>
      <c r="BA59" s="282">
        <v>0.81950000000000001</v>
      </c>
      <c r="BB59" s="282">
        <v>0.8196</v>
      </c>
      <c r="BC59" s="282">
        <v>0.81969999999999998</v>
      </c>
      <c r="BD59" s="282">
        <v>0.81979999999999997</v>
      </c>
      <c r="BE59" s="282">
        <v>0.81989999999999996</v>
      </c>
      <c r="BF59" s="283">
        <v>0.82</v>
      </c>
      <c r="BG59" s="283">
        <f t="shared" si="0"/>
        <v>0.82</v>
      </c>
      <c r="BH59" s="237"/>
    </row>
    <row r="60" spans="1:60" x14ac:dyDescent="0.2">
      <c r="A60" s="348">
        <v>15</v>
      </c>
      <c r="B60" s="287">
        <v>0.73149866913640027</v>
      </c>
      <c r="C60" s="288">
        <v>0.73860415948525637</v>
      </c>
      <c r="D60" s="288">
        <v>0.74434684283680308</v>
      </c>
      <c r="E60" s="288">
        <v>0.75007046112787257</v>
      </c>
      <c r="F60" s="288">
        <v>0.75482134427629166</v>
      </c>
      <c r="G60" s="288">
        <v>0.7601990411259949</v>
      </c>
      <c r="H60" s="288">
        <v>0.76489828611865895</v>
      </c>
      <c r="I60" s="288">
        <v>0.76925361456651375</v>
      </c>
      <c r="J60" s="289">
        <v>0.77224893798737315</v>
      </c>
      <c r="K60" s="287">
        <v>0.77394865879581054</v>
      </c>
      <c r="L60" s="288">
        <v>0.7756506436051207</v>
      </c>
      <c r="M60" s="288">
        <v>0.77735489705532645</v>
      </c>
      <c r="N60" s="288">
        <v>0.77905382075280372</v>
      </c>
      <c r="O60" s="288">
        <v>0.78075498869312354</v>
      </c>
      <c r="P60" s="288">
        <v>0.78245840548526413</v>
      </c>
      <c r="Q60" s="288">
        <v>0.78416407575083347</v>
      </c>
      <c r="R60" s="288">
        <v>0.78587200412411029</v>
      </c>
      <c r="S60" s="289">
        <v>0.78767470619221636</v>
      </c>
      <c r="T60" s="287">
        <v>0.78952658965027034</v>
      </c>
      <c r="U60" s="288">
        <v>0.79138148859401714</v>
      </c>
      <c r="V60" s="288">
        <v>0.79247536804508711</v>
      </c>
      <c r="W60" s="288">
        <v>0.79357100712674433</v>
      </c>
      <c r="X60" s="288">
        <v>0.79479854285170537</v>
      </c>
      <c r="Y60" s="288">
        <v>0.79602819488475485</v>
      </c>
      <c r="Z60" s="288">
        <v>0.79725996823090861</v>
      </c>
      <c r="AA60" s="288">
        <v>0.79849386791097721</v>
      </c>
      <c r="AB60" s="289">
        <v>0.7997298989616265</v>
      </c>
      <c r="AC60" s="287">
        <v>0.80096581505432751</v>
      </c>
      <c r="AD60" s="288">
        <v>0.80177583267627806</v>
      </c>
      <c r="AE60" s="288">
        <v>0.80258640316617524</v>
      </c>
      <c r="AF60" s="288">
        <v>0.80339752685185062</v>
      </c>
      <c r="AG60" s="288">
        <v>0.80431930183728995</v>
      </c>
      <c r="AH60" s="288">
        <v>0.80500314193579547</v>
      </c>
      <c r="AI60" s="288">
        <v>0.80568702940428161</v>
      </c>
      <c r="AJ60" s="288">
        <v>0.80637096427086186</v>
      </c>
      <c r="AK60" s="288">
        <v>0.80705494656366839</v>
      </c>
      <c r="AL60" s="289">
        <v>0.80773897631085545</v>
      </c>
      <c r="AM60" s="287">
        <v>0.80839118104868435</v>
      </c>
      <c r="AN60" s="288">
        <v>0.80904338578651325</v>
      </c>
      <c r="AO60" s="288">
        <v>0.80969559052434226</v>
      </c>
      <c r="AP60" s="288">
        <v>0.81034779526217116</v>
      </c>
      <c r="AQ60" s="288">
        <v>0.81100000000000005</v>
      </c>
      <c r="AR60" s="288">
        <v>0.81140000000000001</v>
      </c>
      <c r="AS60" s="288">
        <v>0.81179999999999997</v>
      </c>
      <c r="AT60" s="288">
        <v>0.81220000000000003</v>
      </c>
      <c r="AU60" s="288">
        <v>0.81259999999999999</v>
      </c>
      <c r="AV60" s="289">
        <v>0.81299999999999994</v>
      </c>
      <c r="AW60" s="287">
        <v>0.8133999999999999</v>
      </c>
      <c r="AX60" s="288">
        <v>0.81379999999999997</v>
      </c>
      <c r="AY60" s="288">
        <v>0.81419999999999992</v>
      </c>
      <c r="AZ60" s="288">
        <v>0.81459999999999999</v>
      </c>
      <c r="BA60" s="288">
        <v>0.81499999999999995</v>
      </c>
      <c r="BB60" s="288">
        <v>0.81519999999999992</v>
      </c>
      <c r="BC60" s="288">
        <v>0.8153999999999999</v>
      </c>
      <c r="BD60" s="288">
        <v>0.81559999999999999</v>
      </c>
      <c r="BE60" s="288">
        <v>0.81579999999999997</v>
      </c>
      <c r="BF60" s="289">
        <v>0.81599999999999995</v>
      </c>
      <c r="BG60" s="289">
        <f t="shared" si="0"/>
        <v>0.81599999999999995</v>
      </c>
      <c r="BH60" s="237"/>
    </row>
    <row r="61" spans="1:60" x14ac:dyDescent="0.2">
      <c r="A61" s="348">
        <v>15.5</v>
      </c>
      <c r="B61" s="277">
        <v>0.72007745996481154</v>
      </c>
      <c r="C61" s="278">
        <v>0.72767657378213879</v>
      </c>
      <c r="D61" s="278">
        <v>0.73452275052284066</v>
      </c>
      <c r="E61" s="278">
        <v>0.74130784310711872</v>
      </c>
      <c r="F61" s="278">
        <v>0.74607560474417001</v>
      </c>
      <c r="G61" s="278">
        <v>0.75146569831048105</v>
      </c>
      <c r="H61" s="278">
        <v>0.75539032129327188</v>
      </c>
      <c r="I61" s="278">
        <v>0.75866761297927288</v>
      </c>
      <c r="J61" s="279">
        <v>0.76129617146985717</v>
      </c>
      <c r="K61" s="277">
        <v>0.76321047385146268</v>
      </c>
      <c r="L61" s="278">
        <v>0.76512732017094709</v>
      </c>
      <c r="M61" s="278">
        <v>0.76704671564206106</v>
      </c>
      <c r="N61" s="278">
        <v>0.76896079285572871</v>
      </c>
      <c r="O61" s="278">
        <v>0.77087738989582111</v>
      </c>
      <c r="P61" s="278">
        <v>0.77279651193728005</v>
      </c>
      <c r="Q61" s="278">
        <v>0.77471816416922468</v>
      </c>
      <c r="R61" s="278">
        <v>0.77664235179500596</v>
      </c>
      <c r="S61" s="279">
        <v>0.77866190482358011</v>
      </c>
      <c r="T61" s="277">
        <v>0.7807304575891495</v>
      </c>
      <c r="U61" s="278">
        <v>0.78280238731441354</v>
      </c>
      <c r="V61" s="278">
        <v>0.78398992424539904</v>
      </c>
      <c r="W61" s="278">
        <v>0.78508065355682777</v>
      </c>
      <c r="X61" s="278">
        <v>0.78630611110460169</v>
      </c>
      <c r="Y61" s="278">
        <v>0.78753368754108122</v>
      </c>
      <c r="Z61" s="278">
        <v>0.78876338787738565</v>
      </c>
      <c r="AA61" s="278">
        <v>0.78999521714044618</v>
      </c>
      <c r="AB61" s="279">
        <v>0.79122918037307288</v>
      </c>
      <c r="AC61" s="277">
        <v>0.79246682841696647</v>
      </c>
      <c r="AD61" s="278">
        <v>0.79328312370742038</v>
      </c>
      <c r="AE61" s="278">
        <v>0.79409998463520826</v>
      </c>
      <c r="AF61" s="278">
        <v>0.79491741153572959</v>
      </c>
      <c r="AG61" s="278">
        <v>0.79577410218202738</v>
      </c>
      <c r="AH61" s="278">
        <v>0.79635383708106899</v>
      </c>
      <c r="AI61" s="278">
        <v>0.79693362000187629</v>
      </c>
      <c r="AJ61" s="278">
        <v>0.79751345097294613</v>
      </c>
      <c r="AK61" s="278">
        <v>0.79809333002279803</v>
      </c>
      <c r="AL61" s="279">
        <v>0.79867325717997573</v>
      </c>
      <c r="AM61" s="277">
        <v>0.79913860574398055</v>
      </c>
      <c r="AN61" s="278">
        <v>0.79960395430798548</v>
      </c>
      <c r="AO61" s="278">
        <v>0.8000693028719903</v>
      </c>
      <c r="AP61" s="278">
        <v>0.80053465143599523</v>
      </c>
      <c r="AQ61" s="278">
        <v>0.80100000000000005</v>
      </c>
      <c r="AR61" s="278">
        <v>0.8014</v>
      </c>
      <c r="AS61" s="278">
        <v>0.80180000000000007</v>
      </c>
      <c r="AT61" s="278">
        <v>0.80220000000000002</v>
      </c>
      <c r="AU61" s="278">
        <v>0.80260000000000009</v>
      </c>
      <c r="AV61" s="279">
        <v>0.80300000000000005</v>
      </c>
      <c r="AW61" s="277">
        <v>0.80320000000000003</v>
      </c>
      <c r="AX61" s="278">
        <v>0.8034</v>
      </c>
      <c r="AY61" s="278">
        <v>0.80360000000000009</v>
      </c>
      <c r="AZ61" s="278">
        <v>0.80380000000000007</v>
      </c>
      <c r="BA61" s="278">
        <v>0.80400000000000005</v>
      </c>
      <c r="BB61" s="278">
        <v>0.80420000000000003</v>
      </c>
      <c r="BC61" s="278">
        <v>0.8044</v>
      </c>
      <c r="BD61" s="278">
        <v>0.80460000000000009</v>
      </c>
      <c r="BE61" s="278">
        <v>0.80480000000000007</v>
      </c>
      <c r="BF61" s="279">
        <v>0.80500000000000005</v>
      </c>
      <c r="BG61" s="279">
        <f t="shared" si="0"/>
        <v>0.80500000000000005</v>
      </c>
      <c r="BH61" s="237"/>
    </row>
    <row r="62" spans="1:60" x14ac:dyDescent="0.2">
      <c r="A62" s="348">
        <v>16</v>
      </c>
      <c r="B62" s="277">
        <v>0.71021218887253945</v>
      </c>
      <c r="C62" s="278">
        <v>0.71837350460586213</v>
      </c>
      <c r="D62" s="278">
        <v>0.72469947241678911</v>
      </c>
      <c r="E62" s="278">
        <v>0.73103135146358145</v>
      </c>
      <c r="F62" s="278">
        <v>0.73527230782546948</v>
      </c>
      <c r="G62" s="278">
        <v>0.74012904228254095</v>
      </c>
      <c r="H62" s="278">
        <v>0.74438173928055729</v>
      </c>
      <c r="I62" s="278">
        <v>0.74820672539192734</v>
      </c>
      <c r="J62" s="279">
        <v>0.75127309876956383</v>
      </c>
      <c r="K62" s="277">
        <v>0.75329521844769964</v>
      </c>
      <c r="L62" s="278">
        <v>0.75532002096209017</v>
      </c>
      <c r="M62" s="278">
        <v>0.757347511811156</v>
      </c>
      <c r="N62" s="278">
        <v>0.75936956376141385</v>
      </c>
      <c r="O62" s="278">
        <v>0.76139427112841485</v>
      </c>
      <c r="P62" s="278">
        <v>0.76342163936555996</v>
      </c>
      <c r="Q62" s="278">
        <v>0.7654516739411934</v>
      </c>
      <c r="R62" s="278">
        <v>0.76748438033865374</v>
      </c>
      <c r="S62" s="279">
        <v>0.76961279734318866</v>
      </c>
      <c r="T62" s="277">
        <v>0.77178985749267814</v>
      </c>
      <c r="U62" s="278">
        <v>0.77397047650322726</v>
      </c>
      <c r="V62" s="278">
        <v>0.77536226392603447</v>
      </c>
      <c r="W62" s="278">
        <v>0.77655804406507856</v>
      </c>
      <c r="X62" s="278">
        <v>0.77789139696509146</v>
      </c>
      <c r="Y62" s="278">
        <v>0.77922709296012871</v>
      </c>
      <c r="Z62" s="278">
        <v>0.78056513759155177</v>
      </c>
      <c r="AA62" s="278">
        <v>0.78190553641820693</v>
      </c>
      <c r="AB62" s="279">
        <v>0.78324829501650073</v>
      </c>
      <c r="AC62" s="277">
        <v>0.7845987320120168</v>
      </c>
      <c r="AD62" s="278">
        <v>0.78553219180611655</v>
      </c>
      <c r="AE62" s="278">
        <v>0.786466337102948</v>
      </c>
      <c r="AF62" s="278">
        <v>0.78740116830899121</v>
      </c>
      <c r="AG62" s="278">
        <v>0.78833668583104077</v>
      </c>
      <c r="AH62" s="278">
        <v>0.78892272884166548</v>
      </c>
      <c r="AI62" s="278">
        <v>0.7895088275579385</v>
      </c>
      <c r="AJ62" s="278">
        <v>0.79009498201291706</v>
      </c>
      <c r="AK62" s="278">
        <v>0.79068119223968625</v>
      </c>
      <c r="AL62" s="279">
        <v>0.79126745827135514</v>
      </c>
      <c r="AM62" s="277">
        <v>0.79161396661708416</v>
      </c>
      <c r="AN62" s="278">
        <v>0.79196047496281308</v>
      </c>
      <c r="AO62" s="278">
        <v>0.7923069833085421</v>
      </c>
      <c r="AP62" s="278">
        <v>0.79265349165427101</v>
      </c>
      <c r="AQ62" s="278">
        <v>0.79300000000000004</v>
      </c>
      <c r="AR62" s="278">
        <v>0.79339999999999999</v>
      </c>
      <c r="AS62" s="278">
        <v>0.79380000000000006</v>
      </c>
      <c r="AT62" s="278">
        <v>0.79420000000000002</v>
      </c>
      <c r="AU62" s="278">
        <v>0.79460000000000008</v>
      </c>
      <c r="AV62" s="279">
        <v>0.79500000000000004</v>
      </c>
      <c r="AW62" s="277">
        <v>0.79520000000000002</v>
      </c>
      <c r="AX62" s="278">
        <v>0.7954</v>
      </c>
      <c r="AY62" s="278">
        <v>0.79560000000000008</v>
      </c>
      <c r="AZ62" s="278">
        <v>0.79580000000000006</v>
      </c>
      <c r="BA62" s="278">
        <v>0.79600000000000004</v>
      </c>
      <c r="BB62" s="278">
        <v>0.79620000000000002</v>
      </c>
      <c r="BC62" s="278">
        <v>0.7964</v>
      </c>
      <c r="BD62" s="278">
        <v>0.79660000000000009</v>
      </c>
      <c r="BE62" s="278">
        <v>0.79680000000000006</v>
      </c>
      <c r="BF62" s="279">
        <v>0.79700000000000004</v>
      </c>
      <c r="BG62" s="279">
        <f t="shared" si="0"/>
        <v>0.79700000000000004</v>
      </c>
      <c r="BH62" s="237"/>
    </row>
    <row r="63" spans="1:60" x14ac:dyDescent="0.2">
      <c r="A63" s="348">
        <v>16.5</v>
      </c>
      <c r="B63" s="277">
        <v>0.69968138090005882</v>
      </c>
      <c r="C63" s="278">
        <v>0.70649706169645232</v>
      </c>
      <c r="D63" s="278">
        <v>0.71284569281758792</v>
      </c>
      <c r="E63" s="278">
        <v>0.71927808043855723</v>
      </c>
      <c r="F63" s="278">
        <v>0.72462682462196482</v>
      </c>
      <c r="G63" s="278">
        <v>0.73058570508896747</v>
      </c>
      <c r="H63" s="278">
        <v>0.73486446168858421</v>
      </c>
      <c r="I63" s="278">
        <v>0.73814771678006064</v>
      </c>
      <c r="J63" s="279">
        <v>0.74098736970283907</v>
      </c>
      <c r="K63" s="277">
        <v>0.74311805486441385</v>
      </c>
      <c r="L63" s="278">
        <v>0.74525156235392309</v>
      </c>
      <c r="M63" s="278">
        <v>0.74738789795567373</v>
      </c>
      <c r="N63" s="278">
        <v>0.74951869243536595</v>
      </c>
      <c r="O63" s="278">
        <v>0.75165227833141046</v>
      </c>
      <c r="P63" s="278">
        <v>0.75378866137650768</v>
      </c>
      <c r="Q63" s="278">
        <v>0.75592784731906837</v>
      </c>
      <c r="R63" s="278">
        <v>0.75806984192326687</v>
      </c>
      <c r="S63" s="279">
        <v>0.7603077650121608</v>
      </c>
      <c r="T63" s="277">
        <v>0.76259396055743112</v>
      </c>
      <c r="U63" s="278">
        <v>0.76488389784518485</v>
      </c>
      <c r="V63" s="278">
        <v>0.76632667030044532</v>
      </c>
      <c r="W63" s="278">
        <v>0.76740680440583031</v>
      </c>
      <c r="X63" s="278">
        <v>0.76862665649903039</v>
      </c>
      <c r="Y63" s="278">
        <v>0.76984862996627701</v>
      </c>
      <c r="Z63" s="278">
        <v>0.77107272982456654</v>
      </c>
      <c r="AA63" s="278">
        <v>0.77229896110672802</v>
      </c>
      <c r="AB63" s="279">
        <v>0.7735273288614849</v>
      </c>
      <c r="AC63" s="277">
        <v>0.77476685862367412</v>
      </c>
      <c r="AD63" s="278">
        <v>0.77559449994254004</v>
      </c>
      <c r="AE63" s="278">
        <v>0.77642273182103549</v>
      </c>
      <c r="AF63" s="278">
        <v>0.77725155460934281</v>
      </c>
      <c r="AG63" s="278">
        <v>0.77809211826590907</v>
      </c>
      <c r="AH63" s="278">
        <v>0.77879608529766742</v>
      </c>
      <c r="AI63" s="278">
        <v>0.77950012629718501</v>
      </c>
      <c r="AJ63" s="278">
        <v>0.78020424130835586</v>
      </c>
      <c r="AK63" s="278">
        <v>0.78090843037510993</v>
      </c>
      <c r="AL63" s="279">
        <v>0.78161269354141194</v>
      </c>
      <c r="AM63" s="277">
        <v>0.78229015483312958</v>
      </c>
      <c r="AN63" s="278">
        <v>0.78296761612484722</v>
      </c>
      <c r="AO63" s="278">
        <v>0.78364507741656475</v>
      </c>
      <c r="AP63" s="278">
        <v>0.78432253870828239</v>
      </c>
      <c r="AQ63" s="278">
        <v>0.78500000000000003</v>
      </c>
      <c r="AR63" s="278">
        <v>0.78539999999999999</v>
      </c>
      <c r="AS63" s="278">
        <v>0.78580000000000005</v>
      </c>
      <c r="AT63" s="278">
        <v>0.78620000000000001</v>
      </c>
      <c r="AU63" s="278">
        <v>0.78660000000000008</v>
      </c>
      <c r="AV63" s="279">
        <v>0.78700000000000003</v>
      </c>
      <c r="AW63" s="277">
        <v>0.78720000000000001</v>
      </c>
      <c r="AX63" s="278">
        <v>0.78739999999999999</v>
      </c>
      <c r="AY63" s="278">
        <v>0.78760000000000008</v>
      </c>
      <c r="AZ63" s="278">
        <v>0.78780000000000006</v>
      </c>
      <c r="BA63" s="278">
        <v>0.78800000000000003</v>
      </c>
      <c r="BB63" s="278">
        <v>0.78820000000000001</v>
      </c>
      <c r="BC63" s="278">
        <v>0.78839999999999999</v>
      </c>
      <c r="BD63" s="278">
        <v>0.78860000000000008</v>
      </c>
      <c r="BE63" s="278">
        <v>0.78880000000000006</v>
      </c>
      <c r="BF63" s="279">
        <v>0.78900000000000003</v>
      </c>
      <c r="BG63" s="279">
        <f t="shared" si="0"/>
        <v>0.78900000000000003</v>
      </c>
      <c r="BH63" s="237"/>
    </row>
    <row r="64" spans="1:60" x14ac:dyDescent="0.2">
      <c r="A64" s="349">
        <v>17</v>
      </c>
      <c r="B64" s="281">
        <v>0.68876369015501249</v>
      </c>
      <c r="C64" s="282">
        <v>0.69562799179980017</v>
      </c>
      <c r="D64" s="282">
        <v>0.70199923681674037</v>
      </c>
      <c r="E64" s="282">
        <v>0.7084668955113812</v>
      </c>
      <c r="F64" s="282">
        <v>0.71439486318274614</v>
      </c>
      <c r="G64" s="282">
        <v>0.72091632438198283</v>
      </c>
      <c r="H64" s="282">
        <v>0.72550690424149911</v>
      </c>
      <c r="I64" s="282">
        <v>0.72879384078610443</v>
      </c>
      <c r="J64" s="283">
        <v>0.73169143340297893</v>
      </c>
      <c r="K64" s="281">
        <v>0.73382215329564804</v>
      </c>
      <c r="L64" s="282">
        <v>0.73595569239357628</v>
      </c>
      <c r="M64" s="282">
        <v>0.73809205647466802</v>
      </c>
      <c r="N64" s="282">
        <v>0.74022264318094189</v>
      </c>
      <c r="O64" s="282">
        <v>0.74235601618378588</v>
      </c>
      <c r="P64" s="282">
        <v>0.74449218120538718</v>
      </c>
      <c r="Q64" s="282">
        <v>0.74663114398361363</v>
      </c>
      <c r="R64" s="282">
        <v>0.74877291027206561</v>
      </c>
      <c r="S64" s="283">
        <v>0.75101058898265427</v>
      </c>
      <c r="T64" s="281">
        <v>0.75329599394567026</v>
      </c>
      <c r="U64" s="282">
        <v>0.75558514067763671</v>
      </c>
      <c r="V64" s="282">
        <v>0.75727884598147899</v>
      </c>
      <c r="W64" s="282">
        <v>0.7585755193508491</v>
      </c>
      <c r="X64" s="282">
        <v>0.76001454557955761</v>
      </c>
      <c r="Y64" s="282">
        <v>0.76145614647311588</v>
      </c>
      <c r="Z64" s="282">
        <v>0.76290032812054043</v>
      </c>
      <c r="AA64" s="282">
        <v>0.76434709663006517</v>
      </c>
      <c r="AB64" s="283">
        <v>0.76579645812921449</v>
      </c>
      <c r="AC64" s="281">
        <v>0.76726112090795517</v>
      </c>
      <c r="AD64" s="282">
        <v>0.76831825517621966</v>
      </c>
      <c r="AE64" s="282">
        <v>0.76937621763886521</v>
      </c>
      <c r="AF64" s="282">
        <v>0.77043500878697835</v>
      </c>
      <c r="AG64" s="282">
        <v>0.77149462911203437</v>
      </c>
      <c r="AH64" s="282">
        <v>0.77210507086110025</v>
      </c>
      <c r="AI64" s="282">
        <v>0.77270438923823737</v>
      </c>
      <c r="AJ64" s="282">
        <v>0.77330378045871939</v>
      </c>
      <c r="AK64" s="282">
        <v>0.7739032445657843</v>
      </c>
      <c r="AL64" s="283">
        <v>0.77450278160270147</v>
      </c>
      <c r="AM64" s="281">
        <v>0.77520222528216121</v>
      </c>
      <c r="AN64" s="282">
        <v>0.77590166896162094</v>
      </c>
      <c r="AO64" s="282">
        <v>0.77660111264108056</v>
      </c>
      <c r="AP64" s="282">
        <v>0.77730055632054029</v>
      </c>
      <c r="AQ64" s="282">
        <v>0.77800000000000002</v>
      </c>
      <c r="AR64" s="282">
        <v>0.77839999999999998</v>
      </c>
      <c r="AS64" s="282">
        <v>0.77880000000000005</v>
      </c>
      <c r="AT64" s="282">
        <v>0.7792</v>
      </c>
      <c r="AU64" s="282">
        <v>0.77960000000000007</v>
      </c>
      <c r="AV64" s="283">
        <v>0.78</v>
      </c>
      <c r="AW64" s="281">
        <v>0.78039999999999998</v>
      </c>
      <c r="AX64" s="282">
        <v>0.78080000000000005</v>
      </c>
      <c r="AY64" s="282">
        <v>0.78120000000000001</v>
      </c>
      <c r="AZ64" s="282">
        <v>0.78160000000000007</v>
      </c>
      <c r="BA64" s="282">
        <v>0.78200000000000003</v>
      </c>
      <c r="BB64" s="282">
        <v>0.78220000000000001</v>
      </c>
      <c r="BC64" s="282">
        <v>0.78239999999999998</v>
      </c>
      <c r="BD64" s="282">
        <v>0.78260000000000007</v>
      </c>
      <c r="BE64" s="282">
        <v>0.78280000000000005</v>
      </c>
      <c r="BF64" s="283">
        <v>0.78300000000000003</v>
      </c>
      <c r="BG64" s="283">
        <f t="shared" si="0"/>
        <v>0.78300000000000003</v>
      </c>
      <c r="BH64" s="237"/>
    </row>
    <row r="65" spans="1:60" x14ac:dyDescent="0.2">
      <c r="A65" s="348">
        <v>17.5</v>
      </c>
      <c r="B65" s="284">
        <v>0.67836016507857066</v>
      </c>
      <c r="C65" s="285">
        <v>0.68466705432290575</v>
      </c>
      <c r="D65" s="285">
        <v>0.69161211117030463</v>
      </c>
      <c r="E65" s="285">
        <v>0.69865499022722144</v>
      </c>
      <c r="F65" s="285">
        <v>0.70360259910100109</v>
      </c>
      <c r="G65" s="285">
        <v>0.70903744193107598</v>
      </c>
      <c r="H65" s="285">
        <v>0.71398451225751869</v>
      </c>
      <c r="I65" s="285">
        <v>0.71837759307662175</v>
      </c>
      <c r="J65" s="286">
        <v>0.7221614765298785</v>
      </c>
      <c r="K65" s="284">
        <v>0.72429209543861284</v>
      </c>
      <c r="L65" s="285">
        <v>0.72642553023390766</v>
      </c>
      <c r="M65" s="285">
        <v>0.72856178668686533</v>
      </c>
      <c r="N65" s="285">
        <v>0.73069204765852536</v>
      </c>
      <c r="O65" s="285">
        <v>0.73282508965460402</v>
      </c>
      <c r="P65" s="285">
        <v>0.73496091838646238</v>
      </c>
      <c r="Q65" s="285">
        <v>0.73709953958111007</v>
      </c>
      <c r="R65" s="285">
        <v>0.73924095898125941</v>
      </c>
      <c r="S65" s="286">
        <v>0.74147815691983643</v>
      </c>
      <c r="T65" s="284">
        <v>0.74376252048450131</v>
      </c>
      <c r="U65" s="285">
        <v>0.74605062522904853</v>
      </c>
      <c r="V65" s="285">
        <v>0.74784111530157948</v>
      </c>
      <c r="W65" s="285">
        <v>0.74913274736825752</v>
      </c>
      <c r="X65" s="285">
        <v>0.75056866646087605</v>
      </c>
      <c r="Y65" s="285">
        <v>0.75200716333104323</v>
      </c>
      <c r="Z65" s="285">
        <v>0.75344824407513611</v>
      </c>
      <c r="AA65" s="285">
        <v>0.75489191480877427</v>
      </c>
      <c r="AB65" s="286">
        <v>0.7563381816668896</v>
      </c>
      <c r="AC65" s="284">
        <v>0.75780334387080639</v>
      </c>
      <c r="AD65" s="285">
        <v>0.7588660384335254</v>
      </c>
      <c r="AE65" s="285">
        <v>0.75992957850286902</v>
      </c>
      <c r="AF65" s="285">
        <v>0.76099396458018731</v>
      </c>
      <c r="AG65" s="285">
        <v>0.76205919716723247</v>
      </c>
      <c r="AH65" s="285">
        <v>0.76277767181325817</v>
      </c>
      <c r="AI65" s="285">
        <v>0.76349624151506568</v>
      </c>
      <c r="AJ65" s="285">
        <v>0.76421490632906375</v>
      </c>
      <c r="AK65" s="285">
        <v>0.76493366631170612</v>
      </c>
      <c r="AL65" s="286">
        <v>0.76565252151949259</v>
      </c>
      <c r="AM65" s="287">
        <v>0.76632201721559412</v>
      </c>
      <c r="AN65" s="288">
        <v>0.76699151291169554</v>
      </c>
      <c r="AO65" s="288">
        <v>0.76766100860779707</v>
      </c>
      <c r="AP65" s="288">
        <v>0.76833050430389849</v>
      </c>
      <c r="AQ65" s="288">
        <v>0.76900000000000002</v>
      </c>
      <c r="AR65" s="288">
        <v>0.76939999999999997</v>
      </c>
      <c r="AS65" s="288">
        <v>0.76980000000000004</v>
      </c>
      <c r="AT65" s="288">
        <v>0.7702</v>
      </c>
      <c r="AU65" s="288">
        <v>0.77060000000000006</v>
      </c>
      <c r="AV65" s="289">
        <v>0.77100000000000002</v>
      </c>
      <c r="AW65" s="287">
        <v>0.77139999999999997</v>
      </c>
      <c r="AX65" s="288">
        <v>0.77180000000000004</v>
      </c>
      <c r="AY65" s="288">
        <v>0.7722</v>
      </c>
      <c r="AZ65" s="288">
        <v>0.77260000000000006</v>
      </c>
      <c r="BA65" s="288">
        <v>0.77300000000000002</v>
      </c>
      <c r="BB65" s="288">
        <v>0.7732</v>
      </c>
      <c r="BC65" s="288">
        <v>0.77339999999999998</v>
      </c>
      <c r="BD65" s="288">
        <v>0.77360000000000007</v>
      </c>
      <c r="BE65" s="288">
        <v>0.77380000000000004</v>
      </c>
      <c r="BF65" s="289">
        <v>0.77400000000000002</v>
      </c>
      <c r="BG65" s="289">
        <f t="shared" si="0"/>
        <v>0.77400000000000002</v>
      </c>
      <c r="BH65" s="237"/>
    </row>
    <row r="66" spans="1:60" x14ac:dyDescent="0.2">
      <c r="A66" s="348">
        <v>18</v>
      </c>
      <c r="B66" s="277">
        <v>0.66796912605504566</v>
      </c>
      <c r="C66" s="278">
        <v>0.67603828812185984</v>
      </c>
      <c r="D66" s="278">
        <v>0.6835611403275641</v>
      </c>
      <c r="E66" s="278">
        <v>0.69118343974697571</v>
      </c>
      <c r="F66" s="278">
        <v>0.69575049137369305</v>
      </c>
      <c r="G66" s="278">
        <v>0.70064510107736677</v>
      </c>
      <c r="H66" s="278">
        <v>0.70540087553885455</v>
      </c>
      <c r="I66" s="278">
        <v>0.70980274265237009</v>
      </c>
      <c r="J66" s="279">
        <v>0.71372703215285072</v>
      </c>
      <c r="K66" s="277">
        <v>0.71596928261763559</v>
      </c>
      <c r="L66" s="278">
        <v>0.71821449176791841</v>
      </c>
      <c r="M66" s="278">
        <v>0.72046266566746775</v>
      </c>
      <c r="N66" s="278">
        <v>0.72270476943472606</v>
      </c>
      <c r="O66" s="278">
        <v>0.72494979320670072</v>
      </c>
      <c r="P66" s="278">
        <v>0.72719774298017315</v>
      </c>
      <c r="Q66" s="278">
        <v>0.72944862476835892</v>
      </c>
      <c r="R66" s="278">
        <v>0.73170244460095946</v>
      </c>
      <c r="S66" s="279">
        <v>0.73405223697673494</v>
      </c>
      <c r="T66" s="277">
        <v>0.73644893917771892</v>
      </c>
      <c r="U66" s="278">
        <v>0.738849570115097</v>
      </c>
      <c r="V66" s="278">
        <v>0.74080667043308301</v>
      </c>
      <c r="W66" s="278">
        <v>0.74209521118088173</v>
      </c>
      <c r="X66" s="278">
        <v>0.74353026593404248</v>
      </c>
      <c r="Y66" s="278">
        <v>0.744967904923721</v>
      </c>
      <c r="Z66" s="278">
        <v>0.74640813426157016</v>
      </c>
      <c r="AA66" s="278">
        <v>0.74785096007853324</v>
      </c>
      <c r="AB66" s="279">
        <v>0.74929638852491154</v>
      </c>
      <c r="AC66" s="277">
        <v>0.75076429900044628</v>
      </c>
      <c r="AD66" s="278">
        <v>0.75183351440938218</v>
      </c>
      <c r="AE66" s="278">
        <v>0.75290359291742281</v>
      </c>
      <c r="AF66" s="278">
        <v>0.75397453503635226</v>
      </c>
      <c r="AG66" s="278">
        <v>0.75504634127836012</v>
      </c>
      <c r="AH66" s="278">
        <v>0.75577234504711532</v>
      </c>
      <c r="AI66" s="278">
        <v>0.756498455285885</v>
      </c>
      <c r="AJ66" s="278">
        <v>0.75722467205785071</v>
      </c>
      <c r="AK66" s="278">
        <v>0.75795099542624522</v>
      </c>
      <c r="AL66" s="279">
        <v>0.75867742545435157</v>
      </c>
      <c r="AM66" s="277">
        <v>0.75934194036348124</v>
      </c>
      <c r="AN66" s="278">
        <v>0.7600064552726109</v>
      </c>
      <c r="AO66" s="278">
        <v>0.76067097018174068</v>
      </c>
      <c r="AP66" s="278">
        <v>0.76133548509087035</v>
      </c>
      <c r="AQ66" s="278">
        <v>0.76200000000000001</v>
      </c>
      <c r="AR66" s="278">
        <v>0.76239999999999997</v>
      </c>
      <c r="AS66" s="278">
        <v>0.76280000000000003</v>
      </c>
      <c r="AT66" s="278">
        <v>0.76319999999999999</v>
      </c>
      <c r="AU66" s="278">
        <v>0.76360000000000006</v>
      </c>
      <c r="AV66" s="279">
        <v>0.76400000000000001</v>
      </c>
      <c r="AW66" s="277">
        <v>0.76439999999999997</v>
      </c>
      <c r="AX66" s="278">
        <v>0.76480000000000004</v>
      </c>
      <c r="AY66" s="278">
        <v>0.76519999999999999</v>
      </c>
      <c r="AZ66" s="278">
        <v>0.76560000000000006</v>
      </c>
      <c r="BA66" s="278">
        <v>0.76600000000000001</v>
      </c>
      <c r="BB66" s="278">
        <v>0.76619999999999999</v>
      </c>
      <c r="BC66" s="278">
        <v>0.76639999999999997</v>
      </c>
      <c r="BD66" s="278">
        <v>0.76660000000000006</v>
      </c>
      <c r="BE66" s="278">
        <v>0.76680000000000004</v>
      </c>
      <c r="BF66" s="279">
        <v>0.76700000000000002</v>
      </c>
      <c r="BG66" s="279">
        <f t="shared" si="0"/>
        <v>0.76700000000000002</v>
      </c>
      <c r="BH66" s="237"/>
    </row>
    <row r="67" spans="1:60" x14ac:dyDescent="0.2">
      <c r="A67" s="348">
        <v>18.5</v>
      </c>
      <c r="B67" s="277">
        <v>0.6602221186642695</v>
      </c>
      <c r="C67" s="278">
        <v>0.66791033566245139</v>
      </c>
      <c r="D67" s="278">
        <v>0.67379374835839168</v>
      </c>
      <c r="E67" s="278">
        <v>0.67977901185638134</v>
      </c>
      <c r="F67" s="278">
        <v>0.68477371453585378</v>
      </c>
      <c r="G67" s="278">
        <v>0.69023274348802088</v>
      </c>
      <c r="H67" s="278">
        <v>0.69499400172702308</v>
      </c>
      <c r="I67" s="278">
        <v>0.69884679953162032</v>
      </c>
      <c r="J67" s="279">
        <v>0.70242654683398609</v>
      </c>
      <c r="K67" s="277">
        <v>0.70477947416133935</v>
      </c>
      <c r="L67" s="278">
        <v>0.70713550122855862</v>
      </c>
      <c r="M67" s="278">
        <v>0.70949463438849747</v>
      </c>
      <c r="N67" s="278">
        <v>0.71184767312401864</v>
      </c>
      <c r="O67" s="278">
        <v>0.71420376897446236</v>
      </c>
      <c r="P67" s="278">
        <v>0.71656292821819301</v>
      </c>
      <c r="Q67" s="278">
        <v>0.71892515715077854</v>
      </c>
      <c r="R67" s="278">
        <v>0.7212904620850481</v>
      </c>
      <c r="S67" s="279">
        <v>0.72375148870673467</v>
      </c>
      <c r="T67" s="277">
        <v>0.72625899800320348</v>
      </c>
      <c r="U67" s="278">
        <v>0.72877062106434853</v>
      </c>
      <c r="V67" s="278">
        <v>0.73094940808267783</v>
      </c>
      <c r="W67" s="278">
        <v>0.73234487375097568</v>
      </c>
      <c r="X67" s="278">
        <v>0.7338885948875693</v>
      </c>
      <c r="Y67" s="278">
        <v>0.73543513427026508</v>
      </c>
      <c r="Z67" s="278">
        <v>0.73698449856414316</v>
      </c>
      <c r="AA67" s="278">
        <v>0.73853669445531944</v>
      </c>
      <c r="AB67" s="279">
        <v>0.74009172865102335</v>
      </c>
      <c r="AC67" s="277">
        <v>0.7416729399622024</v>
      </c>
      <c r="AD67" s="278">
        <v>0.74286050204003362</v>
      </c>
      <c r="AE67" s="278">
        <v>0.74404906480392108</v>
      </c>
      <c r="AF67" s="278">
        <v>0.74523862884723246</v>
      </c>
      <c r="AG67" s="278">
        <v>0.74642919476380576</v>
      </c>
      <c r="AH67" s="278">
        <v>0.7472250784905069</v>
      </c>
      <c r="AI67" s="278">
        <v>0.74795873407240498</v>
      </c>
      <c r="AJ67" s="278">
        <v>0.74869250807080512</v>
      </c>
      <c r="AK67" s="278">
        <v>0.74942640055599341</v>
      </c>
      <c r="AL67" s="279">
        <v>0.75016041159831348</v>
      </c>
      <c r="AM67" s="277">
        <v>0.75072832927865074</v>
      </c>
      <c r="AN67" s="278">
        <v>0.75129624695898811</v>
      </c>
      <c r="AO67" s="278">
        <v>0.75186416463932537</v>
      </c>
      <c r="AP67" s="278">
        <v>0.75243208231966274</v>
      </c>
      <c r="AQ67" s="278">
        <v>0.753</v>
      </c>
      <c r="AR67" s="278">
        <v>0.75339999999999996</v>
      </c>
      <c r="AS67" s="278">
        <v>0.75380000000000003</v>
      </c>
      <c r="AT67" s="278">
        <v>0.75419999999999998</v>
      </c>
      <c r="AU67" s="278">
        <v>0.75460000000000005</v>
      </c>
      <c r="AV67" s="279">
        <v>0.755</v>
      </c>
      <c r="AW67" s="277">
        <v>0.75539999999999996</v>
      </c>
      <c r="AX67" s="278">
        <v>0.75580000000000003</v>
      </c>
      <c r="AY67" s="278">
        <v>0.75619999999999998</v>
      </c>
      <c r="AZ67" s="278">
        <v>0.75660000000000005</v>
      </c>
      <c r="BA67" s="278">
        <v>0.75700000000000001</v>
      </c>
      <c r="BB67" s="278">
        <v>0.75719999999999998</v>
      </c>
      <c r="BC67" s="278">
        <v>0.75739999999999996</v>
      </c>
      <c r="BD67" s="278">
        <v>0.75760000000000005</v>
      </c>
      <c r="BE67" s="278">
        <v>0.75780000000000003</v>
      </c>
      <c r="BF67" s="279">
        <v>0.75800000000000001</v>
      </c>
      <c r="BG67" s="279">
        <f t="shared" si="0"/>
        <v>0.75800000000000001</v>
      </c>
      <c r="BH67" s="237"/>
    </row>
    <row r="68" spans="1:60" x14ac:dyDescent="0.2">
      <c r="A68" s="348">
        <v>19</v>
      </c>
      <c r="B68" s="277">
        <v>0.64781118533564896</v>
      </c>
      <c r="C68" s="278">
        <v>0.65500725209308774</v>
      </c>
      <c r="D68" s="278">
        <v>0.662028022429207</v>
      </c>
      <c r="E68" s="278">
        <v>0.66915117797384271</v>
      </c>
      <c r="F68" s="278">
        <v>0.67483327841143803</v>
      </c>
      <c r="G68" s="278">
        <v>0.68086194806112377</v>
      </c>
      <c r="H68" s="278">
        <v>0.68625502392090776</v>
      </c>
      <c r="I68" s="278">
        <v>0.69067304406281516</v>
      </c>
      <c r="J68" s="279">
        <v>0.69483540666539301</v>
      </c>
      <c r="K68" s="277">
        <v>0.69719044763877658</v>
      </c>
      <c r="L68" s="278">
        <v>0.69954858758709826</v>
      </c>
      <c r="M68" s="278">
        <v>0.70190983286164532</v>
      </c>
      <c r="N68" s="278">
        <v>0.70426479092848071</v>
      </c>
      <c r="O68" s="278">
        <v>0.70662280330837157</v>
      </c>
      <c r="P68" s="278">
        <v>0.70898387627392578</v>
      </c>
      <c r="Q68" s="278">
        <v>0.71134801611494125</v>
      </c>
      <c r="R68" s="278">
        <v>0.71371522913846352</v>
      </c>
      <c r="S68" s="279">
        <v>0.7161780459842203</v>
      </c>
      <c r="T68" s="277">
        <v>0.71868690302499549</v>
      </c>
      <c r="U68" s="278">
        <v>0.72119987643075101</v>
      </c>
      <c r="V68" s="278">
        <v>0.72346887659207848</v>
      </c>
      <c r="W68" s="278">
        <v>0.72474837601785447</v>
      </c>
      <c r="X68" s="278">
        <v>0.72617772198360486</v>
      </c>
      <c r="Y68" s="278">
        <v>0.7276096582833006</v>
      </c>
      <c r="Z68" s="278">
        <v>0.72904419104301743</v>
      </c>
      <c r="AA68" s="278">
        <v>0.73048132640816243</v>
      </c>
      <c r="AB68" s="279">
        <v>0.73192107054354993</v>
      </c>
      <c r="AC68" s="277">
        <v>0.73339016739954421</v>
      </c>
      <c r="AD68" s="278">
        <v>0.73446986829941974</v>
      </c>
      <c r="AE68" s="278">
        <v>0.73555046614833219</v>
      </c>
      <c r="AF68" s="278">
        <v>0.73663196147813581</v>
      </c>
      <c r="AG68" s="278">
        <v>0.73771435482110825</v>
      </c>
      <c r="AH68" s="278">
        <v>0.73848962266627682</v>
      </c>
      <c r="AI68" s="278">
        <v>0.73934471450447847</v>
      </c>
      <c r="AJ68" s="278">
        <v>0.74019995504267133</v>
      </c>
      <c r="AK68" s="278">
        <v>0.74105534436911713</v>
      </c>
      <c r="AL68" s="279">
        <v>0.74191088257214644</v>
      </c>
      <c r="AM68" s="277">
        <v>0.74252870605771715</v>
      </c>
      <c r="AN68" s="278">
        <v>0.74314652954328786</v>
      </c>
      <c r="AO68" s="278">
        <v>0.74376435302885857</v>
      </c>
      <c r="AP68" s="278">
        <v>0.74438217651442928</v>
      </c>
      <c r="AQ68" s="278">
        <v>0.745</v>
      </c>
      <c r="AR68" s="278">
        <v>0.74539999999999995</v>
      </c>
      <c r="AS68" s="278">
        <v>0.74580000000000002</v>
      </c>
      <c r="AT68" s="278">
        <v>0.74619999999999997</v>
      </c>
      <c r="AU68" s="278">
        <v>0.74660000000000004</v>
      </c>
      <c r="AV68" s="279">
        <v>0.747</v>
      </c>
      <c r="AW68" s="277">
        <v>0.74739999999999995</v>
      </c>
      <c r="AX68" s="278">
        <v>0.74780000000000002</v>
      </c>
      <c r="AY68" s="278">
        <v>0.74819999999999998</v>
      </c>
      <c r="AZ68" s="278">
        <v>0.74860000000000004</v>
      </c>
      <c r="BA68" s="278">
        <v>0.749</v>
      </c>
      <c r="BB68" s="278">
        <v>0.74919999999999998</v>
      </c>
      <c r="BC68" s="278">
        <v>0.74939999999999996</v>
      </c>
      <c r="BD68" s="278">
        <v>0.74960000000000004</v>
      </c>
      <c r="BE68" s="278">
        <v>0.74980000000000002</v>
      </c>
      <c r="BF68" s="279">
        <v>0.75</v>
      </c>
      <c r="BG68" s="279">
        <f t="shared" si="0"/>
        <v>0.75</v>
      </c>
      <c r="BH68" s="237"/>
    </row>
    <row r="69" spans="1:60" x14ac:dyDescent="0.2">
      <c r="A69" s="349">
        <v>19.5</v>
      </c>
      <c r="B69" s="290">
        <v>0.63830989262242721</v>
      </c>
      <c r="C69" s="291">
        <v>0.64554550315521408</v>
      </c>
      <c r="D69" s="291">
        <v>0.6525917907355836</v>
      </c>
      <c r="E69" s="291">
        <v>0.65974183682935705</v>
      </c>
      <c r="F69" s="291">
        <v>0.66503073054424566</v>
      </c>
      <c r="G69" s="291">
        <v>0.67051345555161224</v>
      </c>
      <c r="H69" s="291">
        <v>0.67566799036286285</v>
      </c>
      <c r="I69" s="291">
        <v>0.68009336154823596</v>
      </c>
      <c r="J69" s="292">
        <v>0.68436985882150181</v>
      </c>
      <c r="K69" s="290">
        <v>0.6868375052002984</v>
      </c>
      <c r="L69" s="291">
        <v>0.68930839356192186</v>
      </c>
      <c r="M69" s="291">
        <v>0.69178253055074979</v>
      </c>
      <c r="N69" s="291">
        <v>0.69425038041132037</v>
      </c>
      <c r="O69" s="291">
        <v>0.69672142344802013</v>
      </c>
      <c r="P69" s="291">
        <v>0.69919566621864015</v>
      </c>
      <c r="Q69" s="291">
        <v>0.70167311529894016</v>
      </c>
      <c r="R69" s="291">
        <v>0.70415377728271344</v>
      </c>
      <c r="S69" s="292">
        <v>0.70672975562539542</v>
      </c>
      <c r="T69" s="290">
        <v>0.70935139973008465</v>
      </c>
      <c r="U69" s="291">
        <v>0.71197734797998524</v>
      </c>
      <c r="V69" s="291">
        <v>0.71448306313635945</v>
      </c>
      <c r="W69" s="291">
        <v>0.7158710358793845</v>
      </c>
      <c r="X69" s="291">
        <v>0.71741045036424944</v>
      </c>
      <c r="Y69" s="291">
        <v>0.71895269349640289</v>
      </c>
      <c r="Z69" s="291">
        <v>0.720497771965525</v>
      </c>
      <c r="AA69" s="291">
        <v>0.72204569248240502</v>
      </c>
      <c r="AB69" s="292">
        <v>0.72359646177903048</v>
      </c>
      <c r="AC69" s="290">
        <v>0.7251801536335023</v>
      </c>
      <c r="AD69" s="291">
        <v>0.72637903109037505</v>
      </c>
      <c r="AE69" s="291">
        <v>0.72757894809327017</v>
      </c>
      <c r="AF69" s="291">
        <v>0.72877990525860004</v>
      </c>
      <c r="AG69" s="291">
        <v>0.72998190320326173</v>
      </c>
      <c r="AH69" s="291">
        <v>0.73082788165627222</v>
      </c>
      <c r="AI69" s="291">
        <v>0.73157686005835521</v>
      </c>
      <c r="AJ69" s="291">
        <v>0.73232598198526799</v>
      </c>
      <c r="AK69" s="291">
        <v>0.73307524752219888</v>
      </c>
      <c r="AL69" s="292">
        <v>0.73382465675440312</v>
      </c>
      <c r="AM69" s="281">
        <v>0.73445972540352245</v>
      </c>
      <c r="AN69" s="282">
        <v>0.73509479405264189</v>
      </c>
      <c r="AO69" s="282">
        <v>0.73572986270176122</v>
      </c>
      <c r="AP69" s="282">
        <v>0.73636493135088066</v>
      </c>
      <c r="AQ69" s="282">
        <v>0.73699999999999999</v>
      </c>
      <c r="AR69" s="282">
        <v>0.73739999999999994</v>
      </c>
      <c r="AS69" s="282">
        <v>0.73780000000000001</v>
      </c>
      <c r="AT69" s="282">
        <v>0.73819999999999997</v>
      </c>
      <c r="AU69" s="282">
        <v>0.73860000000000003</v>
      </c>
      <c r="AV69" s="283">
        <v>0.73899999999999999</v>
      </c>
      <c r="AW69" s="281">
        <v>0.73939999999999995</v>
      </c>
      <c r="AX69" s="282">
        <v>0.73980000000000001</v>
      </c>
      <c r="AY69" s="282">
        <v>0.74019999999999997</v>
      </c>
      <c r="AZ69" s="282">
        <v>0.74060000000000004</v>
      </c>
      <c r="BA69" s="282">
        <v>0.74099999999999999</v>
      </c>
      <c r="BB69" s="282">
        <v>0.74119999999999997</v>
      </c>
      <c r="BC69" s="282">
        <v>0.74139999999999995</v>
      </c>
      <c r="BD69" s="282">
        <v>0.74160000000000004</v>
      </c>
      <c r="BE69" s="282">
        <v>0.74180000000000001</v>
      </c>
      <c r="BF69" s="283">
        <v>0.74199999999999999</v>
      </c>
      <c r="BG69" s="283">
        <f t="shared" si="0"/>
        <v>0.74199999999999999</v>
      </c>
      <c r="BH69" s="237"/>
    </row>
    <row r="70" spans="1:60" x14ac:dyDescent="0.2">
      <c r="A70" s="348">
        <v>20</v>
      </c>
      <c r="B70" s="287">
        <v>0.62858628781507353</v>
      </c>
      <c r="C70" s="288">
        <v>0.63574953441823967</v>
      </c>
      <c r="D70" s="288">
        <v>0.64225946916722787</v>
      </c>
      <c r="E70" s="288">
        <v>0.64887460260286323</v>
      </c>
      <c r="F70" s="288">
        <v>0.65458784739478282</v>
      </c>
      <c r="G70" s="288">
        <v>0.66064443834898556</v>
      </c>
      <c r="H70" s="288">
        <v>0.66618931291691508</v>
      </c>
      <c r="I70" s="288">
        <v>0.67062286769831159</v>
      </c>
      <c r="J70" s="289">
        <v>0.67500381797698139</v>
      </c>
      <c r="K70" s="287">
        <v>0.67747290193295562</v>
      </c>
      <c r="L70" s="288">
        <v>0.6799452259283072</v>
      </c>
      <c r="M70" s="288">
        <v>0.68242079660343269</v>
      </c>
      <c r="N70" s="288">
        <v>0.68488994255560254</v>
      </c>
      <c r="O70" s="288">
        <v>0.68736227774869019</v>
      </c>
      <c r="P70" s="288">
        <v>0.68983780873240597</v>
      </c>
      <c r="Q70" s="288">
        <v>0.69231654207440629</v>
      </c>
      <c r="R70" s="288">
        <v>0.69479848436035718</v>
      </c>
      <c r="S70" s="289">
        <v>0.69737525516767462</v>
      </c>
      <c r="T70" s="287">
        <v>0.69999714251831169</v>
      </c>
      <c r="U70" s="288">
        <v>0.70262333445581204</v>
      </c>
      <c r="V70" s="288">
        <v>0.7052538411284125</v>
      </c>
      <c r="W70" s="288">
        <v>0.70663718197377212</v>
      </c>
      <c r="X70" s="288">
        <v>0.7081731156010852</v>
      </c>
      <c r="Y70" s="288">
        <v>0.70971188067538271</v>
      </c>
      <c r="Z70" s="288">
        <v>0.71125348389296417</v>
      </c>
      <c r="AA70" s="288">
        <v>0.71279793197126162</v>
      </c>
      <c r="AB70" s="289">
        <v>0.71434523164892394</v>
      </c>
      <c r="AC70" s="287">
        <v>0.71592865451560406</v>
      </c>
      <c r="AD70" s="288">
        <v>0.71713221496662927</v>
      </c>
      <c r="AE70" s="288">
        <v>0.71833683379566093</v>
      </c>
      <c r="AF70" s="288">
        <v>0.71954251163027771</v>
      </c>
      <c r="AG70" s="288">
        <v>0.72074924909855242</v>
      </c>
      <c r="AH70" s="288">
        <v>0.72162043297847189</v>
      </c>
      <c r="AI70" s="288">
        <v>0.72237702267170312</v>
      </c>
      <c r="AJ70" s="288">
        <v>0.72313376898743675</v>
      </c>
      <c r="AK70" s="288">
        <v>0.72389067201863744</v>
      </c>
      <c r="AL70" s="289">
        <v>0.72464773185834053</v>
      </c>
      <c r="AM70" s="287">
        <v>0.72531818548667237</v>
      </c>
      <c r="AN70" s="288">
        <v>0.72598863911500433</v>
      </c>
      <c r="AO70" s="288">
        <v>0.72665909274333618</v>
      </c>
      <c r="AP70" s="288">
        <v>0.72732954637166813</v>
      </c>
      <c r="AQ70" s="288">
        <v>0.72799999999999998</v>
      </c>
      <c r="AR70" s="288">
        <v>0.72839999999999994</v>
      </c>
      <c r="AS70" s="288">
        <v>0.7288</v>
      </c>
      <c r="AT70" s="288">
        <v>0.72919999999999996</v>
      </c>
      <c r="AU70" s="288">
        <v>0.72960000000000003</v>
      </c>
      <c r="AV70" s="289">
        <v>0.73</v>
      </c>
      <c r="AW70" s="287">
        <v>0.73039999999999994</v>
      </c>
      <c r="AX70" s="288">
        <v>0.73080000000000001</v>
      </c>
      <c r="AY70" s="288">
        <v>0.73119999999999996</v>
      </c>
      <c r="AZ70" s="288">
        <v>0.73160000000000003</v>
      </c>
      <c r="BA70" s="288">
        <v>0.73199999999999998</v>
      </c>
      <c r="BB70" s="288">
        <v>0.73219999999999996</v>
      </c>
      <c r="BC70" s="288">
        <v>0.73239999999999994</v>
      </c>
      <c r="BD70" s="288">
        <v>0.73260000000000003</v>
      </c>
      <c r="BE70" s="288">
        <v>0.73280000000000001</v>
      </c>
      <c r="BF70" s="289">
        <v>0.73299999999999998</v>
      </c>
      <c r="BG70" s="289">
        <f t="shared" si="0"/>
        <v>0.73299999999999998</v>
      </c>
      <c r="BH70" s="237"/>
    </row>
    <row r="71" spans="1:60" x14ac:dyDescent="0.2">
      <c r="A71" s="348">
        <v>21</v>
      </c>
      <c r="B71" s="277">
        <v>0.60983926523040222</v>
      </c>
      <c r="C71" s="278">
        <v>0.61710518471098352</v>
      </c>
      <c r="D71" s="278">
        <v>0.62366258335003011</v>
      </c>
      <c r="E71" s="278">
        <v>0.63032747392403488</v>
      </c>
      <c r="F71" s="278">
        <v>0.63657025517506483</v>
      </c>
      <c r="G71" s="278">
        <v>0.64322320700204216</v>
      </c>
      <c r="H71" s="278">
        <v>0.64912890976313986</v>
      </c>
      <c r="I71" s="278">
        <v>0.65301250959386004</v>
      </c>
      <c r="J71" s="279">
        <v>0.65684427375751053</v>
      </c>
      <c r="K71" s="277">
        <v>0.65955541631963466</v>
      </c>
      <c r="L71" s="278">
        <v>0.66214495549187902</v>
      </c>
      <c r="M71" s="278">
        <v>0.66473788587651539</v>
      </c>
      <c r="N71" s="278">
        <v>0.66732429780773383</v>
      </c>
      <c r="O71" s="278">
        <v>0.66991403693971407</v>
      </c>
      <c r="P71" s="278">
        <v>0.67250711010549369</v>
      </c>
      <c r="Q71" s="278">
        <v>0.67510352415683272</v>
      </c>
      <c r="R71" s="278">
        <v>0.67770328596427876</v>
      </c>
      <c r="S71" s="279">
        <v>0.6803970869698972</v>
      </c>
      <c r="T71" s="277">
        <v>0.68313519202018824</v>
      </c>
      <c r="U71" s="278">
        <v>0.68587779401917626</v>
      </c>
      <c r="V71" s="278">
        <v>0.68862490356860206</v>
      </c>
      <c r="W71" s="278">
        <v>0.69027563152075566</v>
      </c>
      <c r="X71" s="278">
        <v>0.69180626178086468</v>
      </c>
      <c r="Y71" s="278">
        <v>0.69333973109767344</v>
      </c>
      <c r="Z71" s="278">
        <v>0.6948760461854796</v>
      </c>
      <c r="AA71" s="278">
        <v>0.69641521377976867</v>
      </c>
      <c r="AB71" s="279">
        <v>0.69795724063730058</v>
      </c>
      <c r="AC71" s="277">
        <v>0.69954161802708859</v>
      </c>
      <c r="AD71" s="278">
        <v>0.7007549091284816</v>
      </c>
      <c r="AE71" s="278">
        <v>0.70196929596265611</v>
      </c>
      <c r="AF71" s="278">
        <v>0.7031847791793383</v>
      </c>
      <c r="AG71" s="278">
        <v>0.70440135942876947</v>
      </c>
      <c r="AH71" s="278">
        <v>0.70528882968911666</v>
      </c>
      <c r="AI71" s="278">
        <v>0.70617650920954889</v>
      </c>
      <c r="AJ71" s="278">
        <v>0.70706439811424726</v>
      </c>
      <c r="AK71" s="278">
        <v>0.70795249652749193</v>
      </c>
      <c r="AL71" s="279">
        <v>0.70884080457366017</v>
      </c>
      <c r="AM71" s="277">
        <v>0.70967264365892813</v>
      </c>
      <c r="AN71" s="278">
        <v>0.71050448274419609</v>
      </c>
      <c r="AO71" s="278">
        <v>0.71133632182946405</v>
      </c>
      <c r="AP71" s="278">
        <v>0.71216816091473201</v>
      </c>
      <c r="AQ71" s="278">
        <v>0.71299999999999997</v>
      </c>
      <c r="AR71" s="278">
        <v>0.71360000000000001</v>
      </c>
      <c r="AS71" s="278">
        <v>0.71419999999999995</v>
      </c>
      <c r="AT71" s="278">
        <v>0.71479999999999999</v>
      </c>
      <c r="AU71" s="278">
        <v>0.71539999999999992</v>
      </c>
      <c r="AV71" s="279">
        <v>0.71599999999999997</v>
      </c>
      <c r="AW71" s="277">
        <v>0.71639999999999993</v>
      </c>
      <c r="AX71" s="278">
        <v>0.71679999999999999</v>
      </c>
      <c r="AY71" s="278">
        <v>0.71719999999999995</v>
      </c>
      <c r="AZ71" s="278">
        <v>0.71760000000000002</v>
      </c>
      <c r="BA71" s="278">
        <v>0.71799999999999997</v>
      </c>
      <c r="BB71" s="278">
        <v>0.71819999999999995</v>
      </c>
      <c r="BC71" s="278">
        <v>0.71839999999999993</v>
      </c>
      <c r="BD71" s="278">
        <v>0.71860000000000002</v>
      </c>
      <c r="BE71" s="278">
        <v>0.71879999999999999</v>
      </c>
      <c r="BF71" s="279">
        <v>0.71899999999999997</v>
      </c>
      <c r="BG71" s="279">
        <f t="shared" si="0"/>
        <v>0.71899999999999997</v>
      </c>
      <c r="BH71" s="237"/>
    </row>
    <row r="72" spans="1:60" x14ac:dyDescent="0.2">
      <c r="A72" s="348">
        <v>22</v>
      </c>
      <c r="B72" s="277">
        <v>0.59263208645764864</v>
      </c>
      <c r="C72" s="278">
        <v>0.59899558762440674</v>
      </c>
      <c r="D72" s="278">
        <v>0.60560104897523248</v>
      </c>
      <c r="E72" s="278">
        <v>0.61231599411608095</v>
      </c>
      <c r="F72" s="278">
        <v>0.61825131716696391</v>
      </c>
      <c r="G72" s="278">
        <v>0.62436688463115597</v>
      </c>
      <c r="H72" s="278">
        <v>0.63022593227588231</v>
      </c>
      <c r="I72" s="278">
        <v>0.63469378964058387</v>
      </c>
      <c r="J72" s="279">
        <v>0.63911221083973746</v>
      </c>
      <c r="K72" s="277">
        <v>0.64216119930438997</v>
      </c>
      <c r="L72" s="278">
        <v>0.64487014651050778</v>
      </c>
      <c r="M72" s="278">
        <v>0.64758263146611328</v>
      </c>
      <c r="N72" s="278">
        <v>0.65028856268269808</v>
      </c>
      <c r="O72" s="278">
        <v>0.65299796098999441</v>
      </c>
      <c r="P72" s="278">
        <v>0.65571083350832871</v>
      </c>
      <c r="Q72" s="278">
        <v>0.65842718737753891</v>
      </c>
      <c r="R72" s="278">
        <v>0.66114702975704098</v>
      </c>
      <c r="S72" s="279">
        <v>0.66395996990201378</v>
      </c>
      <c r="T72" s="277">
        <v>0.66681643567887949</v>
      </c>
      <c r="U72" s="278">
        <v>0.66967759319292897</v>
      </c>
      <c r="V72" s="278">
        <v>0.67254345350512268</v>
      </c>
      <c r="W72" s="278">
        <v>0.67458183847863606</v>
      </c>
      <c r="X72" s="278">
        <v>0.67622290890708669</v>
      </c>
      <c r="Y72" s="278">
        <v>0.67786707083256015</v>
      </c>
      <c r="Z72" s="278">
        <v>0.6795143315663692</v>
      </c>
      <c r="AA72" s="278">
        <v>0.68116469844290062</v>
      </c>
      <c r="AB72" s="279">
        <v>0.68281817881970142</v>
      </c>
      <c r="AC72" s="277">
        <v>0.68452020260242674</v>
      </c>
      <c r="AD72" s="278">
        <v>0.68585938815957137</v>
      </c>
      <c r="AE72" s="278">
        <v>0.6871998448053398</v>
      </c>
      <c r="AF72" s="278">
        <v>0.68854157329343912</v>
      </c>
      <c r="AG72" s="278">
        <v>0.68988457437817241</v>
      </c>
      <c r="AH72" s="278">
        <v>0.69090503582100871</v>
      </c>
      <c r="AI72" s="278">
        <v>0.69183246055620473</v>
      </c>
      <c r="AJ72" s="278">
        <v>0.6926201532821088</v>
      </c>
      <c r="AK72" s="278">
        <v>0.69340805843014153</v>
      </c>
      <c r="AL72" s="279">
        <v>0.69419617612641116</v>
      </c>
      <c r="AM72" s="277">
        <v>0.69475694090112894</v>
      </c>
      <c r="AN72" s="278">
        <v>0.69531770567584672</v>
      </c>
      <c r="AO72" s="278">
        <v>0.69587847045056439</v>
      </c>
      <c r="AP72" s="278">
        <v>0.69643923522528217</v>
      </c>
      <c r="AQ72" s="278">
        <v>0.69699999999999995</v>
      </c>
      <c r="AR72" s="278">
        <v>0.69739999999999991</v>
      </c>
      <c r="AS72" s="278">
        <v>0.69779999999999998</v>
      </c>
      <c r="AT72" s="278">
        <v>0.69819999999999993</v>
      </c>
      <c r="AU72" s="278">
        <v>0.6986</v>
      </c>
      <c r="AV72" s="279">
        <v>0.69899999999999995</v>
      </c>
      <c r="AW72" s="277">
        <v>0.69939999999999991</v>
      </c>
      <c r="AX72" s="278">
        <v>0.69979999999999998</v>
      </c>
      <c r="AY72" s="278">
        <v>0.70019999999999993</v>
      </c>
      <c r="AZ72" s="278">
        <v>0.7006</v>
      </c>
      <c r="BA72" s="278">
        <v>0.70099999999999996</v>
      </c>
      <c r="BB72" s="278">
        <v>0.70119999999999993</v>
      </c>
      <c r="BC72" s="278">
        <v>0.70139999999999991</v>
      </c>
      <c r="BD72" s="278">
        <v>0.7016</v>
      </c>
      <c r="BE72" s="278">
        <v>0.70179999999999998</v>
      </c>
      <c r="BF72" s="279">
        <v>0.70199999999999996</v>
      </c>
      <c r="BG72" s="279">
        <f t="shared" si="0"/>
        <v>0.70199999999999996</v>
      </c>
      <c r="BH72" s="237"/>
    </row>
    <row r="73" spans="1:60" x14ac:dyDescent="0.2">
      <c r="A73" s="348">
        <v>23</v>
      </c>
      <c r="B73" s="277">
        <v>0.57400142808763754</v>
      </c>
      <c r="C73" s="278">
        <v>0.5814770967156655</v>
      </c>
      <c r="D73" s="278">
        <v>0.58813116095792872</v>
      </c>
      <c r="E73" s="278">
        <v>0.59489643031118822</v>
      </c>
      <c r="F73" s="278">
        <v>0.60094482369662594</v>
      </c>
      <c r="G73" s="278">
        <v>0.60709062945631387</v>
      </c>
      <c r="H73" s="278">
        <v>0.61311094719386161</v>
      </c>
      <c r="I73" s="278">
        <v>0.6175966641285574</v>
      </c>
      <c r="J73" s="279">
        <v>0.6220344537349265</v>
      </c>
      <c r="K73" s="277">
        <v>0.62526528006963944</v>
      </c>
      <c r="L73" s="278">
        <v>0.62798023527365798</v>
      </c>
      <c r="M73" s="278">
        <v>0.63069872742753741</v>
      </c>
      <c r="N73" s="278">
        <v>0.63341054364544258</v>
      </c>
      <c r="O73" s="278">
        <v>0.63612582262118511</v>
      </c>
      <c r="P73" s="278">
        <v>0.63884457146619533</v>
      </c>
      <c r="Q73" s="278">
        <v>0.64156679731138599</v>
      </c>
      <c r="R73" s="278">
        <v>0.64429250730722509</v>
      </c>
      <c r="S73" s="279">
        <v>0.64710997023587391</v>
      </c>
      <c r="T73" s="277">
        <v>0.64996997180440275</v>
      </c>
      <c r="U73" s="278">
        <v>0.65283466839358695</v>
      </c>
      <c r="V73" s="278">
        <v>0.65570407107212925</v>
      </c>
      <c r="W73" s="278">
        <v>0.65806565153747187</v>
      </c>
      <c r="X73" s="278">
        <v>0.65981748664284834</v>
      </c>
      <c r="Y73" s="278">
        <v>0.66157266956694494</v>
      </c>
      <c r="Z73" s="278">
        <v>0.66333120822726954</v>
      </c>
      <c r="AA73" s="278">
        <v>0.66509311056631337</v>
      </c>
      <c r="AB73" s="279">
        <v>0.66685838455165469</v>
      </c>
      <c r="AC73" s="277">
        <v>0.66867797135248919</v>
      </c>
      <c r="AD73" s="278">
        <v>0.67014341431429891</v>
      </c>
      <c r="AE73" s="278">
        <v>0.67161031239896707</v>
      </c>
      <c r="AF73" s="278">
        <v>0.67307866646932468</v>
      </c>
      <c r="AG73" s="278">
        <v>0.67454847738888812</v>
      </c>
      <c r="AH73" s="278">
        <v>0.67570345658062092</v>
      </c>
      <c r="AI73" s="278">
        <v>0.67682350903863087</v>
      </c>
      <c r="AJ73" s="278">
        <v>0.67762642237172466</v>
      </c>
      <c r="AK73" s="278">
        <v>0.67842957739804433</v>
      </c>
      <c r="AL73" s="279">
        <v>0.67923297426107354</v>
      </c>
      <c r="AM73" s="277">
        <v>0.67978637940885889</v>
      </c>
      <c r="AN73" s="278">
        <v>0.68033978455664412</v>
      </c>
      <c r="AO73" s="278">
        <v>0.68089318970442947</v>
      </c>
      <c r="AP73" s="278">
        <v>0.6814465948522147</v>
      </c>
      <c r="AQ73" s="278">
        <v>0.68200000000000005</v>
      </c>
      <c r="AR73" s="278">
        <v>0.6826000000000001</v>
      </c>
      <c r="AS73" s="278">
        <v>0.68320000000000003</v>
      </c>
      <c r="AT73" s="278">
        <v>0.68380000000000007</v>
      </c>
      <c r="AU73" s="278">
        <v>0.68440000000000001</v>
      </c>
      <c r="AV73" s="279">
        <v>0.68500000000000005</v>
      </c>
      <c r="AW73" s="277">
        <v>0.68540000000000001</v>
      </c>
      <c r="AX73" s="278">
        <v>0.68580000000000008</v>
      </c>
      <c r="AY73" s="278">
        <v>0.68620000000000003</v>
      </c>
      <c r="AZ73" s="278">
        <v>0.6866000000000001</v>
      </c>
      <c r="BA73" s="278">
        <v>0.68700000000000006</v>
      </c>
      <c r="BB73" s="278">
        <v>0.68720000000000003</v>
      </c>
      <c r="BC73" s="278">
        <v>0.68740000000000001</v>
      </c>
      <c r="BD73" s="278">
        <v>0.68759999999999999</v>
      </c>
      <c r="BE73" s="278">
        <v>0.68779999999999997</v>
      </c>
      <c r="BF73" s="279">
        <v>0.68799999999999994</v>
      </c>
      <c r="BG73" s="279">
        <f t="shared" si="0"/>
        <v>0.68799999999999994</v>
      </c>
      <c r="BH73" s="237"/>
    </row>
    <row r="74" spans="1:60" x14ac:dyDescent="0.2">
      <c r="A74" s="349">
        <v>24</v>
      </c>
      <c r="B74" s="281">
        <v>0.55893032050441649</v>
      </c>
      <c r="C74" s="282">
        <v>0.56316752724455676</v>
      </c>
      <c r="D74" s="282">
        <v>0.56987133193215522</v>
      </c>
      <c r="E74" s="282">
        <v>0.57668752898941789</v>
      </c>
      <c r="F74" s="282">
        <v>0.58285067087068299</v>
      </c>
      <c r="G74" s="282">
        <v>0.5890263391509436</v>
      </c>
      <c r="H74" s="282">
        <v>0.59525598364842647</v>
      </c>
      <c r="I74" s="282">
        <v>0.60034029403151357</v>
      </c>
      <c r="J74" s="283">
        <v>0.60537899705150078</v>
      </c>
      <c r="K74" s="281">
        <v>0.60902746705335364</v>
      </c>
      <c r="L74" s="282">
        <v>0.61174890157147244</v>
      </c>
      <c r="M74" s="282">
        <v>0.61447387274141219</v>
      </c>
      <c r="N74" s="282">
        <v>0.61719209714842227</v>
      </c>
      <c r="O74" s="282">
        <v>0.61991378082386994</v>
      </c>
      <c r="P74" s="282">
        <v>0.62263893087201738</v>
      </c>
      <c r="Q74" s="282">
        <v>0.6253675544165942</v>
      </c>
      <c r="R74" s="282">
        <v>0.62809965860086214</v>
      </c>
      <c r="S74" s="283">
        <v>0.63092208187332088</v>
      </c>
      <c r="T74" s="281">
        <v>0.63378609566446276</v>
      </c>
      <c r="U74" s="282">
        <v>0.6366548077546671</v>
      </c>
      <c r="V74" s="282">
        <v>0.63952822922036578</v>
      </c>
      <c r="W74" s="282">
        <v>0.6421246345872752</v>
      </c>
      <c r="X74" s="282">
        <v>0.64375405644064854</v>
      </c>
      <c r="Y74" s="282">
        <v>0.64538658359611201</v>
      </c>
      <c r="Z74" s="282">
        <v>0.64702222339762827</v>
      </c>
      <c r="AA74" s="282">
        <v>0.64866098321233423</v>
      </c>
      <c r="AB74" s="283">
        <v>0.65030287043063262</v>
      </c>
      <c r="AC74" s="281">
        <v>0.65200386957831635</v>
      </c>
      <c r="AD74" s="282">
        <v>0.65335944834328064</v>
      </c>
      <c r="AE74" s="282">
        <v>0.65471637750007938</v>
      </c>
      <c r="AF74" s="282">
        <v>0.65607465784944274</v>
      </c>
      <c r="AG74" s="282">
        <v>0.65743429019273469</v>
      </c>
      <c r="AH74" s="282">
        <v>0.65848805919731612</v>
      </c>
      <c r="AI74" s="282">
        <v>0.65954217571525442</v>
      </c>
      <c r="AJ74" s="282">
        <v>0.66050182880961894</v>
      </c>
      <c r="AK74" s="282">
        <v>0.66143809263690589</v>
      </c>
      <c r="AL74" s="283">
        <v>0.662374666345247</v>
      </c>
      <c r="AM74" s="281">
        <v>0.66309973307619763</v>
      </c>
      <c r="AN74" s="282">
        <v>0.66382479980714826</v>
      </c>
      <c r="AO74" s="282">
        <v>0.66454986653809878</v>
      </c>
      <c r="AP74" s="282">
        <v>0.66527493326904941</v>
      </c>
      <c r="AQ74" s="282">
        <v>0.66600000000000004</v>
      </c>
      <c r="AR74" s="282">
        <v>0.66660000000000008</v>
      </c>
      <c r="AS74" s="282">
        <v>0.66720000000000002</v>
      </c>
      <c r="AT74" s="282">
        <v>0.66780000000000006</v>
      </c>
      <c r="AU74" s="282">
        <v>0.66839999999999999</v>
      </c>
      <c r="AV74" s="283">
        <v>0.66900000000000004</v>
      </c>
      <c r="AW74" s="281">
        <v>0.6694</v>
      </c>
      <c r="AX74" s="282">
        <v>0.66980000000000006</v>
      </c>
      <c r="AY74" s="282">
        <v>0.67020000000000002</v>
      </c>
      <c r="AZ74" s="282">
        <v>0.67060000000000008</v>
      </c>
      <c r="BA74" s="282">
        <v>0.67100000000000004</v>
      </c>
      <c r="BB74" s="282">
        <v>0.67120000000000002</v>
      </c>
      <c r="BC74" s="282">
        <v>0.6714</v>
      </c>
      <c r="BD74" s="282">
        <v>0.67160000000000009</v>
      </c>
      <c r="BE74" s="282">
        <v>0.67180000000000006</v>
      </c>
      <c r="BF74" s="283">
        <v>0.67200000000000004</v>
      </c>
      <c r="BG74" s="283">
        <f t="shared" si="0"/>
        <v>0.67200000000000004</v>
      </c>
      <c r="BH74" s="237"/>
    </row>
    <row r="75" spans="1:60" x14ac:dyDescent="0.2">
      <c r="A75" s="348">
        <v>25</v>
      </c>
      <c r="B75" s="284">
        <v>0.54192476439768988</v>
      </c>
      <c r="C75" s="285">
        <v>0.54844422374089608</v>
      </c>
      <c r="D75" s="285">
        <v>0.55461212560858841</v>
      </c>
      <c r="E75" s="285">
        <v>0.56089430907781612</v>
      </c>
      <c r="F75" s="285">
        <v>0.5665886446637608</v>
      </c>
      <c r="G75" s="285">
        <v>0.57221069566946992</v>
      </c>
      <c r="H75" s="285">
        <v>0.577974825150397</v>
      </c>
      <c r="I75" s="285">
        <v>0.58308145089066166</v>
      </c>
      <c r="J75" s="286">
        <v>0.58814399590467559</v>
      </c>
      <c r="K75" s="284">
        <v>0.59204012969405717</v>
      </c>
      <c r="L75" s="285">
        <v>0.59476760651025218</v>
      </c>
      <c r="M75" s="285">
        <v>0.59749861892769385</v>
      </c>
      <c r="N75" s="285">
        <v>0.60022288539832913</v>
      </c>
      <c r="O75" s="285">
        <v>0.60295060728213246</v>
      </c>
      <c r="P75" s="285">
        <v>0.60568179167545011</v>
      </c>
      <c r="Q75" s="285">
        <v>0.60841644569407072</v>
      </c>
      <c r="R75" s="285">
        <v>0.61115457647329707</v>
      </c>
      <c r="S75" s="286">
        <v>0.61398132841106312</v>
      </c>
      <c r="T75" s="284">
        <v>0.61684867679553212</v>
      </c>
      <c r="U75" s="285">
        <v>0.61972072499915021</v>
      </c>
      <c r="V75" s="285">
        <v>0.6225974841019335</v>
      </c>
      <c r="W75" s="285">
        <v>0.62547896521875368</v>
      </c>
      <c r="X75" s="285">
        <v>0.62721972294997586</v>
      </c>
      <c r="Y75" s="285">
        <v>0.62896384539353389</v>
      </c>
      <c r="Z75" s="285">
        <v>0.63071134050688948</v>
      </c>
      <c r="AA75" s="285">
        <v>0.63246221627261345</v>
      </c>
      <c r="AB75" s="286">
        <v>0.63421648069848791</v>
      </c>
      <c r="AC75" s="284">
        <v>0.63603480933403667</v>
      </c>
      <c r="AD75" s="285">
        <v>0.63751648671255912</v>
      </c>
      <c r="AE75" s="285">
        <v>0.63899970575433274</v>
      </c>
      <c r="AF75" s="285">
        <v>0.64048446737350395</v>
      </c>
      <c r="AG75" s="285">
        <v>0.64197077248494117</v>
      </c>
      <c r="AH75" s="285">
        <v>0.6431600841490962</v>
      </c>
      <c r="AI75" s="285">
        <v>0.64434982523556505</v>
      </c>
      <c r="AJ75" s="285">
        <v>0.6454205510928952</v>
      </c>
      <c r="AK75" s="285">
        <v>0.64637219791597322</v>
      </c>
      <c r="AL75" s="286">
        <v>0.64732418947067716</v>
      </c>
      <c r="AM75" s="287">
        <v>0.64805935157654171</v>
      </c>
      <c r="AN75" s="288">
        <v>0.64879451368240626</v>
      </c>
      <c r="AO75" s="288">
        <v>0.64952967578827092</v>
      </c>
      <c r="AP75" s="288">
        <v>0.65026483789413547</v>
      </c>
      <c r="AQ75" s="288">
        <v>0.65100000000000002</v>
      </c>
      <c r="AR75" s="288">
        <v>0.65160000000000007</v>
      </c>
      <c r="AS75" s="288">
        <v>0.6522</v>
      </c>
      <c r="AT75" s="288">
        <v>0.65280000000000005</v>
      </c>
      <c r="AU75" s="288">
        <v>0.65339999999999998</v>
      </c>
      <c r="AV75" s="289">
        <v>0.65400000000000003</v>
      </c>
      <c r="AW75" s="287">
        <v>0.65460000000000007</v>
      </c>
      <c r="AX75" s="288">
        <v>0.6552</v>
      </c>
      <c r="AY75" s="288">
        <v>0.65580000000000005</v>
      </c>
      <c r="AZ75" s="288">
        <v>0.65639999999999998</v>
      </c>
      <c r="BA75" s="288">
        <v>0.65700000000000003</v>
      </c>
      <c r="BB75" s="288">
        <v>0.65739999999999998</v>
      </c>
      <c r="BC75" s="288">
        <v>0.65780000000000005</v>
      </c>
      <c r="BD75" s="288">
        <v>0.65820000000000001</v>
      </c>
      <c r="BE75" s="288">
        <v>0.65860000000000007</v>
      </c>
      <c r="BF75" s="289">
        <v>0.65900000000000003</v>
      </c>
      <c r="BG75" s="289">
        <f t="shared" si="0"/>
        <v>0.65900000000000003</v>
      </c>
      <c r="BH75" s="237"/>
    </row>
    <row r="76" spans="1:60" x14ac:dyDescent="0.2">
      <c r="A76" s="348">
        <v>26</v>
      </c>
      <c r="B76" s="277">
        <v>0.52621604510051201</v>
      </c>
      <c r="C76" s="278">
        <v>0.53160948511095907</v>
      </c>
      <c r="D76" s="278">
        <v>0.53779985382256112</v>
      </c>
      <c r="E76" s="278">
        <v>0.54412889085262228</v>
      </c>
      <c r="F76" s="278">
        <v>0.55019518170278914</v>
      </c>
      <c r="G76" s="278">
        <v>0.55643322733449407</v>
      </c>
      <c r="H76" s="278">
        <v>0.56281052181859759</v>
      </c>
      <c r="I76" s="278">
        <v>0.56749248778428396</v>
      </c>
      <c r="J76" s="279">
        <v>0.57198940290933664</v>
      </c>
      <c r="K76" s="277">
        <v>0.57583022968858</v>
      </c>
      <c r="L76" s="278">
        <v>0.57868255972574878</v>
      </c>
      <c r="M76" s="278">
        <v>0.58153857645522578</v>
      </c>
      <c r="N76" s="278">
        <v>0.58438803871216305</v>
      </c>
      <c r="O76" s="278">
        <v>0.58724110149896702</v>
      </c>
      <c r="P76" s="278">
        <v>0.59009777221000925</v>
      </c>
      <c r="Q76" s="278">
        <v>0.5929580582599181</v>
      </c>
      <c r="R76" s="278">
        <v>0.59582196708365764</v>
      </c>
      <c r="S76" s="279">
        <v>0.59877304879506543</v>
      </c>
      <c r="T76" s="277">
        <v>0.60176402505307092</v>
      </c>
      <c r="U76" s="278">
        <v>0.60475990054832818</v>
      </c>
      <c r="V76" s="278">
        <v>0.60776068683098927</v>
      </c>
      <c r="W76" s="278">
        <v>0.61076639548754141</v>
      </c>
      <c r="X76" s="278">
        <v>0.61278896385074666</v>
      </c>
      <c r="Y76" s="278">
        <v>0.61452883281838466</v>
      </c>
      <c r="Z76" s="278">
        <v>0.61627208362269659</v>
      </c>
      <c r="AA76" s="278">
        <v>0.61801872426795268</v>
      </c>
      <c r="AB76" s="279">
        <v>0.6197687627836993</v>
      </c>
      <c r="AC76" s="277">
        <v>0.62158731170100379</v>
      </c>
      <c r="AD76" s="278">
        <v>0.62307695531434926</v>
      </c>
      <c r="AE76" s="278">
        <v>0.62456818241277179</v>
      </c>
      <c r="AF76" s="278">
        <v>0.62606099393521886</v>
      </c>
      <c r="AG76" s="278">
        <v>0.62755539082137701</v>
      </c>
      <c r="AH76" s="278">
        <v>0.62876146920150544</v>
      </c>
      <c r="AI76" s="278">
        <v>0.62996802132116791</v>
      </c>
      <c r="AJ76" s="278">
        <v>0.631150972432033</v>
      </c>
      <c r="AK76" s="278">
        <v>0.63223806936879801</v>
      </c>
      <c r="AL76" s="279">
        <v>0.63332559360481278</v>
      </c>
      <c r="AM76" s="277">
        <v>0.6340604748838502</v>
      </c>
      <c r="AN76" s="278">
        <v>0.63479535616288763</v>
      </c>
      <c r="AO76" s="278">
        <v>0.63553023744192516</v>
      </c>
      <c r="AP76" s="278">
        <v>0.63626511872096259</v>
      </c>
      <c r="AQ76" s="278">
        <v>0.63700000000000001</v>
      </c>
      <c r="AR76" s="278">
        <v>0.63800000000000001</v>
      </c>
      <c r="AS76" s="278">
        <v>0.63900000000000001</v>
      </c>
      <c r="AT76" s="278">
        <v>0.64</v>
      </c>
      <c r="AU76" s="278">
        <v>0.64100000000000001</v>
      </c>
      <c r="AV76" s="279">
        <v>0.64200000000000002</v>
      </c>
      <c r="AW76" s="277">
        <v>0.64239999999999997</v>
      </c>
      <c r="AX76" s="278">
        <v>0.64280000000000004</v>
      </c>
      <c r="AY76" s="278">
        <v>0.64319999999999999</v>
      </c>
      <c r="AZ76" s="278">
        <v>0.64360000000000006</v>
      </c>
      <c r="BA76" s="278">
        <v>0.64400000000000002</v>
      </c>
      <c r="BB76" s="278">
        <v>0.64439999999999997</v>
      </c>
      <c r="BC76" s="278">
        <v>0.64480000000000004</v>
      </c>
      <c r="BD76" s="278">
        <v>0.6452</v>
      </c>
      <c r="BE76" s="278">
        <v>0.64560000000000006</v>
      </c>
      <c r="BF76" s="279">
        <v>0.64600000000000002</v>
      </c>
      <c r="BG76" s="279">
        <f t="shared" si="0"/>
        <v>0.64600000000000002</v>
      </c>
      <c r="BH76" s="237"/>
    </row>
    <row r="77" spans="1:60" x14ac:dyDescent="0.2">
      <c r="A77" s="348">
        <v>27</v>
      </c>
      <c r="B77" s="277">
        <v>0.51034334532740777</v>
      </c>
      <c r="C77" s="278">
        <v>0.51697003317477075</v>
      </c>
      <c r="D77" s="278">
        <v>0.52218463691868788</v>
      </c>
      <c r="E77" s="278">
        <v>0.52737346929144091</v>
      </c>
      <c r="F77" s="278">
        <v>0.532784651703201</v>
      </c>
      <c r="G77" s="278">
        <v>0.53905341037024979</v>
      </c>
      <c r="H77" s="278">
        <v>0.54545733297802135</v>
      </c>
      <c r="I77" s="278">
        <v>0.55080049605129522</v>
      </c>
      <c r="J77" s="279">
        <v>0.55591227462023651</v>
      </c>
      <c r="K77" s="277">
        <v>0.56035179817133585</v>
      </c>
      <c r="L77" s="278">
        <v>0.56321212149115452</v>
      </c>
      <c r="M77" s="278">
        <v>0.56607613228701592</v>
      </c>
      <c r="N77" s="278">
        <v>0.56893367746764156</v>
      </c>
      <c r="O77" s="278">
        <v>0.57179482181045771</v>
      </c>
      <c r="P77" s="278">
        <v>0.57465957270702595</v>
      </c>
      <c r="Q77" s="278">
        <v>0.57752793756915966</v>
      </c>
      <c r="R77" s="278">
        <v>0.58039992382899652</v>
      </c>
      <c r="S77" s="279">
        <v>0.58335733534296663</v>
      </c>
      <c r="T77" s="277">
        <v>0.58635373862719564</v>
      </c>
      <c r="U77" s="278">
        <v>0.58935504448430531</v>
      </c>
      <c r="V77" s="278">
        <v>0.59236126447231041</v>
      </c>
      <c r="W77" s="278">
        <v>0.5953724101855874</v>
      </c>
      <c r="X77" s="278">
        <v>0.59767995882910729</v>
      </c>
      <c r="Y77" s="278">
        <v>0.59941440715388583</v>
      </c>
      <c r="Z77" s="278">
        <v>0.60115224381294485</v>
      </c>
      <c r="AA77" s="278">
        <v>0.60289347682593142</v>
      </c>
      <c r="AB77" s="279">
        <v>0.60463811423782121</v>
      </c>
      <c r="AC77" s="277">
        <v>0.60645524048273525</v>
      </c>
      <c r="AD77" s="278">
        <v>0.60795157009610024</v>
      </c>
      <c r="AE77" s="278">
        <v>0.60944952356632986</v>
      </c>
      <c r="AF77" s="278">
        <v>0.61094910185630902</v>
      </c>
      <c r="AG77" s="278">
        <v>0.61245030592968464</v>
      </c>
      <c r="AH77" s="278">
        <v>0.61367247869456421</v>
      </c>
      <c r="AI77" s="278">
        <v>0.61489516979154524</v>
      </c>
      <c r="AJ77" s="278">
        <v>0.6161183795282219</v>
      </c>
      <c r="AK77" s="278">
        <v>0.61712371317405057</v>
      </c>
      <c r="AL77" s="279">
        <v>0.61810520134787961</v>
      </c>
      <c r="AM77" s="277">
        <v>0.61908416107830366</v>
      </c>
      <c r="AN77" s="278">
        <v>0.62006312080872772</v>
      </c>
      <c r="AO77" s="278">
        <v>0.62104208053915189</v>
      </c>
      <c r="AP77" s="278">
        <v>0.62202104026957594</v>
      </c>
      <c r="AQ77" s="278">
        <v>0.623</v>
      </c>
      <c r="AR77" s="278">
        <v>0.62380000000000002</v>
      </c>
      <c r="AS77" s="278">
        <v>0.62460000000000004</v>
      </c>
      <c r="AT77" s="278">
        <v>0.62539999999999996</v>
      </c>
      <c r="AU77" s="278">
        <v>0.62619999999999998</v>
      </c>
      <c r="AV77" s="279">
        <v>0.627</v>
      </c>
      <c r="AW77" s="277">
        <v>0.62760000000000005</v>
      </c>
      <c r="AX77" s="278">
        <v>0.62819999999999998</v>
      </c>
      <c r="AY77" s="278">
        <v>0.62880000000000003</v>
      </c>
      <c r="AZ77" s="278">
        <v>0.62939999999999996</v>
      </c>
      <c r="BA77" s="278">
        <v>0.63</v>
      </c>
      <c r="BB77" s="278">
        <v>0.63039999999999996</v>
      </c>
      <c r="BC77" s="278">
        <v>0.63080000000000003</v>
      </c>
      <c r="BD77" s="278">
        <v>0.63119999999999998</v>
      </c>
      <c r="BE77" s="278">
        <v>0.63160000000000005</v>
      </c>
      <c r="BF77" s="279">
        <v>0.63200000000000001</v>
      </c>
      <c r="BG77" s="279">
        <f t="shared" si="0"/>
        <v>0.63200000000000001</v>
      </c>
      <c r="BH77" s="237"/>
    </row>
    <row r="78" spans="1:60" x14ac:dyDescent="0.2">
      <c r="A78" s="348">
        <v>28</v>
      </c>
      <c r="B78" s="277">
        <v>0.49620334446740566</v>
      </c>
      <c r="C78" s="278">
        <v>0.50048926095826707</v>
      </c>
      <c r="D78" s="278">
        <v>0.50658075082505405</v>
      </c>
      <c r="E78" s="278">
        <v>0.513003969920241</v>
      </c>
      <c r="F78" s="278">
        <v>0.51904052244159549</v>
      </c>
      <c r="G78" s="278">
        <v>0.52474417269610918</v>
      </c>
      <c r="H78" s="278">
        <v>0.53057874361496693</v>
      </c>
      <c r="I78" s="278">
        <v>0.53544420909721635</v>
      </c>
      <c r="J78" s="279">
        <v>0.53998160470175127</v>
      </c>
      <c r="K78" s="277">
        <v>0.54418884346035012</v>
      </c>
      <c r="L78" s="278">
        <v>0.5470567629975952</v>
      </c>
      <c r="M78" s="278">
        <v>0.54992837005001649</v>
      </c>
      <c r="N78" s="278">
        <v>0.55279366396558627</v>
      </c>
      <c r="O78" s="278">
        <v>0.55566255537552267</v>
      </c>
      <c r="P78" s="278">
        <v>0.55853505166796324</v>
      </c>
      <c r="Q78" s="278">
        <v>0.56141116025128712</v>
      </c>
      <c r="R78" s="278">
        <v>0.56429088855418774</v>
      </c>
      <c r="S78" s="279">
        <v>0.56725408967238866</v>
      </c>
      <c r="T78" s="277">
        <v>0.5702553379482922</v>
      </c>
      <c r="U78" s="278">
        <v>0.57326149065642795</v>
      </c>
      <c r="V78" s="278">
        <v>0.57627255935919441</v>
      </c>
      <c r="W78" s="278">
        <v>0.57928855565536619</v>
      </c>
      <c r="X78" s="278">
        <v>0.58193272297478427</v>
      </c>
      <c r="Y78" s="278">
        <v>0.58378192124983774</v>
      </c>
      <c r="Z78" s="278">
        <v>0.58563477724717372</v>
      </c>
      <c r="AA78" s="278">
        <v>0.58749129962403523</v>
      </c>
      <c r="AB78" s="279">
        <v>0.58935149706501166</v>
      </c>
      <c r="AC78" s="277">
        <v>0.59128802264768621</v>
      </c>
      <c r="AD78" s="278">
        <v>0.59291210904644764</v>
      </c>
      <c r="AE78" s="278">
        <v>0.59453802537796085</v>
      </c>
      <c r="AF78" s="278">
        <v>0.59616577272730731</v>
      </c>
      <c r="AG78" s="278">
        <v>0.59779535218042479</v>
      </c>
      <c r="AH78" s="278">
        <v>0.59915530736742728</v>
      </c>
      <c r="AI78" s="278">
        <v>0.60051588215493912</v>
      </c>
      <c r="AJ78" s="278">
        <v>0.60187707691064918</v>
      </c>
      <c r="AK78" s="278">
        <v>0.60301882106504245</v>
      </c>
      <c r="AL78" s="279">
        <v>0.60401433621849177</v>
      </c>
      <c r="AM78" s="277">
        <v>0.60481146897479343</v>
      </c>
      <c r="AN78" s="278">
        <v>0.6056086017310951</v>
      </c>
      <c r="AO78" s="278">
        <v>0.60640573448739665</v>
      </c>
      <c r="AP78" s="278">
        <v>0.60720286724369832</v>
      </c>
      <c r="AQ78" s="278">
        <v>0.60799999999999998</v>
      </c>
      <c r="AR78" s="278">
        <v>0.60860000000000003</v>
      </c>
      <c r="AS78" s="278">
        <v>0.60919999999999996</v>
      </c>
      <c r="AT78" s="278">
        <v>0.60980000000000001</v>
      </c>
      <c r="AU78" s="278">
        <v>0.61039999999999994</v>
      </c>
      <c r="AV78" s="279">
        <v>0.61099999999999999</v>
      </c>
      <c r="AW78" s="277">
        <v>0.61139999999999994</v>
      </c>
      <c r="AX78" s="278">
        <v>0.61180000000000001</v>
      </c>
      <c r="AY78" s="278">
        <v>0.61219999999999997</v>
      </c>
      <c r="AZ78" s="278">
        <v>0.61260000000000003</v>
      </c>
      <c r="BA78" s="278">
        <v>0.61299999999999999</v>
      </c>
      <c r="BB78" s="278">
        <v>0.61339999999999995</v>
      </c>
      <c r="BC78" s="278">
        <v>0.61380000000000001</v>
      </c>
      <c r="BD78" s="278">
        <v>0.61419999999999997</v>
      </c>
      <c r="BE78" s="278">
        <v>0.61460000000000004</v>
      </c>
      <c r="BF78" s="279">
        <v>0.61499999999999999</v>
      </c>
      <c r="BG78" s="279">
        <f t="shared" si="0"/>
        <v>0.61499999999999999</v>
      </c>
      <c r="BH78" s="237"/>
    </row>
    <row r="79" spans="1:60" x14ac:dyDescent="0.2">
      <c r="A79" s="348">
        <v>29</v>
      </c>
      <c r="B79" s="277">
        <v>0.48191053530205252</v>
      </c>
      <c r="C79" s="278">
        <v>0.48623290883243347</v>
      </c>
      <c r="D79" s="278">
        <v>0.49229720196422821</v>
      </c>
      <c r="E79" s="278">
        <v>0.49876765525917288</v>
      </c>
      <c r="F79" s="278">
        <v>0.50476403958024807</v>
      </c>
      <c r="G79" s="278">
        <v>0.50989340933521488</v>
      </c>
      <c r="H79" s="278">
        <v>0.51514932930448398</v>
      </c>
      <c r="I79" s="278">
        <v>0.52035017122666549</v>
      </c>
      <c r="J79" s="279">
        <v>0.52551248997500322</v>
      </c>
      <c r="K79" s="277">
        <v>0.53045171316635042</v>
      </c>
      <c r="L79" s="278">
        <v>0.53332881059349158</v>
      </c>
      <c r="M79" s="278">
        <v>0.53620959752173503</v>
      </c>
      <c r="N79" s="278">
        <v>0.53908423066509081</v>
      </c>
      <c r="O79" s="278">
        <v>0.54196246197092623</v>
      </c>
      <c r="P79" s="278">
        <v>0.54484429882874919</v>
      </c>
      <c r="Q79" s="278">
        <v>0.54772974864831647</v>
      </c>
      <c r="R79" s="278">
        <v>0.55061881885970043</v>
      </c>
      <c r="S79" s="279">
        <v>0.55358966172738522</v>
      </c>
      <c r="T79" s="277">
        <v>0.55659775293999292</v>
      </c>
      <c r="U79" s="278">
        <v>0.55961075306906904</v>
      </c>
      <c r="V79" s="278">
        <v>0.56262867368758196</v>
      </c>
      <c r="W79" s="278">
        <v>0.56565152640491112</v>
      </c>
      <c r="X79" s="278">
        <v>0.56854205370965472</v>
      </c>
      <c r="Y79" s="278">
        <v>0.57026568372796205</v>
      </c>
      <c r="Z79" s="278">
        <v>0.57199271276062424</v>
      </c>
      <c r="AA79" s="278">
        <v>0.5737231488525687</v>
      </c>
      <c r="AB79" s="279">
        <v>0.57545700007412914</v>
      </c>
      <c r="AC79" s="277">
        <v>0.57727024060072962</v>
      </c>
      <c r="AD79" s="278">
        <v>0.57877832234519522</v>
      </c>
      <c r="AE79" s="278">
        <v>0.5802881051934714</v>
      </c>
      <c r="AF79" s="278">
        <v>0.58179959015424842</v>
      </c>
      <c r="AG79" s="278">
        <v>0.58331277823701266</v>
      </c>
      <c r="AH79" s="278">
        <v>0.58456559437090594</v>
      </c>
      <c r="AI79" s="278">
        <v>0.5858190183872376</v>
      </c>
      <c r="AJ79" s="278">
        <v>0.58707305064674542</v>
      </c>
      <c r="AK79" s="278">
        <v>0.58829073393199049</v>
      </c>
      <c r="AL79" s="279">
        <v>0.58942275202293426</v>
      </c>
      <c r="AM79" s="277">
        <v>0.59033820161834738</v>
      </c>
      <c r="AN79" s="278">
        <v>0.5912536512137605</v>
      </c>
      <c r="AO79" s="278">
        <v>0.59216910080917373</v>
      </c>
      <c r="AP79" s="278">
        <v>0.59308455040458685</v>
      </c>
      <c r="AQ79" s="278">
        <v>0.59399999999999997</v>
      </c>
      <c r="AR79" s="278">
        <v>0.59460000000000002</v>
      </c>
      <c r="AS79" s="278">
        <v>0.59519999999999995</v>
      </c>
      <c r="AT79" s="278">
        <v>0.5958</v>
      </c>
      <c r="AU79" s="278">
        <v>0.59639999999999993</v>
      </c>
      <c r="AV79" s="279">
        <v>0.59699999999999998</v>
      </c>
      <c r="AW79" s="277">
        <v>0.59739999999999993</v>
      </c>
      <c r="AX79" s="278">
        <v>0.5978</v>
      </c>
      <c r="AY79" s="278">
        <v>0.59819999999999995</v>
      </c>
      <c r="AZ79" s="278">
        <v>0.59860000000000002</v>
      </c>
      <c r="BA79" s="278">
        <v>0.59899999999999998</v>
      </c>
      <c r="BB79" s="278">
        <v>0.59939999999999993</v>
      </c>
      <c r="BC79" s="278">
        <v>0.5998</v>
      </c>
      <c r="BD79" s="278">
        <v>0.60019999999999996</v>
      </c>
      <c r="BE79" s="278">
        <v>0.60060000000000002</v>
      </c>
      <c r="BF79" s="279">
        <v>0.60099999999999998</v>
      </c>
      <c r="BG79" s="279">
        <f t="shared" si="0"/>
        <v>0.60099999999999998</v>
      </c>
      <c r="BH79" s="237"/>
    </row>
    <row r="80" spans="1:60" ht="13.5" thickBot="1" x14ac:dyDescent="0.25">
      <c r="A80" s="350">
        <v>30</v>
      </c>
      <c r="B80" s="294">
        <v>0.46712707393750558</v>
      </c>
      <c r="C80" s="295">
        <v>0.47270251200124058</v>
      </c>
      <c r="D80" s="295">
        <v>0.47849584168020065</v>
      </c>
      <c r="E80" s="295">
        <v>0.48440669077810139</v>
      </c>
      <c r="F80" s="295">
        <v>0.4900707644797766</v>
      </c>
      <c r="G80" s="295">
        <v>0.49522395907386718</v>
      </c>
      <c r="H80" s="295">
        <v>0.50050025096429496</v>
      </c>
      <c r="I80" s="295">
        <v>0.50572549516281962</v>
      </c>
      <c r="J80" s="296">
        <v>0.51091351303731747</v>
      </c>
      <c r="K80" s="294">
        <v>0.51610812978861154</v>
      </c>
      <c r="L80" s="295">
        <v>0.5189940532235332</v>
      </c>
      <c r="M80" s="295">
        <v>0.52188366743860182</v>
      </c>
      <c r="N80" s="295">
        <v>0.52476734331952868</v>
      </c>
      <c r="O80" s="295">
        <v>0.52765461778697098</v>
      </c>
      <c r="P80" s="295">
        <v>0.53054549823130837</v>
      </c>
      <c r="Q80" s="295">
        <v>0.53343999206316983</v>
      </c>
      <c r="R80" s="295">
        <v>0.53633810671350457</v>
      </c>
      <c r="S80" s="296">
        <v>0.53931612750726488</v>
      </c>
      <c r="T80" s="294">
        <v>0.5423305608232375</v>
      </c>
      <c r="U80" s="295">
        <v>0.54534990628711366</v>
      </c>
      <c r="V80" s="295">
        <v>0.54837417547948253</v>
      </c>
      <c r="W80" s="295">
        <v>0.55140338001736255</v>
      </c>
      <c r="X80" s="295">
        <v>0.55459206088140511</v>
      </c>
      <c r="Y80" s="295">
        <v>0.5563104533644958</v>
      </c>
      <c r="Z80" s="295">
        <v>0.55803224936328744</v>
      </c>
      <c r="AA80" s="295">
        <v>0.55975745693335877</v>
      </c>
      <c r="AB80" s="296">
        <v>0.56148608415573253</v>
      </c>
      <c r="AC80" s="294">
        <v>0.56329705989987611</v>
      </c>
      <c r="AD80" s="295">
        <v>0.56481036367957738</v>
      </c>
      <c r="AE80" s="295">
        <v>0.56632540549835897</v>
      </c>
      <c r="AF80" s="295">
        <v>0.56784218638681216</v>
      </c>
      <c r="AG80" s="295">
        <v>0.56936070737634126</v>
      </c>
      <c r="AH80" s="295">
        <v>0.57062807299293339</v>
      </c>
      <c r="AI80" s="295">
        <v>0.57189609116899875</v>
      </c>
      <c r="AJ80" s="295">
        <v>0.57316476229178359</v>
      </c>
      <c r="AK80" s="295">
        <v>0.57443408674884544</v>
      </c>
      <c r="AL80" s="296">
        <v>0.57557991050386414</v>
      </c>
      <c r="AM80" s="294">
        <v>0.57646392840309135</v>
      </c>
      <c r="AN80" s="295">
        <v>0.57734794630231845</v>
      </c>
      <c r="AO80" s="295">
        <v>0.57823196420154566</v>
      </c>
      <c r="AP80" s="295">
        <v>0.57911598210077275</v>
      </c>
      <c r="AQ80" s="295">
        <v>0.57999999999999996</v>
      </c>
      <c r="AR80" s="295">
        <v>0.5806</v>
      </c>
      <c r="AS80" s="295">
        <v>0.58119999999999994</v>
      </c>
      <c r="AT80" s="295">
        <v>0.58179999999999998</v>
      </c>
      <c r="AU80" s="295">
        <v>0.58239999999999992</v>
      </c>
      <c r="AV80" s="296">
        <v>0.58299999999999996</v>
      </c>
      <c r="AW80" s="294">
        <v>0.58319999999999994</v>
      </c>
      <c r="AX80" s="295">
        <v>0.58339999999999992</v>
      </c>
      <c r="AY80" s="295">
        <v>0.58360000000000001</v>
      </c>
      <c r="AZ80" s="295">
        <v>0.58379999999999999</v>
      </c>
      <c r="BA80" s="295">
        <v>0.58399999999999996</v>
      </c>
      <c r="BB80" s="295">
        <v>0.58399999999999996</v>
      </c>
      <c r="BC80" s="295">
        <v>0.58399999999999996</v>
      </c>
      <c r="BD80" s="295">
        <v>0.58399999999999996</v>
      </c>
      <c r="BE80" s="295">
        <v>0.58399999999999996</v>
      </c>
      <c r="BF80" s="296">
        <v>0.58399999999999996</v>
      </c>
      <c r="BG80" s="296">
        <f t="shared" si="0"/>
        <v>0.58399999999999996</v>
      </c>
      <c r="BH80" s="237"/>
    </row>
    <row r="81" spans="1:60" ht="14.25" thickTop="1" thickBot="1" x14ac:dyDescent="0.25">
      <c r="A81" s="350">
        <f>A80+0.001</f>
        <v>30.001000000000001</v>
      </c>
      <c r="B81" s="294">
        <f>B80</f>
        <v>0.46712707393750558</v>
      </c>
      <c r="C81" s="295">
        <f t="shared" ref="C81:BF81" si="1">C80</f>
        <v>0.47270251200124058</v>
      </c>
      <c r="D81" s="295">
        <f t="shared" si="1"/>
        <v>0.47849584168020065</v>
      </c>
      <c r="E81" s="295">
        <f t="shared" si="1"/>
        <v>0.48440669077810139</v>
      </c>
      <c r="F81" s="295">
        <f t="shared" si="1"/>
        <v>0.4900707644797766</v>
      </c>
      <c r="G81" s="295">
        <f t="shared" si="1"/>
        <v>0.49522395907386718</v>
      </c>
      <c r="H81" s="295">
        <f t="shared" si="1"/>
        <v>0.50050025096429496</v>
      </c>
      <c r="I81" s="295">
        <f t="shared" si="1"/>
        <v>0.50572549516281962</v>
      </c>
      <c r="J81" s="296">
        <f t="shared" si="1"/>
        <v>0.51091351303731747</v>
      </c>
      <c r="K81" s="294">
        <f t="shared" si="1"/>
        <v>0.51610812978861154</v>
      </c>
      <c r="L81" s="295">
        <f t="shared" si="1"/>
        <v>0.5189940532235332</v>
      </c>
      <c r="M81" s="295">
        <f t="shared" si="1"/>
        <v>0.52188366743860182</v>
      </c>
      <c r="N81" s="295">
        <f t="shared" si="1"/>
        <v>0.52476734331952868</v>
      </c>
      <c r="O81" s="295">
        <f t="shared" si="1"/>
        <v>0.52765461778697098</v>
      </c>
      <c r="P81" s="295">
        <f t="shared" si="1"/>
        <v>0.53054549823130837</v>
      </c>
      <c r="Q81" s="295">
        <f t="shared" si="1"/>
        <v>0.53343999206316983</v>
      </c>
      <c r="R81" s="295">
        <f t="shared" si="1"/>
        <v>0.53633810671350457</v>
      </c>
      <c r="S81" s="296">
        <f t="shared" si="1"/>
        <v>0.53931612750726488</v>
      </c>
      <c r="T81" s="294">
        <f t="shared" si="1"/>
        <v>0.5423305608232375</v>
      </c>
      <c r="U81" s="295">
        <f t="shared" si="1"/>
        <v>0.54534990628711366</v>
      </c>
      <c r="V81" s="295">
        <f t="shared" si="1"/>
        <v>0.54837417547948253</v>
      </c>
      <c r="W81" s="295">
        <f t="shared" si="1"/>
        <v>0.55140338001736255</v>
      </c>
      <c r="X81" s="295">
        <f t="shared" si="1"/>
        <v>0.55459206088140511</v>
      </c>
      <c r="Y81" s="295">
        <f t="shared" si="1"/>
        <v>0.5563104533644958</v>
      </c>
      <c r="Z81" s="295">
        <f t="shared" si="1"/>
        <v>0.55803224936328744</v>
      </c>
      <c r="AA81" s="295">
        <f t="shared" si="1"/>
        <v>0.55975745693335877</v>
      </c>
      <c r="AB81" s="296">
        <f t="shared" si="1"/>
        <v>0.56148608415573253</v>
      </c>
      <c r="AC81" s="294">
        <f t="shared" si="1"/>
        <v>0.56329705989987611</v>
      </c>
      <c r="AD81" s="295">
        <f t="shared" si="1"/>
        <v>0.56481036367957738</v>
      </c>
      <c r="AE81" s="295">
        <f t="shared" si="1"/>
        <v>0.56632540549835897</v>
      </c>
      <c r="AF81" s="295">
        <f t="shared" si="1"/>
        <v>0.56784218638681216</v>
      </c>
      <c r="AG81" s="295">
        <f t="shared" si="1"/>
        <v>0.56936070737634126</v>
      </c>
      <c r="AH81" s="295">
        <f t="shared" si="1"/>
        <v>0.57062807299293339</v>
      </c>
      <c r="AI81" s="295">
        <f t="shared" si="1"/>
        <v>0.57189609116899875</v>
      </c>
      <c r="AJ81" s="295">
        <f t="shared" si="1"/>
        <v>0.57316476229178359</v>
      </c>
      <c r="AK81" s="295">
        <f t="shared" si="1"/>
        <v>0.57443408674884544</v>
      </c>
      <c r="AL81" s="296">
        <f t="shared" si="1"/>
        <v>0.57557991050386414</v>
      </c>
      <c r="AM81" s="294">
        <f t="shared" si="1"/>
        <v>0.57646392840309135</v>
      </c>
      <c r="AN81" s="295">
        <f t="shared" si="1"/>
        <v>0.57734794630231845</v>
      </c>
      <c r="AO81" s="295">
        <f t="shared" si="1"/>
        <v>0.57823196420154566</v>
      </c>
      <c r="AP81" s="295">
        <f t="shared" si="1"/>
        <v>0.57911598210077275</v>
      </c>
      <c r="AQ81" s="295">
        <f t="shared" si="1"/>
        <v>0.57999999999999996</v>
      </c>
      <c r="AR81" s="295">
        <f t="shared" si="1"/>
        <v>0.5806</v>
      </c>
      <c r="AS81" s="295">
        <f t="shared" si="1"/>
        <v>0.58119999999999994</v>
      </c>
      <c r="AT81" s="295">
        <f t="shared" si="1"/>
        <v>0.58179999999999998</v>
      </c>
      <c r="AU81" s="295">
        <f t="shared" si="1"/>
        <v>0.58239999999999992</v>
      </c>
      <c r="AV81" s="296">
        <f t="shared" si="1"/>
        <v>0.58299999999999996</v>
      </c>
      <c r="AW81" s="294">
        <f t="shared" si="1"/>
        <v>0.58319999999999994</v>
      </c>
      <c r="AX81" s="295">
        <f t="shared" si="1"/>
        <v>0.58339999999999992</v>
      </c>
      <c r="AY81" s="295">
        <f t="shared" si="1"/>
        <v>0.58360000000000001</v>
      </c>
      <c r="AZ81" s="295">
        <f t="shared" si="1"/>
        <v>0.58379999999999999</v>
      </c>
      <c r="BA81" s="295">
        <f t="shared" si="1"/>
        <v>0.58399999999999996</v>
      </c>
      <c r="BB81" s="295">
        <f t="shared" si="1"/>
        <v>0.58399999999999996</v>
      </c>
      <c r="BC81" s="295">
        <f t="shared" si="1"/>
        <v>0.58399999999999996</v>
      </c>
      <c r="BD81" s="295">
        <f t="shared" si="1"/>
        <v>0.58399999999999996</v>
      </c>
      <c r="BE81" s="295">
        <f t="shared" si="1"/>
        <v>0.58399999999999996</v>
      </c>
      <c r="BF81" s="296">
        <f t="shared" si="1"/>
        <v>0.58399999999999996</v>
      </c>
      <c r="BG81" s="296">
        <f>BF80</f>
        <v>0.58399999999999996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8"/>
      <c r="B85" s="699" t="s">
        <v>28</v>
      </c>
      <c r="C85" s="700"/>
      <c r="D85" s="700"/>
      <c r="E85" s="700"/>
      <c r="F85" s="700"/>
      <c r="G85" s="700"/>
      <c r="H85" s="700"/>
      <c r="I85" s="700"/>
      <c r="J85" s="700"/>
      <c r="K85" s="328"/>
      <c r="L85" s="328"/>
      <c r="M85" s="328"/>
      <c r="N85" s="328"/>
      <c r="O85" s="328"/>
      <c r="P85" s="328"/>
      <c r="Q85" s="328"/>
      <c r="R85" s="328"/>
      <c r="S85" s="328"/>
      <c r="T85" s="328"/>
      <c r="U85" s="328"/>
      <c r="V85" s="328"/>
      <c r="W85" s="328"/>
      <c r="X85" s="328"/>
      <c r="Y85" s="328"/>
      <c r="Z85" s="328"/>
      <c r="AA85" s="328"/>
      <c r="AB85" s="328"/>
      <c r="AC85" s="328"/>
      <c r="AD85" s="328"/>
      <c r="AE85" s="328"/>
      <c r="AF85" s="328"/>
      <c r="AG85" s="328"/>
      <c r="AH85" s="328"/>
      <c r="AI85" s="328"/>
      <c r="AJ85" s="328"/>
      <c r="AK85" s="328"/>
      <c r="AL85" s="328"/>
      <c r="AM85" s="328"/>
      <c r="AN85" s="299"/>
    </row>
    <row r="86" spans="1:60" ht="14.25" thickTop="1" thickBot="1" x14ac:dyDescent="0.25">
      <c r="A86" s="351"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2">
        <v>4</v>
      </c>
      <c r="B87" s="304">
        <v>0.91800000000000004</v>
      </c>
      <c r="C87" s="304">
        <v>0.92900000000000005</v>
      </c>
      <c r="D87" s="304">
        <v>0.93677568604640005</v>
      </c>
      <c r="E87" s="304">
        <v>0.94199999999999995</v>
      </c>
      <c r="F87" s="304">
        <v>0.94830337999360004</v>
      </c>
      <c r="G87" s="304">
        <v>0.95211934311949997</v>
      </c>
      <c r="H87" s="304">
        <v>0.95499999999999996</v>
      </c>
      <c r="I87" s="304">
        <v>0.9575065264489</v>
      </c>
      <c r="J87" s="305">
        <v>0.95952237367039994</v>
      </c>
      <c r="K87" s="304">
        <v>0.9612874825590999</v>
      </c>
      <c r="L87" s="304">
        <v>0.96289545359200002</v>
      </c>
      <c r="M87" s="304">
        <v>0.96499999999999997</v>
      </c>
      <c r="N87" s="304">
        <v>0.96584510640639998</v>
      </c>
      <c r="O87" s="304">
        <v>0.96722723836989999</v>
      </c>
      <c r="P87" s="304">
        <v>0.96854639276959986</v>
      </c>
      <c r="Q87" s="304">
        <v>0.96978919909450001</v>
      </c>
      <c r="R87" s="304">
        <v>0.97099999999999997</v>
      </c>
      <c r="S87" s="305">
        <v>0.9719755723439002</v>
      </c>
      <c r="T87" s="304">
        <v>0.97288691081439971</v>
      </c>
      <c r="U87" s="304">
        <v>0.97366317015010029</v>
      </c>
      <c r="V87" s="304">
        <v>0.9743026699520001</v>
      </c>
      <c r="W87" s="304">
        <v>0.97481201968750009</v>
      </c>
      <c r="X87" s="304">
        <v>0.97520634468639966</v>
      </c>
      <c r="Y87" s="304">
        <v>0.97550875872890108</v>
      </c>
      <c r="Z87" s="304">
        <v>0.97574908322559983</v>
      </c>
      <c r="AA87" s="304">
        <v>0.9759618129894998</v>
      </c>
      <c r="AB87" s="305">
        <v>0.97699999999999998</v>
      </c>
      <c r="AC87" s="304">
        <v>0.97653710572699981</v>
      </c>
      <c r="AD87" s="304">
        <v>0.97678566883840023</v>
      </c>
      <c r="AE87" s="304">
        <v>0.97721304702110046</v>
      </c>
      <c r="AF87" s="304">
        <v>0.97773146903199981</v>
      </c>
      <c r="AG87" s="304">
        <v>0.9781347338999995</v>
      </c>
      <c r="AH87" s="304">
        <v>0.97870360705279924</v>
      </c>
      <c r="AI87" s="304">
        <v>0.97919131172700125</v>
      </c>
      <c r="AJ87" s="304">
        <v>0.97945796692320219</v>
      </c>
      <c r="AK87" s="304">
        <v>0.97930653602840056</v>
      </c>
      <c r="AL87" s="305">
        <v>0.97899999999999998</v>
      </c>
      <c r="AM87" s="305">
        <f>AL87</f>
        <v>0.97899999999999998</v>
      </c>
      <c r="AN87" s="299"/>
    </row>
    <row r="88" spans="1:60" x14ac:dyDescent="0.2">
      <c r="A88" s="353">
        <v>5</v>
      </c>
      <c r="B88" s="307">
        <v>0.92800000000000005</v>
      </c>
      <c r="C88" s="307">
        <v>0.93899999999999995</v>
      </c>
      <c r="D88" s="307">
        <v>0.94858853440000002</v>
      </c>
      <c r="E88" s="307">
        <v>0.95499999999999996</v>
      </c>
      <c r="F88" s="307">
        <v>0.96162192696320004</v>
      </c>
      <c r="G88" s="307">
        <v>0.96595608715089998</v>
      </c>
      <c r="H88" s="307">
        <v>0.96899999999999997</v>
      </c>
      <c r="I88" s="307">
        <v>0.97213211220350004</v>
      </c>
      <c r="J88" s="308">
        <v>0.97447408992639994</v>
      </c>
      <c r="K88" s="307">
        <v>0.97654255083370001</v>
      </c>
      <c r="L88" s="307">
        <v>0.97843990346240006</v>
      </c>
      <c r="M88" s="307">
        <v>0.98099999999999998</v>
      </c>
      <c r="N88" s="307">
        <v>0.98193866003199992</v>
      </c>
      <c r="O88" s="307">
        <v>0.98357889257090003</v>
      </c>
      <c r="P88" s="307">
        <v>0.98514110417919976</v>
      </c>
      <c r="Q88" s="307">
        <v>0.9866080053738997</v>
      </c>
      <c r="R88" s="307">
        <v>0.98799999999999999</v>
      </c>
      <c r="S88" s="308">
        <v>0.98917171601050013</v>
      </c>
      <c r="T88" s="307">
        <v>0.99023182359039985</v>
      </c>
      <c r="U88" s="307">
        <v>0.99112972062469995</v>
      </c>
      <c r="V88" s="307">
        <v>0.99186550551039943</v>
      </c>
      <c r="W88" s="307">
        <v>0.99244938531249971</v>
      </c>
      <c r="X88" s="307">
        <v>0.99290180326399913</v>
      </c>
      <c r="Y88" s="307">
        <v>0.99325267360990077</v>
      </c>
      <c r="Z88" s="307">
        <v>0.9935397237951995</v>
      </c>
      <c r="AA88" s="307">
        <v>0.99380594399689892</v>
      </c>
      <c r="AB88" s="308">
        <v>0.995</v>
      </c>
      <c r="AC88" s="307">
        <v>0.99455854527619936</v>
      </c>
      <c r="AD88" s="307">
        <v>0.99490991325439948</v>
      </c>
      <c r="AE88" s="307">
        <v>0.99548871481570034</v>
      </c>
      <c r="AF88" s="307">
        <v>0.99618882595839997</v>
      </c>
      <c r="AG88" s="307">
        <v>0.99649281124999733</v>
      </c>
      <c r="AH88" s="307">
        <v>0.99723712865919767</v>
      </c>
      <c r="AI88" s="307">
        <v>0.99788468184879564</v>
      </c>
      <c r="AJ88" s="307">
        <v>0.99826302274879497</v>
      </c>
      <c r="AK88" s="307">
        <v>0.99813032396919832</v>
      </c>
      <c r="AL88" s="308">
        <v>0.998</v>
      </c>
      <c r="AM88" s="308">
        <f t="shared" ref="AM88:AM123" si="2">AL88</f>
        <v>0.998</v>
      </c>
      <c r="AN88" s="299"/>
    </row>
    <row r="89" spans="1:60" x14ac:dyDescent="0.2">
      <c r="A89" s="352">
        <v>6</v>
      </c>
      <c r="B89" s="304">
        <v>0.93250000000000011</v>
      </c>
      <c r="C89" s="304">
        <v>0.9444999999999999</v>
      </c>
      <c r="D89" s="304">
        <v>0.95482680319440005</v>
      </c>
      <c r="E89" s="304">
        <v>0.96199999999999997</v>
      </c>
      <c r="F89" s="304">
        <v>0.96934459000320006</v>
      </c>
      <c r="G89" s="304">
        <v>0.97432260347819999</v>
      </c>
      <c r="H89" s="304">
        <v>0.97799999999999998</v>
      </c>
      <c r="I89" s="304">
        <v>0.98154027339990002</v>
      </c>
      <c r="J89" s="305">
        <v>0.98427802522559993</v>
      </c>
      <c r="K89" s="304">
        <v>0.98666467873520003</v>
      </c>
      <c r="L89" s="304">
        <v>0.98881076813520008</v>
      </c>
      <c r="M89" s="304">
        <v>0.99150000000000005</v>
      </c>
      <c r="N89" s="304">
        <v>0.9926398983104</v>
      </c>
      <c r="O89" s="304">
        <v>0.9943844287985999</v>
      </c>
      <c r="P89" s="304">
        <v>0.99602545728719982</v>
      </c>
      <c r="Q89" s="304">
        <v>0.99755618733469986</v>
      </c>
      <c r="R89" s="304">
        <v>0.999</v>
      </c>
      <c r="S89" s="305">
        <v>1.0002381547884001</v>
      </c>
      <c r="T89" s="304">
        <v>1.0013663433415998</v>
      </c>
      <c r="U89" s="304">
        <v>1.0023442458717002</v>
      </c>
      <c r="V89" s="304">
        <v>1.0031739403391997</v>
      </c>
      <c r="W89" s="304">
        <v>1.003865654375</v>
      </c>
      <c r="X89" s="304">
        <v>1.0044380299463993</v>
      </c>
      <c r="Y89" s="304">
        <v>1.0049175907671006</v>
      </c>
      <c r="Z89" s="304">
        <v>1.0053374124511998</v>
      </c>
      <c r="AA89" s="304">
        <v>1.0057349954111992</v>
      </c>
      <c r="AB89" s="305">
        <v>1.0069999999999999</v>
      </c>
      <c r="AC89" s="304">
        <v>1.0066701913262497</v>
      </c>
      <c r="AD89" s="304">
        <v>1.0071686957375996</v>
      </c>
      <c r="AE89" s="304">
        <v>1.0078217289881999</v>
      </c>
      <c r="AF89" s="304">
        <v>1.008576141063199</v>
      </c>
      <c r="AG89" s="304">
        <v>1.0091624389687488</v>
      </c>
      <c r="AH89" s="304">
        <v>1.0099740807839988</v>
      </c>
      <c r="AI89" s="304">
        <v>1.0107000925155478</v>
      </c>
      <c r="AJ89" s="304">
        <v>1.0111901591639969</v>
      </c>
      <c r="AK89" s="304">
        <v>1.0112332497823491</v>
      </c>
      <c r="AL89" s="305">
        <v>1.0110000000000001</v>
      </c>
      <c r="AM89" s="305">
        <f t="shared" si="2"/>
        <v>1.0110000000000001</v>
      </c>
      <c r="AN89" s="299"/>
    </row>
    <row r="90" spans="1:60" x14ac:dyDescent="0.2">
      <c r="A90" s="352">
        <v>7</v>
      </c>
      <c r="B90" s="304">
        <v>0.93700000000000006</v>
      </c>
      <c r="C90" s="304">
        <v>0.95</v>
      </c>
      <c r="D90" s="304">
        <v>0.96106507198879998</v>
      </c>
      <c r="E90" s="304">
        <v>0.96899999999999997</v>
      </c>
      <c r="F90" s="304">
        <v>0.97706725304319997</v>
      </c>
      <c r="G90" s="304">
        <v>0.98268911980549989</v>
      </c>
      <c r="H90" s="304">
        <v>0.98699999999999999</v>
      </c>
      <c r="I90" s="304">
        <v>0.9909484345963</v>
      </c>
      <c r="J90" s="305">
        <v>0.99408196052479991</v>
      </c>
      <c r="K90" s="304">
        <v>0.99678680663669994</v>
      </c>
      <c r="L90" s="304">
        <v>0.9991816328080001</v>
      </c>
      <c r="M90" s="304">
        <v>1.002</v>
      </c>
      <c r="N90" s="304">
        <v>1.0033411365888001</v>
      </c>
      <c r="O90" s="304">
        <v>1.0051899650262999</v>
      </c>
      <c r="P90" s="304">
        <v>1.0069098103951999</v>
      </c>
      <c r="Q90" s="304">
        <v>1.0085043692955</v>
      </c>
      <c r="R90" s="304">
        <v>1.01</v>
      </c>
      <c r="S90" s="305">
        <v>1.0113045935662999</v>
      </c>
      <c r="T90" s="304">
        <v>1.0125008630927996</v>
      </c>
      <c r="U90" s="304">
        <v>1.0135587711187004</v>
      </c>
      <c r="V90" s="304">
        <v>1.0144823751680001</v>
      </c>
      <c r="W90" s="304">
        <v>1.0152819234375001</v>
      </c>
      <c r="X90" s="304">
        <v>1.0159742566287995</v>
      </c>
      <c r="Y90" s="304">
        <v>1.0165825079243005</v>
      </c>
      <c r="Z90" s="304">
        <v>1.0171351011072003</v>
      </c>
      <c r="AA90" s="304">
        <v>1.0176640468254996</v>
      </c>
      <c r="AB90" s="305">
        <v>1.0189999999999999</v>
      </c>
      <c r="AC90" s="304">
        <v>1.0187818373763</v>
      </c>
      <c r="AD90" s="304">
        <v>1.0194274782207997</v>
      </c>
      <c r="AE90" s="304">
        <v>1.0201547431606994</v>
      </c>
      <c r="AF90" s="304">
        <v>1.0209634561679983</v>
      </c>
      <c r="AG90" s="304">
        <v>1.0218320666875005</v>
      </c>
      <c r="AH90" s="304">
        <v>1.0227110329088001</v>
      </c>
      <c r="AI90" s="304">
        <v>1.0235155031823</v>
      </c>
      <c r="AJ90" s="304">
        <v>1.0241172955791988</v>
      </c>
      <c r="AK90" s="304">
        <v>1.0243361755954998</v>
      </c>
      <c r="AL90" s="305">
        <v>1.024</v>
      </c>
      <c r="AM90" s="305">
        <f t="shared" si="2"/>
        <v>1.024</v>
      </c>
      <c r="AN90" s="299"/>
    </row>
    <row r="91" spans="1:60" x14ac:dyDescent="0.2">
      <c r="A91" s="352">
        <v>8</v>
      </c>
      <c r="B91" s="304">
        <v>0.93933333333333335</v>
      </c>
      <c r="C91" s="304">
        <v>0.95299999999999996</v>
      </c>
      <c r="D91" s="304">
        <v>0.96438491077973332</v>
      </c>
      <c r="E91" s="304">
        <v>0.97266666666666668</v>
      </c>
      <c r="F91" s="304">
        <v>0.98101140000853326</v>
      </c>
      <c r="G91" s="304">
        <v>0.98688916342673327</v>
      </c>
      <c r="H91" s="304">
        <v>0.99133333333333329</v>
      </c>
      <c r="I91" s="304">
        <v>0.99562104305873333</v>
      </c>
      <c r="J91" s="305">
        <v>0.99898627341653323</v>
      </c>
      <c r="K91" s="304">
        <v>1.0019238739995333</v>
      </c>
      <c r="L91" s="304">
        <v>1.0045522933077333</v>
      </c>
      <c r="M91" s="304">
        <v>1.0076666666666667</v>
      </c>
      <c r="N91" s="304">
        <v>1.0091722392277334</v>
      </c>
      <c r="O91" s="304">
        <v>1.0112408321755333</v>
      </c>
      <c r="P91" s="304">
        <v>1.0131681186005332</v>
      </c>
      <c r="Q91" s="304">
        <v>1.0149539425787333</v>
      </c>
      <c r="R91" s="304">
        <v>1.0166666666666666</v>
      </c>
      <c r="S91" s="305">
        <v>1.0180757171867332</v>
      </c>
      <c r="T91" s="304">
        <v>1.019398238344533</v>
      </c>
      <c r="U91" s="304">
        <v>1.0205584685115336</v>
      </c>
      <c r="V91" s="304">
        <v>1.0215612253397333</v>
      </c>
      <c r="W91" s="304">
        <v>1.0224186677083336</v>
      </c>
      <c r="X91" s="304">
        <v>1.0231506118357332</v>
      </c>
      <c r="Y91" s="304">
        <v>1.0237840762235337</v>
      </c>
      <c r="Z91" s="304">
        <v>1.0243520554325336</v>
      </c>
      <c r="AA91" s="304">
        <v>1.0248915226907331</v>
      </c>
      <c r="AB91" s="305">
        <v>1.0263333333333333</v>
      </c>
      <c r="AC91" s="304">
        <v>1.0260353250747334</v>
      </c>
      <c r="AD91" s="304">
        <v>1.0267047271125329</v>
      </c>
      <c r="AE91" s="304">
        <v>1.0274663580635326</v>
      </c>
      <c r="AF91" s="304">
        <v>1.0281141588095988</v>
      </c>
      <c r="AG91" s="304">
        <v>1.0289966636249996</v>
      </c>
      <c r="AH91" s="304">
        <v>1.0298851381589338</v>
      </c>
      <c r="AI91" s="304">
        <v>1.0306832224570004</v>
      </c>
      <c r="AJ91" s="304">
        <v>1.0312457939199993</v>
      </c>
      <c r="AK91" s="304">
        <v>1.0315737629123323</v>
      </c>
      <c r="AL91" s="305">
        <v>1.0313333333333334</v>
      </c>
      <c r="AM91" s="305">
        <f t="shared" si="2"/>
        <v>1.0313333333333334</v>
      </c>
      <c r="AN91" s="299"/>
    </row>
    <row r="92" spans="1:60" x14ac:dyDescent="0.2">
      <c r="A92" s="352">
        <v>9</v>
      </c>
      <c r="B92" s="304">
        <v>0.94166666666666665</v>
      </c>
      <c r="C92" s="304">
        <v>0.95599999999999996</v>
      </c>
      <c r="D92" s="304">
        <v>0.96770474957066666</v>
      </c>
      <c r="E92" s="304">
        <v>0.97633333333333328</v>
      </c>
      <c r="F92" s="304">
        <v>0.98495554697386667</v>
      </c>
      <c r="G92" s="304">
        <v>0.99108920704796655</v>
      </c>
      <c r="H92" s="304">
        <v>0.9956666666666667</v>
      </c>
      <c r="I92" s="304">
        <v>1.0002936515211667</v>
      </c>
      <c r="J92" s="305">
        <v>1.0038905863082666</v>
      </c>
      <c r="K92" s="304">
        <v>1.0070609413623666</v>
      </c>
      <c r="L92" s="304">
        <v>1.0099229538074668</v>
      </c>
      <c r="M92" s="304">
        <v>1.0133333333333332</v>
      </c>
      <c r="N92" s="304">
        <v>1.0150033418666666</v>
      </c>
      <c r="O92" s="304">
        <v>1.0172916993247665</v>
      </c>
      <c r="P92" s="304">
        <v>1.0194264268058668</v>
      </c>
      <c r="Q92" s="304">
        <v>1.0214035158619668</v>
      </c>
      <c r="R92" s="304">
        <v>1.0233333333333334</v>
      </c>
      <c r="S92" s="305">
        <v>1.0248468408071663</v>
      </c>
      <c r="T92" s="304">
        <v>1.0262956135962662</v>
      </c>
      <c r="U92" s="304">
        <v>1.0275581659043667</v>
      </c>
      <c r="V92" s="304">
        <v>1.0286400755114662</v>
      </c>
      <c r="W92" s="304">
        <v>1.029555411979167</v>
      </c>
      <c r="X92" s="304">
        <v>1.0303269670426667</v>
      </c>
      <c r="Y92" s="304">
        <v>1.0309856445227668</v>
      </c>
      <c r="Z92" s="304">
        <v>1.0315690097578667</v>
      </c>
      <c r="AA92" s="304">
        <v>1.0321189985559667</v>
      </c>
      <c r="AB92" s="305">
        <v>1.0336666666666665</v>
      </c>
      <c r="AC92" s="304">
        <v>1.0332888127731668</v>
      </c>
      <c r="AD92" s="304">
        <v>1.0339819760042659</v>
      </c>
      <c r="AE92" s="304">
        <v>1.0347779729663655</v>
      </c>
      <c r="AF92" s="304">
        <v>1.0352648614511992</v>
      </c>
      <c r="AG92" s="304">
        <v>1.0361612605624988</v>
      </c>
      <c r="AH92" s="304">
        <v>1.0370592434090673</v>
      </c>
      <c r="AI92" s="304">
        <v>1.0378509417317008</v>
      </c>
      <c r="AJ92" s="304">
        <v>1.0383742922607997</v>
      </c>
      <c r="AK92" s="304">
        <v>1.0388113502291647</v>
      </c>
      <c r="AL92" s="305">
        <v>1.0386666666666666</v>
      </c>
      <c r="AM92" s="305">
        <f t="shared" si="2"/>
        <v>1.0386666666666666</v>
      </c>
      <c r="AN92" s="299"/>
    </row>
    <row r="93" spans="1:60" x14ac:dyDescent="0.2">
      <c r="A93" s="353">
        <v>10</v>
      </c>
      <c r="B93" s="307">
        <v>0.94399999999999995</v>
      </c>
      <c r="C93" s="307">
        <v>0.95899999999999996</v>
      </c>
      <c r="D93" s="307">
        <v>0.97102458836159999</v>
      </c>
      <c r="E93" s="307">
        <v>0.98</v>
      </c>
      <c r="F93" s="307">
        <v>0.98889969393919996</v>
      </c>
      <c r="G93" s="307">
        <v>0.99528925066919993</v>
      </c>
      <c r="H93" s="307">
        <v>1</v>
      </c>
      <c r="I93" s="307">
        <v>1.0049662599836</v>
      </c>
      <c r="J93" s="308">
        <v>1.0087948991999998</v>
      </c>
      <c r="K93" s="307">
        <v>1.0121980087251998</v>
      </c>
      <c r="L93" s="307">
        <v>1.0152936143072</v>
      </c>
      <c r="M93" s="307">
        <v>1.0189999999999999</v>
      </c>
      <c r="N93" s="307">
        <v>1.0208344445055999</v>
      </c>
      <c r="O93" s="307">
        <v>1.0233425664739999</v>
      </c>
      <c r="P93" s="307">
        <v>1.0256847350112002</v>
      </c>
      <c r="Q93" s="307">
        <v>1.0278530891452</v>
      </c>
      <c r="R93" s="307">
        <v>1.03</v>
      </c>
      <c r="S93" s="308">
        <v>1.0316179644275996</v>
      </c>
      <c r="T93" s="307">
        <v>1.0331929888479996</v>
      </c>
      <c r="U93" s="307">
        <v>1.0345578632971999</v>
      </c>
      <c r="V93" s="307">
        <v>1.0357189256831993</v>
      </c>
      <c r="W93" s="307">
        <v>1.0366921562500004</v>
      </c>
      <c r="X93" s="307">
        <v>1.0375033222496004</v>
      </c>
      <c r="Y93" s="307">
        <v>1.038187212822</v>
      </c>
      <c r="Z93" s="307">
        <v>1.0387859640832</v>
      </c>
      <c r="AA93" s="307">
        <v>1.0393464744212002</v>
      </c>
      <c r="AB93" s="308">
        <v>1.0409999999999999</v>
      </c>
      <c r="AC93" s="307">
        <v>1.0405423004716001</v>
      </c>
      <c r="AD93" s="307">
        <v>1.0412592248959991</v>
      </c>
      <c r="AE93" s="307">
        <v>1.0420895878691987</v>
      </c>
      <c r="AF93" s="307">
        <v>1.0424155640927997</v>
      </c>
      <c r="AG93" s="307">
        <v>1.043325857499998</v>
      </c>
      <c r="AH93" s="307">
        <v>1.044233348659201</v>
      </c>
      <c r="AI93" s="307">
        <v>1.0450186610064012</v>
      </c>
      <c r="AJ93" s="307">
        <v>1.0455027906016001</v>
      </c>
      <c r="AK93" s="307">
        <v>1.0460489375459971</v>
      </c>
      <c r="AL93" s="308">
        <v>1.046</v>
      </c>
      <c r="AM93" s="308">
        <f t="shared" si="2"/>
        <v>1.046</v>
      </c>
      <c r="AN93" s="299"/>
    </row>
    <row r="94" spans="1:60" x14ac:dyDescent="0.2">
      <c r="A94" s="352">
        <v>11</v>
      </c>
      <c r="B94" s="304">
        <v>0.94519999999999993</v>
      </c>
      <c r="C94" s="304">
        <v>0.96039999999999992</v>
      </c>
      <c r="D94" s="304">
        <v>0.97263853165215997</v>
      </c>
      <c r="E94" s="304">
        <v>0.98180000000000001</v>
      </c>
      <c r="F94" s="304">
        <v>0.99101804476928002</v>
      </c>
      <c r="G94" s="304">
        <v>0.99764153215263995</v>
      </c>
      <c r="H94" s="304">
        <v>1.0025999999999999</v>
      </c>
      <c r="I94" s="304">
        <v>1.00771092820316</v>
      </c>
      <c r="J94" s="305">
        <v>1.0116926190899198</v>
      </c>
      <c r="K94" s="304">
        <v>1.0152205431392798</v>
      </c>
      <c r="L94" s="304">
        <v>1.0184153435446399</v>
      </c>
      <c r="M94" s="304">
        <v>1.0222</v>
      </c>
      <c r="N94" s="304">
        <v>1.0240935090841599</v>
      </c>
      <c r="O94" s="304">
        <v>1.02664902911792</v>
      </c>
      <c r="P94" s="304">
        <v>1.0290307413692801</v>
      </c>
      <c r="Q94" s="304">
        <v>1.03123517573164</v>
      </c>
      <c r="R94" s="304">
        <v>1.0334000000000001</v>
      </c>
      <c r="S94" s="305">
        <v>1.0350762863701597</v>
      </c>
      <c r="T94" s="304">
        <v>1.0366966417859196</v>
      </c>
      <c r="U94" s="304">
        <v>1.0381135221342799</v>
      </c>
      <c r="V94" s="304">
        <v>1.0393334102886396</v>
      </c>
      <c r="W94" s="304">
        <v>1.0403714500000005</v>
      </c>
      <c r="X94" s="304">
        <v>1.0412516716361604</v>
      </c>
      <c r="Y94" s="304">
        <v>1.0420063617689199</v>
      </c>
      <c r="Z94" s="304">
        <v>1.0426745766092802</v>
      </c>
      <c r="AA94" s="304">
        <v>1.0432997992906401</v>
      </c>
      <c r="AB94" s="305">
        <v>1.0449999999999999</v>
      </c>
      <c r="AC94" s="304">
        <v>1.0445972859571602</v>
      </c>
      <c r="AD94" s="304">
        <v>1.0453455802419194</v>
      </c>
      <c r="AE94" s="304">
        <v>1.0461922644692794</v>
      </c>
      <c r="AF94" s="304">
        <v>1.04664351289952</v>
      </c>
      <c r="AG94" s="304">
        <v>1.0475669958749985</v>
      </c>
      <c r="AH94" s="304">
        <v>1.0484848245606408</v>
      </c>
      <c r="AI94" s="304">
        <v>1.0492871024290409</v>
      </c>
      <c r="AJ94" s="304">
        <v>1.0498085992464004</v>
      </c>
      <c r="AK94" s="304">
        <v>1.050308658068678</v>
      </c>
      <c r="AL94" s="305">
        <v>1.0502</v>
      </c>
      <c r="AM94" s="305">
        <f t="shared" si="2"/>
        <v>1.0502</v>
      </c>
      <c r="AN94" s="299"/>
    </row>
    <row r="95" spans="1:60" x14ac:dyDescent="0.2">
      <c r="A95" s="352">
        <v>12</v>
      </c>
      <c r="B95" s="304">
        <v>0.94639999999999991</v>
      </c>
      <c r="C95" s="304">
        <v>0.96179999999999999</v>
      </c>
      <c r="D95" s="304">
        <v>0.97425247494272005</v>
      </c>
      <c r="E95" s="304">
        <v>0.98360000000000003</v>
      </c>
      <c r="F95" s="304">
        <v>0.99313639559935996</v>
      </c>
      <c r="G95" s="304">
        <v>0.99999381363607998</v>
      </c>
      <c r="H95" s="304">
        <v>1.0051999999999999</v>
      </c>
      <c r="I95" s="304">
        <v>1.01045559642272</v>
      </c>
      <c r="J95" s="305">
        <v>1.0145903389798399</v>
      </c>
      <c r="K95" s="304">
        <v>1.01824307755336</v>
      </c>
      <c r="L95" s="304">
        <v>1.0215370727820801</v>
      </c>
      <c r="M95" s="304">
        <v>1.0253999999999999</v>
      </c>
      <c r="N95" s="304">
        <v>1.02735257366272</v>
      </c>
      <c r="O95" s="304">
        <v>1.0299554917618401</v>
      </c>
      <c r="P95" s="304">
        <v>1.0323767477273602</v>
      </c>
      <c r="Q95" s="304">
        <v>1.03461726231808</v>
      </c>
      <c r="R95" s="304">
        <v>1.0367999999999999</v>
      </c>
      <c r="S95" s="305">
        <v>1.0385346083127198</v>
      </c>
      <c r="T95" s="304">
        <v>1.0402002947238398</v>
      </c>
      <c r="U95" s="304">
        <v>1.0416691809713599</v>
      </c>
      <c r="V95" s="304">
        <v>1.0429478948940798</v>
      </c>
      <c r="W95" s="304">
        <v>1.0440507437500006</v>
      </c>
      <c r="X95" s="304">
        <v>1.0450000210227204</v>
      </c>
      <c r="Y95" s="304">
        <v>1.0458255107158398</v>
      </c>
      <c r="Z95" s="304">
        <v>1.0465631891353602</v>
      </c>
      <c r="AA95" s="304">
        <v>1.04725312416008</v>
      </c>
      <c r="AB95" s="305">
        <v>1.0489999999999999</v>
      </c>
      <c r="AC95" s="304">
        <v>1.0486522714427202</v>
      </c>
      <c r="AD95" s="304">
        <v>1.0494319355878396</v>
      </c>
      <c r="AE95" s="304">
        <v>1.0502949410693598</v>
      </c>
      <c r="AF95" s="304">
        <v>1.0508714617062402</v>
      </c>
      <c r="AG95" s="304">
        <v>1.0518081342499987</v>
      </c>
      <c r="AH95" s="304">
        <v>1.0527363004620809</v>
      </c>
      <c r="AI95" s="304">
        <v>1.0535555438516804</v>
      </c>
      <c r="AJ95" s="304">
        <v>1.0541144078912006</v>
      </c>
      <c r="AK95" s="304">
        <v>1.0545683785913589</v>
      </c>
      <c r="AL95" s="305">
        <v>1.0544</v>
      </c>
      <c r="AM95" s="305">
        <f t="shared" si="2"/>
        <v>1.0544</v>
      </c>
      <c r="AN95" s="299"/>
    </row>
    <row r="96" spans="1:60" x14ac:dyDescent="0.2">
      <c r="A96" s="352">
        <v>13</v>
      </c>
      <c r="B96" s="304">
        <v>0.9476</v>
      </c>
      <c r="C96" s="304">
        <v>0.96319999999999995</v>
      </c>
      <c r="D96" s="304">
        <v>0.97586641823328002</v>
      </c>
      <c r="E96" s="304">
        <v>0.98539999999999994</v>
      </c>
      <c r="F96" s="304">
        <v>0.99525474642944001</v>
      </c>
      <c r="G96" s="304">
        <v>1.00234609511952</v>
      </c>
      <c r="H96" s="304">
        <v>1.0078</v>
      </c>
      <c r="I96" s="304">
        <v>1.01320026464228</v>
      </c>
      <c r="J96" s="305">
        <v>1.0174880588697599</v>
      </c>
      <c r="K96" s="304">
        <v>1.0212656119674399</v>
      </c>
      <c r="L96" s="304">
        <v>1.02465880201952</v>
      </c>
      <c r="M96" s="304">
        <v>1.0286</v>
      </c>
      <c r="N96" s="304">
        <v>1.03061163824128</v>
      </c>
      <c r="O96" s="304">
        <v>1.0332619544057602</v>
      </c>
      <c r="P96" s="304">
        <v>1.0357227540854401</v>
      </c>
      <c r="Q96" s="304">
        <v>1.0379993489045203</v>
      </c>
      <c r="R96" s="304">
        <v>1.0402</v>
      </c>
      <c r="S96" s="305">
        <v>1.0419929302552799</v>
      </c>
      <c r="T96" s="304">
        <v>1.0437039476617598</v>
      </c>
      <c r="U96" s="304">
        <v>1.0452248398084401</v>
      </c>
      <c r="V96" s="304">
        <v>1.04656237949952</v>
      </c>
      <c r="W96" s="304">
        <v>1.0477300375000005</v>
      </c>
      <c r="X96" s="304">
        <v>1.0487483704092802</v>
      </c>
      <c r="Y96" s="304">
        <v>1.0496446596627598</v>
      </c>
      <c r="Z96" s="304">
        <v>1.0504518016614404</v>
      </c>
      <c r="AA96" s="304">
        <v>1.0512064490295201</v>
      </c>
      <c r="AB96" s="305">
        <v>1.0529999999999999</v>
      </c>
      <c r="AC96" s="304">
        <v>1.0527072569282803</v>
      </c>
      <c r="AD96" s="304">
        <v>1.0535182909337599</v>
      </c>
      <c r="AE96" s="304">
        <v>1.0543976176694405</v>
      </c>
      <c r="AF96" s="304">
        <v>1.0550994105129607</v>
      </c>
      <c r="AG96" s="304">
        <v>1.0560492726249993</v>
      </c>
      <c r="AH96" s="304">
        <v>1.0569877763635207</v>
      </c>
      <c r="AI96" s="304">
        <v>1.0578239852743201</v>
      </c>
      <c r="AJ96" s="304">
        <v>1.0584202165360008</v>
      </c>
      <c r="AK96" s="304">
        <v>1.0588280991140397</v>
      </c>
      <c r="AL96" s="305">
        <v>1.0586</v>
      </c>
      <c r="AM96" s="305">
        <f t="shared" si="2"/>
        <v>1.0586</v>
      </c>
      <c r="AN96" s="299"/>
    </row>
    <row r="97" spans="1:40" x14ac:dyDescent="0.2">
      <c r="A97" s="352">
        <v>14</v>
      </c>
      <c r="B97" s="304">
        <v>0.94879999999999998</v>
      </c>
      <c r="C97" s="304">
        <v>0.96460000000000001</v>
      </c>
      <c r="D97" s="304">
        <v>0.9774803615238401</v>
      </c>
      <c r="E97" s="304">
        <v>0.98719999999999997</v>
      </c>
      <c r="F97" s="304">
        <v>0.99737309725951995</v>
      </c>
      <c r="G97" s="304">
        <v>1.00469837660296</v>
      </c>
      <c r="H97" s="304">
        <v>1.0104</v>
      </c>
      <c r="I97" s="304">
        <v>1.01594493286184</v>
      </c>
      <c r="J97" s="305">
        <v>1.02038577875968</v>
      </c>
      <c r="K97" s="304">
        <v>1.0242881463815201</v>
      </c>
      <c r="L97" s="304">
        <v>1.0277805312569601</v>
      </c>
      <c r="M97" s="304">
        <v>1.0317999999999998</v>
      </c>
      <c r="N97" s="304">
        <v>1.0338707028198402</v>
      </c>
      <c r="O97" s="304">
        <v>1.0365684170496803</v>
      </c>
      <c r="P97" s="304">
        <v>1.0390687604435203</v>
      </c>
      <c r="Q97" s="304">
        <v>1.0413814354909603</v>
      </c>
      <c r="R97" s="304">
        <v>1.0435999999999999</v>
      </c>
      <c r="S97" s="305">
        <v>1.0454512521978401</v>
      </c>
      <c r="T97" s="304">
        <v>1.04720760059968</v>
      </c>
      <c r="U97" s="304">
        <v>1.04878049864552</v>
      </c>
      <c r="V97" s="304">
        <v>1.0501768641049603</v>
      </c>
      <c r="W97" s="304">
        <v>1.0514093312500006</v>
      </c>
      <c r="X97" s="304">
        <v>1.0524967197958401</v>
      </c>
      <c r="Y97" s="304">
        <v>1.0534638086096797</v>
      </c>
      <c r="Z97" s="304">
        <v>1.0543404141875203</v>
      </c>
      <c r="AA97" s="304">
        <v>1.05515977389896</v>
      </c>
      <c r="AB97" s="305">
        <v>1.0569999999999999</v>
      </c>
      <c r="AC97" s="304">
        <v>1.0567622424138403</v>
      </c>
      <c r="AD97" s="304">
        <v>1.0576046462796802</v>
      </c>
      <c r="AE97" s="304">
        <v>1.058500294269521</v>
      </c>
      <c r="AF97" s="304">
        <v>1.059327359319681</v>
      </c>
      <c r="AG97" s="304">
        <v>1.0602904109999995</v>
      </c>
      <c r="AH97" s="304">
        <v>1.0612392522649607</v>
      </c>
      <c r="AI97" s="304">
        <v>1.0620924266969596</v>
      </c>
      <c r="AJ97" s="304">
        <v>1.0627260251808011</v>
      </c>
      <c r="AK97" s="304">
        <v>1.0630878196367206</v>
      </c>
      <c r="AL97" s="305">
        <v>1.0628</v>
      </c>
      <c r="AM97" s="305">
        <f t="shared" si="2"/>
        <v>1.0628</v>
      </c>
      <c r="AN97" s="299"/>
    </row>
    <row r="98" spans="1:40" x14ac:dyDescent="0.2">
      <c r="A98" s="353">
        <v>15</v>
      </c>
      <c r="B98" s="307">
        <v>0.95</v>
      </c>
      <c r="C98" s="307">
        <v>0.96599999999999997</v>
      </c>
      <c r="D98" s="307">
        <v>0.97909430481440007</v>
      </c>
      <c r="E98" s="307">
        <v>0.98899999999999999</v>
      </c>
      <c r="F98" s="307">
        <v>0.9994914480896</v>
      </c>
      <c r="G98" s="307">
        <v>1.0070506580864</v>
      </c>
      <c r="H98" s="307">
        <v>1.0129999999999999</v>
      </c>
      <c r="I98" s="307">
        <v>1.0186896010813999</v>
      </c>
      <c r="J98" s="308">
        <v>1.0232834986496</v>
      </c>
      <c r="K98" s="307">
        <v>1.0273106807956001</v>
      </c>
      <c r="L98" s="307">
        <v>1.0309022604944</v>
      </c>
      <c r="M98" s="307">
        <v>1.0349999999999999</v>
      </c>
      <c r="N98" s="307">
        <v>1.0371297673984001</v>
      </c>
      <c r="O98" s="307">
        <v>1.0398748796936004</v>
      </c>
      <c r="P98" s="307">
        <v>1.0424147668016002</v>
      </c>
      <c r="Q98" s="307">
        <v>1.0447635220774003</v>
      </c>
      <c r="R98" s="307">
        <v>1.0469999999999999</v>
      </c>
      <c r="S98" s="308">
        <v>1.0489095741404002</v>
      </c>
      <c r="T98" s="307">
        <v>1.0507112535376</v>
      </c>
      <c r="U98" s="307">
        <v>1.0523361574826</v>
      </c>
      <c r="V98" s="307">
        <v>1.0537913487104005</v>
      </c>
      <c r="W98" s="307">
        <v>1.0550886250000007</v>
      </c>
      <c r="X98" s="307">
        <v>1.0562450691824001</v>
      </c>
      <c r="Y98" s="307">
        <v>1.0572829575565996</v>
      </c>
      <c r="Z98" s="307">
        <v>1.0582290267136005</v>
      </c>
      <c r="AA98" s="307">
        <v>1.0591130987683999</v>
      </c>
      <c r="AB98" s="308">
        <v>1.0609999999999999</v>
      </c>
      <c r="AC98" s="307">
        <v>1.0608172278994004</v>
      </c>
      <c r="AD98" s="307">
        <v>1.0616910016256005</v>
      </c>
      <c r="AE98" s="307">
        <v>1.0626029708696016</v>
      </c>
      <c r="AF98" s="307">
        <v>1.0635553081264013</v>
      </c>
      <c r="AG98" s="307">
        <v>1.0645315493750001</v>
      </c>
      <c r="AH98" s="307">
        <v>1.0654907281664006</v>
      </c>
      <c r="AI98" s="307">
        <v>1.0663608681195993</v>
      </c>
      <c r="AJ98" s="307">
        <v>1.0670318338256013</v>
      </c>
      <c r="AK98" s="307">
        <v>1.0673475401594015</v>
      </c>
      <c r="AL98" s="308">
        <v>1.0669999999999999</v>
      </c>
      <c r="AM98" s="308">
        <f t="shared" si="2"/>
        <v>1.0669999999999999</v>
      </c>
      <c r="AN98" s="299"/>
    </row>
    <row r="99" spans="1:40" x14ac:dyDescent="0.2">
      <c r="A99" s="352">
        <v>16</v>
      </c>
      <c r="B99" s="304">
        <v>0.9506</v>
      </c>
      <c r="C99" s="304">
        <v>0.96679999999999999</v>
      </c>
      <c r="D99" s="304">
        <v>0.97999124110304003</v>
      </c>
      <c r="E99" s="304">
        <v>0.99</v>
      </c>
      <c r="F99" s="304">
        <v>1.0006573358387201</v>
      </c>
      <c r="G99" s="304">
        <v>1.0083434963667202</v>
      </c>
      <c r="H99" s="304">
        <v>1.0144</v>
      </c>
      <c r="I99" s="304">
        <v>1.02022557661684</v>
      </c>
      <c r="J99" s="305">
        <v>1.02493588123136</v>
      </c>
      <c r="K99" s="304">
        <v>1.0290756214119201</v>
      </c>
      <c r="L99" s="304">
        <v>1.0327753431779201</v>
      </c>
      <c r="M99" s="304">
        <v>1.0369999999999999</v>
      </c>
      <c r="N99" s="304">
        <v>1.0392031965286401</v>
      </c>
      <c r="O99" s="304">
        <v>1.0420391801761604</v>
      </c>
      <c r="P99" s="304">
        <v>1.0446629796771201</v>
      </c>
      <c r="Q99" s="304">
        <v>1.0470882915021202</v>
      </c>
      <c r="R99" s="304">
        <v>1.0493999999999999</v>
      </c>
      <c r="S99" s="305">
        <v>1.0513647266434401</v>
      </c>
      <c r="T99" s="304">
        <v>1.05322042275296</v>
      </c>
      <c r="U99" s="304">
        <v>1.0548923816993201</v>
      </c>
      <c r="V99" s="304">
        <v>1.0563882945843204</v>
      </c>
      <c r="W99" s="304">
        <v>1.0577207750000006</v>
      </c>
      <c r="X99" s="304">
        <v>1.0589078776662402</v>
      </c>
      <c r="Y99" s="304">
        <v>1.0599729645467597</v>
      </c>
      <c r="Z99" s="304">
        <v>1.0609439184435205</v>
      </c>
      <c r="AA99" s="304">
        <v>1.0618517040695199</v>
      </c>
      <c r="AB99" s="305">
        <v>1.0637999999999999</v>
      </c>
      <c r="AC99" s="304">
        <v>1.06360383770204</v>
      </c>
      <c r="AD99" s="304">
        <v>1.0645034390425603</v>
      </c>
      <c r="AE99" s="304">
        <v>1.0654429332747213</v>
      </c>
      <c r="AF99" s="304">
        <v>1.0664242725027209</v>
      </c>
      <c r="AG99" s="304">
        <v>1.067430154225</v>
      </c>
      <c r="AH99" s="304">
        <v>1.0684180147558402</v>
      </c>
      <c r="AI99" s="304">
        <v>1.0693133701253594</v>
      </c>
      <c r="AJ99" s="304">
        <v>1.0700025044579211</v>
      </c>
      <c r="AK99" s="304">
        <v>1.0703245058289217</v>
      </c>
      <c r="AL99" s="305">
        <v>1.07</v>
      </c>
      <c r="AM99" s="305">
        <f t="shared" si="2"/>
        <v>1.07</v>
      </c>
      <c r="AN99" s="299"/>
    </row>
    <row r="100" spans="1:40" x14ac:dyDescent="0.2">
      <c r="A100" s="352">
        <v>17</v>
      </c>
      <c r="B100" s="304">
        <v>0.95119999999999993</v>
      </c>
      <c r="C100" s="304">
        <v>0.96760000000000002</v>
      </c>
      <c r="D100" s="304">
        <v>0.98088817739168011</v>
      </c>
      <c r="E100" s="304">
        <v>0.99099999999999999</v>
      </c>
      <c r="F100" s="304">
        <v>1.0018232235878402</v>
      </c>
      <c r="G100" s="304">
        <v>1.0096363346470401</v>
      </c>
      <c r="H100" s="304">
        <v>1.0158</v>
      </c>
      <c r="I100" s="304">
        <v>1.02176155215228</v>
      </c>
      <c r="J100" s="305">
        <v>1.0265882638131201</v>
      </c>
      <c r="K100" s="304">
        <v>1.0308405620282401</v>
      </c>
      <c r="L100" s="304">
        <v>1.0346484258614401</v>
      </c>
      <c r="M100" s="304">
        <v>1.0389999999999999</v>
      </c>
      <c r="N100" s="304">
        <v>1.0412766256588801</v>
      </c>
      <c r="O100" s="304">
        <v>1.0442034806587204</v>
      </c>
      <c r="P100" s="304">
        <v>1.0469111925526402</v>
      </c>
      <c r="Q100" s="304">
        <v>1.0494130609268402</v>
      </c>
      <c r="R100" s="304">
        <v>1.0517999999999998</v>
      </c>
      <c r="S100" s="305">
        <v>1.0538198791464801</v>
      </c>
      <c r="T100" s="304">
        <v>1.0557295919683201</v>
      </c>
      <c r="U100" s="304">
        <v>1.0574486059160402</v>
      </c>
      <c r="V100" s="304">
        <v>1.0589852404582403</v>
      </c>
      <c r="W100" s="304">
        <v>1.0603529250000006</v>
      </c>
      <c r="X100" s="304">
        <v>1.0615706861500804</v>
      </c>
      <c r="Y100" s="304">
        <v>1.0626629715369198</v>
      </c>
      <c r="Z100" s="304">
        <v>1.0636588101734405</v>
      </c>
      <c r="AA100" s="304">
        <v>1.0645903093706399</v>
      </c>
      <c r="AB100" s="305">
        <v>1.0666</v>
      </c>
      <c r="AC100" s="304">
        <v>1.0663904475046799</v>
      </c>
      <c r="AD100" s="304">
        <v>1.0673158764595201</v>
      </c>
      <c r="AE100" s="304">
        <v>1.0682828956798407</v>
      </c>
      <c r="AF100" s="304">
        <v>1.0692932368790404</v>
      </c>
      <c r="AG100" s="304">
        <v>1.0703287590749999</v>
      </c>
      <c r="AH100" s="304">
        <v>1.0713453013452798</v>
      </c>
      <c r="AI100" s="304">
        <v>1.0722658721311196</v>
      </c>
      <c r="AJ100" s="304">
        <v>1.0729731750902409</v>
      </c>
      <c r="AK100" s="304">
        <v>1.0733014714984419</v>
      </c>
      <c r="AL100" s="305">
        <v>1.073</v>
      </c>
      <c r="AM100" s="305">
        <f t="shared" si="2"/>
        <v>1.073</v>
      </c>
      <c r="AN100" s="299"/>
    </row>
    <row r="101" spans="1:40" x14ac:dyDescent="0.2">
      <c r="A101" s="352">
        <v>18</v>
      </c>
      <c r="B101" s="304">
        <v>0.95179999999999998</v>
      </c>
      <c r="C101" s="304">
        <v>0.96839999999999993</v>
      </c>
      <c r="D101" s="304">
        <v>0.98178511368032007</v>
      </c>
      <c r="E101" s="304">
        <v>0.99199999999999999</v>
      </c>
      <c r="F101" s="304">
        <v>1.00298911133696</v>
      </c>
      <c r="G101" s="304">
        <v>1.0109291729273602</v>
      </c>
      <c r="H101" s="304">
        <v>1.0171999999999999</v>
      </c>
      <c r="I101" s="304">
        <v>1.0232975276877201</v>
      </c>
      <c r="J101" s="305">
        <v>1.0282406463948801</v>
      </c>
      <c r="K101" s="304">
        <v>1.03260550264456</v>
      </c>
      <c r="L101" s="304">
        <v>1.0365215085449599</v>
      </c>
      <c r="M101" s="304">
        <v>1.0409999999999999</v>
      </c>
      <c r="N101" s="304">
        <v>1.0433500547891201</v>
      </c>
      <c r="O101" s="304">
        <v>1.0463677811412802</v>
      </c>
      <c r="P101" s="304">
        <v>1.0491594054281601</v>
      </c>
      <c r="Q101" s="304">
        <v>1.0517378303515601</v>
      </c>
      <c r="R101" s="304">
        <v>1.0542</v>
      </c>
      <c r="S101" s="305">
        <v>1.05627503164952</v>
      </c>
      <c r="T101" s="304">
        <v>1.0582387611836803</v>
      </c>
      <c r="U101" s="304">
        <v>1.06000483013276</v>
      </c>
      <c r="V101" s="304">
        <v>1.0615821863321604</v>
      </c>
      <c r="W101" s="304">
        <v>1.0629850750000003</v>
      </c>
      <c r="X101" s="304">
        <v>1.0642334946339205</v>
      </c>
      <c r="Y101" s="304">
        <v>1.0653529785270799</v>
      </c>
      <c r="Z101" s="304">
        <v>1.0663737019033603</v>
      </c>
      <c r="AA101" s="304">
        <v>1.0673289146717599</v>
      </c>
      <c r="AB101" s="305">
        <v>1.0693999999999999</v>
      </c>
      <c r="AC101" s="304">
        <v>1.0691770573073196</v>
      </c>
      <c r="AD101" s="304">
        <v>1.0701283138764799</v>
      </c>
      <c r="AE101" s="304">
        <v>1.0711228580849603</v>
      </c>
      <c r="AF101" s="304">
        <v>1.0721622012553598</v>
      </c>
      <c r="AG101" s="304">
        <v>1.0732273639249996</v>
      </c>
      <c r="AH101" s="304">
        <v>1.0742725879347197</v>
      </c>
      <c r="AI101" s="304">
        <v>1.0752183741368799</v>
      </c>
      <c r="AJ101" s="304">
        <v>1.0759438457225605</v>
      </c>
      <c r="AK101" s="304">
        <v>1.0762784371679621</v>
      </c>
      <c r="AL101" s="305">
        <v>1.0760000000000001</v>
      </c>
      <c r="AM101" s="305">
        <f t="shared" si="2"/>
        <v>1.0760000000000001</v>
      </c>
      <c r="AN101" s="299"/>
    </row>
    <row r="102" spans="1:40" x14ac:dyDescent="0.2">
      <c r="A102" s="352">
        <v>19</v>
      </c>
      <c r="B102" s="304">
        <v>0.95239999999999991</v>
      </c>
      <c r="C102" s="304">
        <v>0.96919999999999995</v>
      </c>
      <c r="D102" s="304">
        <v>0.98268204996896014</v>
      </c>
      <c r="E102" s="304">
        <v>0.99299999999999999</v>
      </c>
      <c r="F102" s="304">
        <v>1.0041549990860801</v>
      </c>
      <c r="G102" s="304">
        <v>1.0122220112076801</v>
      </c>
      <c r="H102" s="304">
        <v>1.0185999999999999</v>
      </c>
      <c r="I102" s="304">
        <v>1.0248335032231601</v>
      </c>
      <c r="J102" s="305">
        <v>1.0298930289766401</v>
      </c>
      <c r="K102" s="304">
        <v>1.03437044326088</v>
      </c>
      <c r="L102" s="304">
        <v>1.03839459122848</v>
      </c>
      <c r="M102" s="304">
        <v>1.0429999999999999</v>
      </c>
      <c r="N102" s="304">
        <v>1.0454234839193601</v>
      </c>
      <c r="O102" s="304">
        <v>1.0485320816238402</v>
      </c>
      <c r="P102" s="304">
        <v>1.0514076183036802</v>
      </c>
      <c r="Q102" s="304">
        <v>1.05406259977628</v>
      </c>
      <c r="R102" s="304">
        <v>1.0566</v>
      </c>
      <c r="S102" s="305">
        <v>1.05873018415256</v>
      </c>
      <c r="T102" s="304">
        <v>1.0607479303990404</v>
      </c>
      <c r="U102" s="304">
        <v>1.0625610543494801</v>
      </c>
      <c r="V102" s="304">
        <v>1.0641791322060803</v>
      </c>
      <c r="W102" s="304">
        <v>1.0656172250000002</v>
      </c>
      <c r="X102" s="304">
        <v>1.0668963031177607</v>
      </c>
      <c r="Y102" s="304">
        <v>1.06804298551724</v>
      </c>
      <c r="Z102" s="304">
        <v>1.0690885936332803</v>
      </c>
      <c r="AA102" s="304">
        <v>1.07006751997288</v>
      </c>
      <c r="AB102" s="305">
        <v>1.0722</v>
      </c>
      <c r="AC102" s="304">
        <v>1.0719636671099595</v>
      </c>
      <c r="AD102" s="304">
        <v>1.0729407512934397</v>
      </c>
      <c r="AE102" s="304">
        <v>1.0739628204900797</v>
      </c>
      <c r="AF102" s="304">
        <v>1.0750311656316793</v>
      </c>
      <c r="AG102" s="304">
        <v>1.0761259687749996</v>
      </c>
      <c r="AH102" s="304">
        <v>1.0771998745241593</v>
      </c>
      <c r="AI102" s="304">
        <v>1.0781708761426401</v>
      </c>
      <c r="AJ102" s="304">
        <v>1.0789145163548803</v>
      </c>
      <c r="AK102" s="304">
        <v>1.0792554028374823</v>
      </c>
      <c r="AL102" s="305">
        <v>1.079</v>
      </c>
      <c r="AM102" s="305">
        <f t="shared" si="2"/>
        <v>1.079</v>
      </c>
      <c r="AN102" s="299"/>
    </row>
    <row r="103" spans="1:40" x14ac:dyDescent="0.2">
      <c r="A103" s="353">
        <v>20</v>
      </c>
      <c r="B103" s="307">
        <v>0.95299999999999996</v>
      </c>
      <c r="C103" s="307">
        <v>0.97</v>
      </c>
      <c r="D103" s="307">
        <v>0.9835789862576001</v>
      </c>
      <c r="E103" s="307">
        <v>0.99399999999999999</v>
      </c>
      <c r="F103" s="307">
        <v>1.0053208868352002</v>
      </c>
      <c r="G103" s="307">
        <v>1.0135148494880002</v>
      </c>
      <c r="H103" s="307">
        <v>1.02</v>
      </c>
      <c r="I103" s="307">
        <v>1.0263694787586002</v>
      </c>
      <c r="J103" s="308">
        <v>1.0315454115584002</v>
      </c>
      <c r="K103" s="307">
        <v>1.0361353838772001</v>
      </c>
      <c r="L103" s="307">
        <v>1.040267673912</v>
      </c>
      <c r="M103" s="307">
        <v>1.0449999999999999</v>
      </c>
      <c r="N103" s="307">
        <v>1.0474969130496001</v>
      </c>
      <c r="O103" s="307">
        <v>1.0506963821064002</v>
      </c>
      <c r="P103" s="307">
        <v>1.0536558311792001</v>
      </c>
      <c r="Q103" s="307">
        <v>1.056387369201</v>
      </c>
      <c r="R103" s="307">
        <v>1.0589999999999999</v>
      </c>
      <c r="S103" s="308">
        <v>1.0611853366555999</v>
      </c>
      <c r="T103" s="307">
        <v>1.0632570996144004</v>
      </c>
      <c r="U103" s="307">
        <v>1.0651172785662002</v>
      </c>
      <c r="V103" s="307">
        <v>1.0667760780800002</v>
      </c>
      <c r="W103" s="307">
        <v>1.0682493750000002</v>
      </c>
      <c r="X103" s="307">
        <v>1.0695591116016008</v>
      </c>
      <c r="Y103" s="307">
        <v>1.0707329925074001</v>
      </c>
      <c r="Z103" s="307">
        <v>1.0718034853632004</v>
      </c>
      <c r="AA103" s="307">
        <v>1.072806125274</v>
      </c>
      <c r="AB103" s="308">
        <v>1.075</v>
      </c>
      <c r="AC103" s="307">
        <v>1.0747502769125992</v>
      </c>
      <c r="AD103" s="307">
        <v>1.0757531887103995</v>
      </c>
      <c r="AE103" s="307">
        <v>1.0768027828951994</v>
      </c>
      <c r="AF103" s="307">
        <v>1.0779001300079989</v>
      </c>
      <c r="AG103" s="307">
        <v>1.0790245736249995</v>
      </c>
      <c r="AH103" s="307">
        <v>1.080127161113599</v>
      </c>
      <c r="AI103" s="307">
        <v>1.0811233781484002</v>
      </c>
      <c r="AJ103" s="307">
        <v>1.0818851869872002</v>
      </c>
      <c r="AK103" s="307">
        <v>1.0822323685070026</v>
      </c>
      <c r="AL103" s="308">
        <v>1.0820000000000001</v>
      </c>
      <c r="AM103" s="308">
        <f t="shared" si="2"/>
        <v>1.0820000000000001</v>
      </c>
      <c r="AN103" s="299"/>
    </row>
    <row r="104" spans="1:40" x14ac:dyDescent="0.2">
      <c r="A104" s="352">
        <v>21</v>
      </c>
      <c r="B104" s="304">
        <v>0.95339999999999991</v>
      </c>
      <c r="C104" s="304">
        <v>0.97039999999999993</v>
      </c>
      <c r="D104" s="304">
        <v>0.98408216618832012</v>
      </c>
      <c r="E104" s="304">
        <v>0.99460000000000004</v>
      </c>
      <c r="F104" s="304">
        <v>1.0059206717900802</v>
      </c>
      <c r="G104" s="304">
        <v>1.0141595949660902</v>
      </c>
      <c r="H104" s="304">
        <v>1.0206999999999999</v>
      </c>
      <c r="I104" s="304">
        <v>1.0270933761987702</v>
      </c>
      <c r="J104" s="305">
        <v>1.0323033410534401</v>
      </c>
      <c r="K104" s="304">
        <v>1.0369240934455302</v>
      </c>
      <c r="L104" s="304">
        <v>1.04108450595664</v>
      </c>
      <c r="M104" s="304">
        <v>1.0457999999999998</v>
      </c>
      <c r="N104" s="304">
        <v>1.0483648357427202</v>
      </c>
      <c r="O104" s="304">
        <v>1.0515886869124902</v>
      </c>
      <c r="P104" s="304">
        <v>1.0545725698324802</v>
      </c>
      <c r="Q104" s="304">
        <v>1.0573290573406899</v>
      </c>
      <c r="R104" s="304">
        <v>1.06</v>
      </c>
      <c r="S104" s="305">
        <v>1.0621794751301699</v>
      </c>
      <c r="T104" s="304">
        <v>1.0642787624430403</v>
      </c>
      <c r="U104" s="304">
        <v>1.0661670182809302</v>
      </c>
      <c r="V104" s="304">
        <v>1.0678539764582402</v>
      </c>
      <c r="W104" s="304">
        <v>1.0693548789062501</v>
      </c>
      <c r="X104" s="304">
        <v>1.0706909017211208</v>
      </c>
      <c r="Y104" s="304">
        <v>1.0718888958150901</v>
      </c>
      <c r="Z104" s="304">
        <v>1.0729804421708802</v>
      </c>
      <c r="AA104" s="304">
        <v>1.0740002216992899</v>
      </c>
      <c r="AB104" s="305">
        <v>1.0762</v>
      </c>
      <c r="AC104" s="304">
        <v>1.0759641249255691</v>
      </c>
      <c r="AD104" s="304">
        <v>1.0769688432486395</v>
      </c>
      <c r="AE104" s="304">
        <v>1.0780149259323295</v>
      </c>
      <c r="AF104" s="304">
        <v>1.079104112503839</v>
      </c>
      <c r="AG104" s="304">
        <v>1.0802170682312495</v>
      </c>
      <c r="AH104" s="304">
        <v>1.0813069562035191</v>
      </c>
      <c r="AI104" s="304">
        <v>1.0822923240136904</v>
      </c>
      <c r="AJ104" s="304">
        <v>1.0830493050452803</v>
      </c>
      <c r="AK104" s="304">
        <v>1.0834031343618922</v>
      </c>
      <c r="AL104" s="305">
        <v>1.0832000000000002</v>
      </c>
      <c r="AM104" s="305">
        <f t="shared" si="2"/>
        <v>1.0832000000000002</v>
      </c>
      <c r="AN104" s="299"/>
    </row>
    <row r="105" spans="1:40" x14ac:dyDescent="0.2">
      <c r="A105" s="352">
        <v>22</v>
      </c>
      <c r="B105" s="304">
        <v>0.95379999999999998</v>
      </c>
      <c r="C105" s="304">
        <v>0.9708</v>
      </c>
      <c r="D105" s="304">
        <v>0.98458534611904014</v>
      </c>
      <c r="E105" s="304">
        <v>0.99519999999999997</v>
      </c>
      <c r="F105" s="304">
        <v>1.0065204567449602</v>
      </c>
      <c r="G105" s="304">
        <v>1.0148043404441802</v>
      </c>
      <c r="H105" s="304">
        <v>1.0213999999999999</v>
      </c>
      <c r="I105" s="304">
        <v>1.0278172736389402</v>
      </c>
      <c r="J105" s="305">
        <v>1.0330612705484801</v>
      </c>
      <c r="K105" s="304">
        <v>1.03771280301386</v>
      </c>
      <c r="L105" s="304">
        <v>1.04190133800128</v>
      </c>
      <c r="M105" s="304">
        <v>1.0466</v>
      </c>
      <c r="N105" s="304">
        <v>1.0492327584358401</v>
      </c>
      <c r="O105" s="304">
        <v>1.0524809917185802</v>
      </c>
      <c r="P105" s="304">
        <v>1.0554893084857602</v>
      </c>
      <c r="Q105" s="304">
        <v>1.0582707454803799</v>
      </c>
      <c r="R105" s="304">
        <v>1.0609999999999999</v>
      </c>
      <c r="S105" s="305">
        <v>1.0631736136047401</v>
      </c>
      <c r="T105" s="304">
        <v>1.0653004252716805</v>
      </c>
      <c r="U105" s="304">
        <v>1.0672167579956602</v>
      </c>
      <c r="V105" s="304">
        <v>1.0689318748364802</v>
      </c>
      <c r="W105" s="304">
        <v>1.0704603828125001</v>
      </c>
      <c r="X105" s="304">
        <v>1.0718226918406406</v>
      </c>
      <c r="Y105" s="304">
        <v>1.0730447991227801</v>
      </c>
      <c r="Z105" s="304">
        <v>1.0741573989785602</v>
      </c>
      <c r="AA105" s="304">
        <v>1.07519431812458</v>
      </c>
      <c r="AB105" s="305">
        <v>1.0773999999999999</v>
      </c>
      <c r="AC105" s="304">
        <v>1.0771779729385391</v>
      </c>
      <c r="AD105" s="304">
        <v>1.0781844977868797</v>
      </c>
      <c r="AE105" s="304">
        <v>1.0792270689694594</v>
      </c>
      <c r="AF105" s="304">
        <v>1.0803080949996791</v>
      </c>
      <c r="AG105" s="304">
        <v>1.0814095628374998</v>
      </c>
      <c r="AH105" s="304">
        <v>1.0824867512934393</v>
      </c>
      <c r="AI105" s="304">
        <v>1.0834612698789803</v>
      </c>
      <c r="AJ105" s="304">
        <v>1.0842134231033604</v>
      </c>
      <c r="AK105" s="304">
        <v>1.0845739002167818</v>
      </c>
      <c r="AL105" s="305">
        <v>1.0844</v>
      </c>
      <c r="AM105" s="305">
        <f t="shared" si="2"/>
        <v>1.0844</v>
      </c>
      <c r="AN105" s="299"/>
    </row>
    <row r="106" spans="1:40" x14ac:dyDescent="0.2">
      <c r="A106" s="352">
        <v>23</v>
      </c>
      <c r="B106" s="304">
        <v>0.95419999999999994</v>
      </c>
      <c r="C106" s="304">
        <v>0.97119999999999995</v>
      </c>
      <c r="D106" s="304">
        <v>0.98508852604976005</v>
      </c>
      <c r="E106" s="304">
        <v>0.99580000000000002</v>
      </c>
      <c r="F106" s="304">
        <v>1.0071202416998402</v>
      </c>
      <c r="G106" s="304">
        <v>1.01544908592227</v>
      </c>
      <c r="H106" s="304">
        <v>1.0221</v>
      </c>
      <c r="I106" s="304">
        <v>1.0285411710791101</v>
      </c>
      <c r="J106" s="305">
        <v>1.0338192000435202</v>
      </c>
      <c r="K106" s="304">
        <v>1.0385015125821901</v>
      </c>
      <c r="L106" s="304">
        <v>1.04271817004592</v>
      </c>
      <c r="M106" s="304">
        <v>1.0473999999999999</v>
      </c>
      <c r="N106" s="304">
        <v>1.0501006811289602</v>
      </c>
      <c r="O106" s="304">
        <v>1.05337329652467</v>
      </c>
      <c r="P106" s="304">
        <v>1.0564060471390402</v>
      </c>
      <c r="Q106" s="304">
        <v>1.0592124336200701</v>
      </c>
      <c r="R106" s="304">
        <v>1.0620000000000001</v>
      </c>
      <c r="S106" s="305">
        <v>1.06416775207931</v>
      </c>
      <c r="T106" s="304">
        <v>1.0663220881003204</v>
      </c>
      <c r="U106" s="304">
        <v>1.0682664977103902</v>
      </c>
      <c r="V106" s="304">
        <v>1.07000977321472</v>
      </c>
      <c r="W106" s="304">
        <v>1.0715658867187503</v>
      </c>
      <c r="X106" s="304">
        <v>1.0729544819601606</v>
      </c>
      <c r="Y106" s="304">
        <v>1.0742007024304701</v>
      </c>
      <c r="Z106" s="304">
        <v>1.07533435578624</v>
      </c>
      <c r="AA106" s="304">
        <v>1.0763884145498699</v>
      </c>
      <c r="AB106" s="305">
        <v>1.0786</v>
      </c>
      <c r="AC106" s="304">
        <v>1.0783918209515093</v>
      </c>
      <c r="AD106" s="304">
        <v>1.0794001523251198</v>
      </c>
      <c r="AE106" s="304">
        <v>1.0804392120065895</v>
      </c>
      <c r="AF106" s="304">
        <v>1.0815120774955194</v>
      </c>
      <c r="AG106" s="304">
        <v>1.0826020574437498</v>
      </c>
      <c r="AH106" s="304">
        <v>1.0836665463833595</v>
      </c>
      <c r="AI106" s="304">
        <v>1.0846302157442704</v>
      </c>
      <c r="AJ106" s="304">
        <v>1.0853775411614408</v>
      </c>
      <c r="AK106" s="304">
        <v>1.0857446660716716</v>
      </c>
      <c r="AL106" s="305">
        <v>1.0856000000000001</v>
      </c>
      <c r="AM106" s="305">
        <f t="shared" si="2"/>
        <v>1.0856000000000001</v>
      </c>
      <c r="AN106" s="299"/>
    </row>
    <row r="107" spans="1:40" x14ac:dyDescent="0.2">
      <c r="A107" s="352">
        <v>24</v>
      </c>
      <c r="B107" s="304">
        <v>0.9546</v>
      </c>
      <c r="C107" s="304">
        <v>0.97160000000000002</v>
      </c>
      <c r="D107" s="304">
        <v>0.98559170598048007</v>
      </c>
      <c r="E107" s="304">
        <v>0.99639999999999995</v>
      </c>
      <c r="F107" s="304">
        <v>1.0077200266547202</v>
      </c>
      <c r="G107" s="304">
        <v>1.01609383140036</v>
      </c>
      <c r="H107" s="304">
        <v>1.0227999999999999</v>
      </c>
      <c r="I107" s="304">
        <v>1.0292650685192801</v>
      </c>
      <c r="J107" s="305">
        <v>1.0345771295385602</v>
      </c>
      <c r="K107" s="304">
        <v>1.03929022215052</v>
      </c>
      <c r="L107" s="304">
        <v>1.04353500209056</v>
      </c>
      <c r="M107" s="304">
        <v>1.0482</v>
      </c>
      <c r="N107" s="304">
        <v>1.05096860382208</v>
      </c>
      <c r="O107" s="304">
        <v>1.0542656013307601</v>
      </c>
      <c r="P107" s="304">
        <v>1.0573227857923202</v>
      </c>
      <c r="Q107" s="304">
        <v>1.0601541217597601</v>
      </c>
      <c r="R107" s="304">
        <v>1.0629999999999999</v>
      </c>
      <c r="S107" s="305">
        <v>1.0651618905538802</v>
      </c>
      <c r="T107" s="304">
        <v>1.0673437509289605</v>
      </c>
      <c r="U107" s="304">
        <v>1.0693162374251202</v>
      </c>
      <c r="V107" s="304">
        <v>1.07108767159296</v>
      </c>
      <c r="W107" s="304">
        <v>1.0726713906250003</v>
      </c>
      <c r="X107" s="304">
        <v>1.0740862720796804</v>
      </c>
      <c r="Y107" s="304">
        <v>1.0753566057381601</v>
      </c>
      <c r="Z107" s="304">
        <v>1.0765113125939201</v>
      </c>
      <c r="AA107" s="304">
        <v>1.07758251097516</v>
      </c>
      <c r="AB107" s="305">
        <v>1.0797999999999999</v>
      </c>
      <c r="AC107" s="304">
        <v>1.0796056689644793</v>
      </c>
      <c r="AD107" s="304">
        <v>1.08061580686336</v>
      </c>
      <c r="AE107" s="304">
        <v>1.0816513550437195</v>
      </c>
      <c r="AF107" s="304">
        <v>1.0827160599913594</v>
      </c>
      <c r="AG107" s="304">
        <v>1.0837945520500001</v>
      </c>
      <c r="AH107" s="304">
        <v>1.0848463414732796</v>
      </c>
      <c r="AI107" s="304">
        <v>1.0857991616095604</v>
      </c>
      <c r="AJ107" s="304">
        <v>1.0865416592195209</v>
      </c>
      <c r="AK107" s="304">
        <v>1.0869154319265613</v>
      </c>
      <c r="AL107" s="305">
        <v>1.0868</v>
      </c>
      <c r="AM107" s="305">
        <f t="shared" si="2"/>
        <v>1.0868</v>
      </c>
      <c r="AN107" s="299"/>
    </row>
    <row r="108" spans="1:40" x14ac:dyDescent="0.2">
      <c r="A108" s="353">
        <v>25</v>
      </c>
      <c r="B108" s="307">
        <v>0.95499999999999996</v>
      </c>
      <c r="C108" s="307">
        <v>0.97199999999999998</v>
      </c>
      <c r="D108" s="307">
        <v>0.98609488591120009</v>
      </c>
      <c r="E108" s="307">
        <v>0.997</v>
      </c>
      <c r="F108" s="307">
        <v>1.0083198116096002</v>
      </c>
      <c r="G108" s="307">
        <v>1.01673857687845</v>
      </c>
      <c r="H108" s="307">
        <v>1.0234999999999999</v>
      </c>
      <c r="I108" s="307">
        <v>1.0299889659594501</v>
      </c>
      <c r="J108" s="308">
        <v>1.0353350590336001</v>
      </c>
      <c r="K108" s="307">
        <v>1.0400789317188501</v>
      </c>
      <c r="L108" s="307">
        <v>1.0443518341352001</v>
      </c>
      <c r="M108" s="307">
        <v>1.0489999999999999</v>
      </c>
      <c r="N108" s="307">
        <v>1.0518365265152001</v>
      </c>
      <c r="O108" s="307">
        <v>1.0551579061368501</v>
      </c>
      <c r="P108" s="307">
        <v>1.0582395244456002</v>
      </c>
      <c r="Q108" s="307">
        <v>1.0610958098994501</v>
      </c>
      <c r="R108" s="307">
        <v>1.0640000000000001</v>
      </c>
      <c r="S108" s="308">
        <v>1.0661560290284502</v>
      </c>
      <c r="T108" s="307">
        <v>1.0683654137576004</v>
      </c>
      <c r="U108" s="307">
        <v>1.0703659771398502</v>
      </c>
      <c r="V108" s="307">
        <v>1.0721655699712</v>
      </c>
      <c r="W108" s="307">
        <v>1.0737768945312502</v>
      </c>
      <c r="X108" s="307">
        <v>1.0752180621992005</v>
      </c>
      <c r="Y108" s="307">
        <v>1.0765125090458501</v>
      </c>
      <c r="Z108" s="307">
        <v>1.0776882694015999</v>
      </c>
      <c r="AA108" s="307">
        <v>1.0787766074004499</v>
      </c>
      <c r="AB108" s="308">
        <v>1.081</v>
      </c>
      <c r="AC108" s="307">
        <v>1.0808195169774493</v>
      </c>
      <c r="AD108" s="307">
        <v>1.0818314614016</v>
      </c>
      <c r="AE108" s="307">
        <v>1.0828634980808496</v>
      </c>
      <c r="AF108" s="307">
        <v>1.0839200424871995</v>
      </c>
      <c r="AG108" s="307">
        <v>1.0849870466562501</v>
      </c>
      <c r="AH108" s="307">
        <v>1.0860261365631998</v>
      </c>
      <c r="AI108" s="307">
        <v>1.0869681074748505</v>
      </c>
      <c r="AJ108" s="307">
        <v>1.0877057772776011</v>
      </c>
      <c r="AK108" s="307">
        <v>1.0880861977814509</v>
      </c>
      <c r="AL108" s="308">
        <v>1.0880000000000001</v>
      </c>
      <c r="AM108" s="308">
        <f t="shared" si="2"/>
        <v>1.0880000000000001</v>
      </c>
      <c r="AN108" s="299"/>
    </row>
    <row r="109" spans="1:40" x14ac:dyDescent="0.2">
      <c r="A109" s="352">
        <v>26</v>
      </c>
      <c r="B109" s="304">
        <v>0.95539999999999992</v>
      </c>
      <c r="C109" s="304">
        <v>0.97239999999999993</v>
      </c>
      <c r="D109" s="304">
        <v>0.98659806584192011</v>
      </c>
      <c r="E109" s="304">
        <v>0.99760000000000004</v>
      </c>
      <c r="F109" s="304">
        <v>1.0089195965644802</v>
      </c>
      <c r="G109" s="304">
        <v>1.0173833223565401</v>
      </c>
      <c r="H109" s="304">
        <v>1.0241999999999998</v>
      </c>
      <c r="I109" s="304">
        <v>1.0307128633996201</v>
      </c>
      <c r="J109" s="305">
        <v>1.0360929885286401</v>
      </c>
      <c r="K109" s="304">
        <v>1.0408676412871802</v>
      </c>
      <c r="L109" s="304">
        <v>1.0451686661798401</v>
      </c>
      <c r="M109" s="304">
        <v>1.0497999999999998</v>
      </c>
      <c r="N109" s="304">
        <v>1.0527044492083202</v>
      </c>
      <c r="O109" s="304">
        <v>1.0560502109429402</v>
      </c>
      <c r="P109" s="304">
        <v>1.0591562630988802</v>
      </c>
      <c r="Q109" s="304">
        <v>1.06203749803914</v>
      </c>
      <c r="R109" s="304">
        <v>1.0649999999999999</v>
      </c>
      <c r="S109" s="305">
        <v>1.0671501675030202</v>
      </c>
      <c r="T109" s="304">
        <v>1.0693870765862403</v>
      </c>
      <c r="U109" s="304">
        <v>1.0714157168545801</v>
      </c>
      <c r="V109" s="304">
        <v>1.0732434683494401</v>
      </c>
      <c r="W109" s="304">
        <v>1.0748823984375002</v>
      </c>
      <c r="X109" s="304">
        <v>1.0763498523187205</v>
      </c>
      <c r="Y109" s="304">
        <v>1.0776684123535401</v>
      </c>
      <c r="Z109" s="304">
        <v>1.0788652262092797</v>
      </c>
      <c r="AA109" s="304">
        <v>1.0799707038257398</v>
      </c>
      <c r="AB109" s="305">
        <v>1.0822000000000001</v>
      </c>
      <c r="AC109" s="304">
        <v>1.0820333649904192</v>
      </c>
      <c r="AD109" s="304">
        <v>1.08304711593984</v>
      </c>
      <c r="AE109" s="304">
        <v>1.0840756411179797</v>
      </c>
      <c r="AF109" s="304">
        <v>1.0851240249830396</v>
      </c>
      <c r="AG109" s="304">
        <v>1.0861795412625002</v>
      </c>
      <c r="AH109" s="304">
        <v>1.08720593165312</v>
      </c>
      <c r="AI109" s="304">
        <v>1.0881370533401404</v>
      </c>
      <c r="AJ109" s="304">
        <v>1.0888698953356812</v>
      </c>
      <c r="AK109" s="304">
        <v>1.0892569636363405</v>
      </c>
      <c r="AL109" s="305">
        <v>1.0892000000000002</v>
      </c>
      <c r="AM109" s="305">
        <f t="shared" si="2"/>
        <v>1.0892000000000002</v>
      </c>
      <c r="AN109" s="299"/>
    </row>
    <row r="110" spans="1:40" x14ac:dyDescent="0.2">
      <c r="A110" s="352">
        <v>27</v>
      </c>
      <c r="B110" s="304">
        <v>0.95579999999999998</v>
      </c>
      <c r="C110" s="304">
        <v>0.9728</v>
      </c>
      <c r="D110" s="304">
        <v>0.98710124577264013</v>
      </c>
      <c r="E110" s="304">
        <v>0.99819999999999998</v>
      </c>
      <c r="F110" s="304">
        <v>1.0095193815193602</v>
      </c>
      <c r="G110" s="304">
        <v>1.0180280678346301</v>
      </c>
      <c r="H110" s="304">
        <v>1.0248999999999999</v>
      </c>
      <c r="I110" s="304">
        <v>1.0314367608397901</v>
      </c>
      <c r="J110" s="305">
        <v>1.03685091802368</v>
      </c>
      <c r="K110" s="304">
        <v>1.0416563508555101</v>
      </c>
      <c r="L110" s="304">
        <v>1.0459854982244801</v>
      </c>
      <c r="M110" s="304">
        <v>1.0506</v>
      </c>
      <c r="N110" s="304">
        <v>1.05357237190144</v>
      </c>
      <c r="O110" s="304">
        <v>1.0569425157490302</v>
      </c>
      <c r="P110" s="304">
        <v>1.0600730017521602</v>
      </c>
      <c r="Q110" s="304">
        <v>1.06297918617883</v>
      </c>
      <c r="R110" s="304">
        <v>1.0660000000000001</v>
      </c>
      <c r="S110" s="305">
        <v>1.0681443059775901</v>
      </c>
      <c r="T110" s="304">
        <v>1.0704087394148805</v>
      </c>
      <c r="U110" s="304">
        <v>1.0724654565693101</v>
      </c>
      <c r="V110" s="304">
        <v>1.0743213667276801</v>
      </c>
      <c r="W110" s="304">
        <v>1.0759879023437502</v>
      </c>
      <c r="X110" s="304">
        <v>1.0774816424382403</v>
      </c>
      <c r="Y110" s="304">
        <v>1.07882431566123</v>
      </c>
      <c r="Z110" s="304">
        <v>1.0800421830169598</v>
      </c>
      <c r="AA110" s="304">
        <v>1.0811648002510299</v>
      </c>
      <c r="AB110" s="305">
        <v>1.0833999999999999</v>
      </c>
      <c r="AC110" s="304">
        <v>1.0832472130033894</v>
      </c>
      <c r="AD110" s="304">
        <v>1.0842627704780803</v>
      </c>
      <c r="AE110" s="304">
        <v>1.0852877841551098</v>
      </c>
      <c r="AF110" s="304">
        <v>1.0863280074788797</v>
      </c>
      <c r="AG110" s="304">
        <v>1.0873720358687504</v>
      </c>
      <c r="AH110" s="304">
        <v>1.0883857267430401</v>
      </c>
      <c r="AI110" s="304">
        <v>1.0893059992054306</v>
      </c>
      <c r="AJ110" s="304">
        <v>1.0900340133937614</v>
      </c>
      <c r="AK110" s="304">
        <v>1.0904277294912301</v>
      </c>
      <c r="AL110" s="305">
        <v>1.0904</v>
      </c>
      <c r="AM110" s="305">
        <f t="shared" si="2"/>
        <v>1.0904</v>
      </c>
      <c r="AN110" s="299"/>
    </row>
    <row r="111" spans="1:40" x14ac:dyDescent="0.2">
      <c r="A111" s="352">
        <v>28</v>
      </c>
      <c r="B111" s="304">
        <v>0.95619999999999994</v>
      </c>
      <c r="C111" s="304">
        <v>0.97319999999999995</v>
      </c>
      <c r="D111" s="304">
        <v>0.98760442570336004</v>
      </c>
      <c r="E111" s="304">
        <v>0.99880000000000002</v>
      </c>
      <c r="F111" s="304">
        <v>1.0101191664742402</v>
      </c>
      <c r="G111" s="304">
        <v>1.0186728133127201</v>
      </c>
      <c r="H111" s="304">
        <v>1.0255999999999998</v>
      </c>
      <c r="I111" s="304">
        <v>1.0321606582799601</v>
      </c>
      <c r="J111" s="305">
        <v>1.0376088475187202</v>
      </c>
      <c r="K111" s="304">
        <v>1.0424450604238402</v>
      </c>
      <c r="L111" s="304">
        <v>1.0468023302691201</v>
      </c>
      <c r="M111" s="304">
        <v>1.0513999999999999</v>
      </c>
      <c r="N111" s="304">
        <v>1.0544402945945601</v>
      </c>
      <c r="O111" s="304">
        <v>1.05783482055512</v>
      </c>
      <c r="P111" s="304">
        <v>1.0609897404054403</v>
      </c>
      <c r="Q111" s="304">
        <v>1.0639208743185202</v>
      </c>
      <c r="R111" s="304">
        <v>1.0669999999999999</v>
      </c>
      <c r="S111" s="305">
        <v>1.0691384444521603</v>
      </c>
      <c r="T111" s="304">
        <v>1.0714304022435204</v>
      </c>
      <c r="U111" s="304">
        <v>1.0735151962840401</v>
      </c>
      <c r="V111" s="304">
        <v>1.0753992651059199</v>
      </c>
      <c r="W111" s="304">
        <v>1.0770934062500004</v>
      </c>
      <c r="X111" s="304">
        <v>1.0786134325577603</v>
      </c>
      <c r="Y111" s="304">
        <v>1.0799802189689203</v>
      </c>
      <c r="Z111" s="304">
        <v>1.0812191398246396</v>
      </c>
      <c r="AA111" s="304">
        <v>1.0823588966763198</v>
      </c>
      <c r="AB111" s="305">
        <v>1.0846</v>
      </c>
      <c r="AC111" s="304">
        <v>1.0844610610163594</v>
      </c>
      <c r="AD111" s="304">
        <v>1.0854784250163203</v>
      </c>
      <c r="AE111" s="304">
        <v>1.0864999271922398</v>
      </c>
      <c r="AF111" s="304">
        <v>1.0875319899747198</v>
      </c>
      <c r="AG111" s="304">
        <v>1.0885645304750005</v>
      </c>
      <c r="AH111" s="304">
        <v>1.0895655218329603</v>
      </c>
      <c r="AI111" s="304">
        <v>1.0904749450707205</v>
      </c>
      <c r="AJ111" s="304">
        <v>1.0911981314518417</v>
      </c>
      <c r="AK111" s="304">
        <v>1.09159849534612</v>
      </c>
      <c r="AL111" s="305">
        <v>1.0916000000000001</v>
      </c>
      <c r="AM111" s="305">
        <f t="shared" si="2"/>
        <v>1.0916000000000001</v>
      </c>
      <c r="AN111" s="299"/>
    </row>
    <row r="112" spans="1:40" x14ac:dyDescent="0.2">
      <c r="A112" s="352">
        <v>29</v>
      </c>
      <c r="B112" s="304">
        <v>0.95660000000000001</v>
      </c>
      <c r="C112" s="304">
        <v>0.97360000000000002</v>
      </c>
      <c r="D112" s="304">
        <v>0.98810760563408007</v>
      </c>
      <c r="E112" s="304">
        <v>0.99939999999999996</v>
      </c>
      <c r="F112" s="304">
        <v>1.0107189514291202</v>
      </c>
      <c r="G112" s="304">
        <v>1.0193175587908101</v>
      </c>
      <c r="H112" s="304">
        <v>1.0263</v>
      </c>
      <c r="I112" s="304">
        <v>1.03288455572013</v>
      </c>
      <c r="J112" s="305">
        <v>1.0383667770137601</v>
      </c>
      <c r="K112" s="304">
        <v>1.0432337699921701</v>
      </c>
      <c r="L112" s="304">
        <v>1.0476191623137601</v>
      </c>
      <c r="M112" s="304">
        <v>1.0522</v>
      </c>
      <c r="N112" s="304">
        <v>1.05530821728768</v>
      </c>
      <c r="O112" s="304">
        <v>1.0587271253612101</v>
      </c>
      <c r="P112" s="304">
        <v>1.0619064790587203</v>
      </c>
      <c r="Q112" s="304">
        <v>1.0648625624582102</v>
      </c>
      <c r="R112" s="304">
        <v>1.0680000000000001</v>
      </c>
      <c r="S112" s="305">
        <v>1.0701325829267303</v>
      </c>
      <c r="T112" s="304">
        <v>1.0724520650721605</v>
      </c>
      <c r="U112" s="304">
        <v>1.0745649359987701</v>
      </c>
      <c r="V112" s="304">
        <v>1.0764771634841599</v>
      </c>
      <c r="W112" s="304">
        <v>1.0781989101562504</v>
      </c>
      <c r="X112" s="304">
        <v>1.0797452226772801</v>
      </c>
      <c r="Y112" s="304">
        <v>1.0811361222766103</v>
      </c>
      <c r="Z112" s="304">
        <v>1.0823960966323196</v>
      </c>
      <c r="AA112" s="304">
        <v>1.0835529931016099</v>
      </c>
      <c r="AB112" s="305">
        <v>1.0857999999999999</v>
      </c>
      <c r="AC112" s="304">
        <v>1.0856749090293296</v>
      </c>
      <c r="AD112" s="304">
        <v>1.0866940795545605</v>
      </c>
      <c r="AE112" s="304">
        <v>1.0877120702293699</v>
      </c>
      <c r="AF112" s="304">
        <v>1.0887359724705599</v>
      </c>
      <c r="AG112" s="304">
        <v>1.0897570250812507</v>
      </c>
      <c r="AH112" s="304">
        <v>1.0907453169228805</v>
      </c>
      <c r="AI112" s="304">
        <v>1.0916438909360107</v>
      </c>
      <c r="AJ112" s="304">
        <v>1.0923622495099219</v>
      </c>
      <c r="AK112" s="304">
        <v>1.0927692612010096</v>
      </c>
      <c r="AL112" s="305">
        <v>1.0928</v>
      </c>
      <c r="AM112" s="305">
        <f t="shared" si="2"/>
        <v>1.0928</v>
      </c>
      <c r="AN112" s="299"/>
    </row>
    <row r="113" spans="1:40" x14ac:dyDescent="0.2">
      <c r="A113" s="353">
        <v>30</v>
      </c>
      <c r="B113" s="307">
        <v>0.95699999999999996</v>
      </c>
      <c r="C113" s="307">
        <v>0.97399999999999998</v>
      </c>
      <c r="D113" s="307">
        <v>0.98861078556480009</v>
      </c>
      <c r="E113" s="307">
        <v>1</v>
      </c>
      <c r="F113" s="307">
        <v>1.0113187363840002</v>
      </c>
      <c r="G113" s="307">
        <v>1.0199623042689001</v>
      </c>
      <c r="H113" s="307">
        <v>1.0269999999999999</v>
      </c>
      <c r="I113" s="307">
        <v>1.0336084531603</v>
      </c>
      <c r="J113" s="308">
        <v>1.0391247065088001</v>
      </c>
      <c r="K113" s="307">
        <v>1.0440224795605002</v>
      </c>
      <c r="L113" s="307">
        <v>1.0484359943584001</v>
      </c>
      <c r="M113" s="307">
        <v>1.0529999999999999</v>
      </c>
      <c r="N113" s="307">
        <v>1.0561761399808001</v>
      </c>
      <c r="O113" s="307">
        <v>1.0596194301673001</v>
      </c>
      <c r="P113" s="307">
        <v>1.0628232177120003</v>
      </c>
      <c r="Q113" s="307">
        <v>1.0658042505979002</v>
      </c>
      <c r="R113" s="307">
        <v>1.069</v>
      </c>
      <c r="S113" s="308">
        <v>1.0711267214013003</v>
      </c>
      <c r="T113" s="307">
        <v>1.0734737279008004</v>
      </c>
      <c r="U113" s="307">
        <v>1.0756146757135001</v>
      </c>
      <c r="V113" s="307">
        <v>1.0775550618623999</v>
      </c>
      <c r="W113" s="307">
        <v>1.0793044140625003</v>
      </c>
      <c r="X113" s="307">
        <v>1.0808770127968002</v>
      </c>
      <c r="Y113" s="307">
        <v>1.0822920255843003</v>
      </c>
      <c r="Z113" s="307">
        <v>1.0835730534399994</v>
      </c>
      <c r="AA113" s="307">
        <v>1.0847470895268998</v>
      </c>
      <c r="AB113" s="308">
        <v>1.087</v>
      </c>
      <c r="AC113" s="307">
        <v>1.0868887570422996</v>
      </c>
      <c r="AD113" s="307">
        <v>1.0879097340928006</v>
      </c>
      <c r="AE113" s="307">
        <v>1.0889242132665</v>
      </c>
      <c r="AF113" s="307">
        <v>1.0899399549663999</v>
      </c>
      <c r="AG113" s="307">
        <v>1.0909495196875008</v>
      </c>
      <c r="AH113" s="307">
        <v>1.0919251120128006</v>
      </c>
      <c r="AI113" s="307">
        <v>1.0928128368013006</v>
      </c>
      <c r="AJ113" s="307">
        <v>1.093526367568002</v>
      </c>
      <c r="AK113" s="307">
        <v>1.0939400270558992</v>
      </c>
      <c r="AL113" s="308">
        <v>1.0940000000000001</v>
      </c>
      <c r="AM113" s="308">
        <f t="shared" si="2"/>
        <v>1.0940000000000001</v>
      </c>
      <c r="AN113" s="299"/>
    </row>
    <row r="114" spans="1:40" x14ac:dyDescent="0.2">
      <c r="A114" s="352">
        <v>31</v>
      </c>
      <c r="B114" s="304">
        <v>0.95699999999999996</v>
      </c>
      <c r="C114" s="304">
        <v>0.97399999999999998</v>
      </c>
      <c r="D114" s="304">
        <v>0.98862183411824012</v>
      </c>
      <c r="E114" s="304">
        <v>1</v>
      </c>
      <c r="F114" s="304">
        <v>1.0113783172838402</v>
      </c>
      <c r="G114" s="304">
        <v>1.0200440178816501</v>
      </c>
      <c r="H114" s="304">
        <v>1.0270999999999999</v>
      </c>
      <c r="I114" s="304">
        <v>1.03372958190009</v>
      </c>
      <c r="J114" s="305">
        <v>1.03926294843392</v>
      </c>
      <c r="K114" s="304">
        <v>1.0441760304378902</v>
      </c>
      <c r="L114" s="304">
        <v>1.0486030234008001</v>
      </c>
      <c r="M114" s="304">
        <v>1.0531999999999999</v>
      </c>
      <c r="N114" s="304">
        <v>1.0563646443494401</v>
      </c>
      <c r="O114" s="304">
        <v>1.05981599442837</v>
      </c>
      <c r="P114" s="304">
        <v>1.0630261344094403</v>
      </c>
      <c r="Q114" s="304">
        <v>1.0660118951674502</v>
      </c>
      <c r="R114" s="304">
        <v>1.0691999999999999</v>
      </c>
      <c r="S114" s="305">
        <v>1.0713393632162902</v>
      </c>
      <c r="T114" s="304">
        <v>1.0736868805003204</v>
      </c>
      <c r="U114" s="304">
        <v>1.0758271910484902</v>
      </c>
      <c r="V114" s="304">
        <v>1.0777659314815999</v>
      </c>
      <c r="W114" s="304">
        <v>1.0795127695312503</v>
      </c>
      <c r="X114" s="304">
        <v>1.0810821215006401</v>
      </c>
      <c r="Y114" s="304">
        <v>1.0824932814997703</v>
      </c>
      <c r="Z114" s="304">
        <v>1.0837699624550394</v>
      </c>
      <c r="AA114" s="304">
        <v>1.0849392488932499</v>
      </c>
      <c r="AB114" s="305">
        <v>1.0871999999999999</v>
      </c>
      <c r="AC114" s="304">
        <v>1.0870704334524897</v>
      </c>
      <c r="AD114" s="304">
        <v>1.0880856985267204</v>
      </c>
      <c r="AE114" s="304">
        <v>1.0890940909790898</v>
      </c>
      <c r="AF114" s="304">
        <v>1.0901032572023999</v>
      </c>
      <c r="AG114" s="304">
        <v>1.0911055791562507</v>
      </c>
      <c r="AH114" s="304">
        <v>1.0920730095718407</v>
      </c>
      <c r="AI114" s="304">
        <v>1.0929513189311706</v>
      </c>
      <c r="AJ114" s="304">
        <v>1.0936537542206415</v>
      </c>
      <c r="AK114" s="304">
        <v>1.0940541094590492</v>
      </c>
      <c r="AL114" s="305">
        <v>1.0941000000000001</v>
      </c>
      <c r="AM114" s="305">
        <f t="shared" si="2"/>
        <v>1.0941000000000001</v>
      </c>
      <c r="AN114" s="299"/>
    </row>
    <row r="115" spans="1:40" x14ac:dyDescent="0.2">
      <c r="A115" s="352">
        <v>32</v>
      </c>
      <c r="B115" s="304">
        <v>0.95699999999999996</v>
      </c>
      <c r="C115" s="304">
        <v>0.97399999999999998</v>
      </c>
      <c r="D115" s="304">
        <v>0.98863288267168004</v>
      </c>
      <c r="E115" s="304">
        <v>1</v>
      </c>
      <c r="F115" s="304">
        <v>1.01143789818368</v>
      </c>
      <c r="G115" s="304">
        <v>1.0201257314944001</v>
      </c>
      <c r="H115" s="304">
        <v>1.0271999999999999</v>
      </c>
      <c r="I115" s="304">
        <v>1.03385071063988</v>
      </c>
      <c r="J115" s="305">
        <v>1.0394011903590401</v>
      </c>
      <c r="K115" s="304">
        <v>1.0443295813152802</v>
      </c>
      <c r="L115" s="304">
        <v>1.0487700524432</v>
      </c>
      <c r="M115" s="304">
        <v>1.0533999999999999</v>
      </c>
      <c r="N115" s="304">
        <v>1.0565531487180801</v>
      </c>
      <c r="O115" s="304">
        <v>1.06001255868944</v>
      </c>
      <c r="P115" s="304">
        <v>1.0632290511068803</v>
      </c>
      <c r="Q115" s="304">
        <v>1.0662195397370002</v>
      </c>
      <c r="R115" s="304">
        <v>1.0693999999999999</v>
      </c>
      <c r="S115" s="305">
        <v>1.0715520050312801</v>
      </c>
      <c r="T115" s="304">
        <v>1.0739000330998403</v>
      </c>
      <c r="U115" s="304">
        <v>1.0760397063834801</v>
      </c>
      <c r="V115" s="304">
        <v>1.0779768011008</v>
      </c>
      <c r="W115" s="304">
        <v>1.0797211250000003</v>
      </c>
      <c r="X115" s="304">
        <v>1.08128723020448</v>
      </c>
      <c r="Y115" s="304">
        <v>1.0826945374152404</v>
      </c>
      <c r="Z115" s="304">
        <v>1.0839668714700794</v>
      </c>
      <c r="AA115" s="304">
        <v>1.0851314082596</v>
      </c>
      <c r="AB115" s="305">
        <v>1.0873999999999999</v>
      </c>
      <c r="AC115" s="304">
        <v>1.0872521098626797</v>
      </c>
      <c r="AD115" s="304">
        <v>1.0882616629606405</v>
      </c>
      <c r="AE115" s="304">
        <v>1.0892639686916799</v>
      </c>
      <c r="AF115" s="304">
        <v>1.0902665594383998</v>
      </c>
      <c r="AG115" s="304">
        <v>1.0912616386250007</v>
      </c>
      <c r="AH115" s="304">
        <v>1.0922209071308808</v>
      </c>
      <c r="AI115" s="304">
        <v>1.0930898010610408</v>
      </c>
      <c r="AJ115" s="304">
        <v>1.0937811408732812</v>
      </c>
      <c r="AK115" s="304">
        <v>1.0941681918621993</v>
      </c>
      <c r="AL115" s="305">
        <v>1.0942000000000001</v>
      </c>
      <c r="AM115" s="305">
        <f t="shared" si="2"/>
        <v>1.0942000000000001</v>
      </c>
      <c r="AN115" s="299"/>
    </row>
    <row r="116" spans="1:40" x14ac:dyDescent="0.2">
      <c r="A116" s="352">
        <v>33</v>
      </c>
      <c r="B116" s="304">
        <v>0.95699999999999996</v>
      </c>
      <c r="C116" s="304">
        <v>0.97399999999999998</v>
      </c>
      <c r="D116" s="304">
        <v>0.98864393122512007</v>
      </c>
      <c r="E116" s="304">
        <v>1</v>
      </c>
      <c r="F116" s="304">
        <v>1.0114974790835201</v>
      </c>
      <c r="G116" s="304">
        <v>1.0202074451071499</v>
      </c>
      <c r="H116" s="304">
        <v>1.0272999999999999</v>
      </c>
      <c r="I116" s="304">
        <v>1.03397183937967</v>
      </c>
      <c r="J116" s="305">
        <v>1.03953943228416</v>
      </c>
      <c r="K116" s="304">
        <v>1.0444831321926702</v>
      </c>
      <c r="L116" s="304">
        <v>1.0489370814856001</v>
      </c>
      <c r="M116" s="304">
        <v>1.0535999999999999</v>
      </c>
      <c r="N116" s="304">
        <v>1.05674165308672</v>
      </c>
      <c r="O116" s="304">
        <v>1.0602091229505102</v>
      </c>
      <c r="P116" s="304">
        <v>1.0634319678043203</v>
      </c>
      <c r="Q116" s="304">
        <v>1.06642718430655</v>
      </c>
      <c r="R116" s="304">
        <v>1.0695999999999999</v>
      </c>
      <c r="S116" s="305">
        <v>1.0717646468462703</v>
      </c>
      <c r="T116" s="304">
        <v>1.0741131856993602</v>
      </c>
      <c r="U116" s="304">
        <v>1.0762522217184702</v>
      </c>
      <c r="V116" s="304">
        <v>1.07818767072</v>
      </c>
      <c r="W116" s="304">
        <v>1.0799294804687503</v>
      </c>
      <c r="X116" s="304">
        <v>1.0814923389083202</v>
      </c>
      <c r="Y116" s="304">
        <v>1.0828957933307102</v>
      </c>
      <c r="Z116" s="304">
        <v>1.0841637804851192</v>
      </c>
      <c r="AA116" s="304">
        <v>1.0853235676259498</v>
      </c>
      <c r="AB116" s="305">
        <v>1.0876000000000001</v>
      </c>
      <c r="AC116" s="304">
        <v>1.0874337862728696</v>
      </c>
      <c r="AD116" s="304">
        <v>1.0884376273945604</v>
      </c>
      <c r="AE116" s="304">
        <v>1.0894338464042697</v>
      </c>
      <c r="AF116" s="304">
        <v>1.0904298616743999</v>
      </c>
      <c r="AG116" s="304">
        <v>1.0914176980937507</v>
      </c>
      <c r="AH116" s="304">
        <v>1.0923688046899207</v>
      </c>
      <c r="AI116" s="304">
        <v>1.0932282831909108</v>
      </c>
      <c r="AJ116" s="304">
        <v>1.0939085275259206</v>
      </c>
      <c r="AK116" s="304">
        <v>1.0942822742653495</v>
      </c>
      <c r="AL116" s="305">
        <v>1.0943000000000001</v>
      </c>
      <c r="AM116" s="305">
        <f t="shared" si="2"/>
        <v>1.0943000000000001</v>
      </c>
      <c r="AN116" s="299"/>
    </row>
    <row r="117" spans="1:40" x14ac:dyDescent="0.2">
      <c r="A117" s="352">
        <v>34</v>
      </c>
      <c r="B117" s="304">
        <v>0.95699999999999996</v>
      </c>
      <c r="C117" s="304">
        <v>0.97399999999999998</v>
      </c>
      <c r="D117" s="304">
        <v>0.98865497977855998</v>
      </c>
      <c r="E117" s="304">
        <v>1</v>
      </c>
      <c r="F117" s="304">
        <v>1.0115570599833599</v>
      </c>
      <c r="G117" s="304">
        <v>1.0202891587198999</v>
      </c>
      <c r="H117" s="304">
        <v>1.0274000000000001</v>
      </c>
      <c r="I117" s="304">
        <v>1.0340929681194599</v>
      </c>
      <c r="J117" s="305">
        <v>1.0396776742092801</v>
      </c>
      <c r="K117" s="304">
        <v>1.0446366830700602</v>
      </c>
      <c r="L117" s="304">
        <v>1.0491041105279999</v>
      </c>
      <c r="M117" s="304">
        <v>1.0537999999999998</v>
      </c>
      <c r="N117" s="304">
        <v>1.05693015745536</v>
      </c>
      <c r="O117" s="304">
        <v>1.0604056872115801</v>
      </c>
      <c r="P117" s="304">
        <v>1.0636348845017602</v>
      </c>
      <c r="Q117" s="304">
        <v>1.0666348288761001</v>
      </c>
      <c r="R117" s="304">
        <v>1.0697999999999999</v>
      </c>
      <c r="S117" s="305">
        <v>1.0719772886612602</v>
      </c>
      <c r="T117" s="304">
        <v>1.0743263382988801</v>
      </c>
      <c r="U117" s="304">
        <v>1.0764647370534601</v>
      </c>
      <c r="V117" s="304">
        <v>1.0783985403392</v>
      </c>
      <c r="W117" s="304">
        <v>1.0801378359375002</v>
      </c>
      <c r="X117" s="304">
        <v>1.0816974476121601</v>
      </c>
      <c r="Y117" s="304">
        <v>1.0830970492461802</v>
      </c>
      <c r="Z117" s="304">
        <v>1.0843606895001592</v>
      </c>
      <c r="AA117" s="304">
        <v>1.0855157269922999</v>
      </c>
      <c r="AB117" s="305">
        <v>1.0878000000000001</v>
      </c>
      <c r="AC117" s="304">
        <v>1.0876154626830596</v>
      </c>
      <c r="AD117" s="304">
        <v>1.0886135918284805</v>
      </c>
      <c r="AE117" s="304">
        <v>1.0896037241168597</v>
      </c>
      <c r="AF117" s="304">
        <v>1.0905931639103998</v>
      </c>
      <c r="AG117" s="304">
        <v>1.0915737575625006</v>
      </c>
      <c r="AH117" s="304">
        <v>1.0925167022489608</v>
      </c>
      <c r="AI117" s="304">
        <v>1.093366765320781</v>
      </c>
      <c r="AJ117" s="304">
        <v>1.0940359141785603</v>
      </c>
      <c r="AK117" s="304">
        <v>1.0943963566684995</v>
      </c>
      <c r="AL117" s="305">
        <v>1.0944</v>
      </c>
      <c r="AM117" s="305">
        <f t="shared" si="2"/>
        <v>1.0944</v>
      </c>
      <c r="AN117" s="299"/>
    </row>
    <row r="118" spans="1:40" x14ac:dyDescent="0.2">
      <c r="A118" s="353">
        <v>35</v>
      </c>
      <c r="B118" s="307">
        <v>0.95699999999999996</v>
      </c>
      <c r="C118" s="307">
        <v>0.97399999999999998</v>
      </c>
      <c r="D118" s="307">
        <v>0.98866602833200001</v>
      </c>
      <c r="E118" s="307">
        <v>1</v>
      </c>
      <c r="F118" s="307">
        <v>1.0116166408831999</v>
      </c>
      <c r="G118" s="307">
        <v>1.0203708723326499</v>
      </c>
      <c r="H118" s="307">
        <v>1.0274999999999999</v>
      </c>
      <c r="I118" s="307">
        <v>1.0342140968592499</v>
      </c>
      <c r="J118" s="308">
        <v>1.0398159161344001</v>
      </c>
      <c r="K118" s="307">
        <v>1.0447902339474502</v>
      </c>
      <c r="L118" s="307">
        <v>1.0492711395704</v>
      </c>
      <c r="M118" s="307">
        <v>1.0539999999999998</v>
      </c>
      <c r="N118" s="307">
        <v>1.057118661824</v>
      </c>
      <c r="O118" s="307">
        <v>1.0606022514726501</v>
      </c>
      <c r="P118" s="307">
        <v>1.0638378011992002</v>
      </c>
      <c r="Q118" s="307">
        <v>1.0668424734456501</v>
      </c>
      <c r="R118" s="307">
        <v>1.0699999999999998</v>
      </c>
      <c r="S118" s="308">
        <v>1.0721899304762501</v>
      </c>
      <c r="T118" s="307">
        <v>1.0745394908984001</v>
      </c>
      <c r="U118" s="307">
        <v>1.0766772523884502</v>
      </c>
      <c r="V118" s="307">
        <v>1.0786094099584</v>
      </c>
      <c r="W118" s="307">
        <v>1.0803461914062502</v>
      </c>
      <c r="X118" s="307">
        <v>1.0819025563160001</v>
      </c>
      <c r="Y118" s="307">
        <v>1.0832983051616503</v>
      </c>
      <c r="Z118" s="307">
        <v>1.0845575985151992</v>
      </c>
      <c r="AA118" s="307">
        <v>1.08570788635865</v>
      </c>
      <c r="AB118" s="308">
        <v>1.0880000000000001</v>
      </c>
      <c r="AC118" s="307">
        <v>1.0877971390932497</v>
      </c>
      <c r="AD118" s="307">
        <v>1.0887895562624004</v>
      </c>
      <c r="AE118" s="307">
        <v>1.0897736018294495</v>
      </c>
      <c r="AF118" s="307">
        <v>1.0907564661463998</v>
      </c>
      <c r="AG118" s="307">
        <v>1.0917298170312506</v>
      </c>
      <c r="AH118" s="307">
        <v>1.0926645998080009</v>
      </c>
      <c r="AI118" s="307">
        <v>1.093505247450651</v>
      </c>
      <c r="AJ118" s="307">
        <v>1.0941633008311997</v>
      </c>
      <c r="AK118" s="307">
        <v>1.0945104390716496</v>
      </c>
      <c r="AL118" s="308">
        <v>1.0945</v>
      </c>
      <c r="AM118" s="308">
        <f t="shared" si="2"/>
        <v>1.0945</v>
      </c>
      <c r="AN118" s="299"/>
    </row>
    <row r="119" spans="1:40" x14ac:dyDescent="0.2">
      <c r="A119" s="352">
        <v>36</v>
      </c>
      <c r="B119" s="304">
        <v>0.95699999999999996</v>
      </c>
      <c r="C119" s="304">
        <v>0.97399999999999998</v>
      </c>
      <c r="D119" s="304">
        <v>0.98867707688544004</v>
      </c>
      <c r="E119" s="304">
        <v>1</v>
      </c>
      <c r="F119" s="304">
        <v>1.01167622178304</v>
      </c>
      <c r="G119" s="304">
        <v>1.0204525859453999</v>
      </c>
      <c r="H119" s="304">
        <v>1.0275999999999998</v>
      </c>
      <c r="I119" s="304">
        <v>1.0343352255990399</v>
      </c>
      <c r="J119" s="305">
        <v>1.03995415805952</v>
      </c>
      <c r="K119" s="304">
        <v>1.0449437848248402</v>
      </c>
      <c r="L119" s="304">
        <v>1.0494381686128</v>
      </c>
      <c r="M119" s="304">
        <v>1.0541999999999998</v>
      </c>
      <c r="N119" s="304">
        <v>1.0573071661926401</v>
      </c>
      <c r="O119" s="304">
        <v>1.06079881573372</v>
      </c>
      <c r="P119" s="304">
        <v>1.0640407178966402</v>
      </c>
      <c r="Q119" s="304">
        <v>1.0670501180152001</v>
      </c>
      <c r="R119" s="304">
        <v>1.0701999999999998</v>
      </c>
      <c r="S119" s="305">
        <v>1.07240257229124</v>
      </c>
      <c r="T119" s="304">
        <v>1.07475264349792</v>
      </c>
      <c r="U119" s="304">
        <v>1.0768897677234404</v>
      </c>
      <c r="V119" s="304">
        <v>1.0788202795776001</v>
      </c>
      <c r="W119" s="304">
        <v>1.0805545468750002</v>
      </c>
      <c r="X119" s="304">
        <v>1.08210766501984</v>
      </c>
      <c r="Y119" s="304">
        <v>1.0834995610771203</v>
      </c>
      <c r="Z119" s="304">
        <v>1.0847545075302392</v>
      </c>
      <c r="AA119" s="304">
        <v>1.0859000457250001</v>
      </c>
      <c r="AB119" s="305">
        <v>1.0882000000000001</v>
      </c>
      <c r="AC119" s="304">
        <v>1.0879788155034398</v>
      </c>
      <c r="AD119" s="304">
        <v>1.0889655206963202</v>
      </c>
      <c r="AE119" s="304">
        <v>1.0899434795420393</v>
      </c>
      <c r="AF119" s="304">
        <v>1.0909197683823997</v>
      </c>
      <c r="AG119" s="304">
        <v>1.0918858765000006</v>
      </c>
      <c r="AH119" s="304">
        <v>1.092812497367041</v>
      </c>
      <c r="AI119" s="304">
        <v>1.093643729580521</v>
      </c>
      <c r="AJ119" s="304">
        <v>1.0942906874838392</v>
      </c>
      <c r="AK119" s="304">
        <v>1.0946245214747996</v>
      </c>
      <c r="AL119" s="305">
        <v>1.0946</v>
      </c>
      <c r="AM119" s="305">
        <f t="shared" si="2"/>
        <v>1.0946</v>
      </c>
      <c r="AN119" s="299"/>
    </row>
    <row r="120" spans="1:40" x14ac:dyDescent="0.2">
      <c r="A120" s="352">
        <v>37</v>
      </c>
      <c r="B120" s="304">
        <v>0.95699999999999996</v>
      </c>
      <c r="C120" s="304">
        <v>0.97399999999999998</v>
      </c>
      <c r="D120" s="304">
        <v>0.98868812543887996</v>
      </c>
      <c r="E120" s="304">
        <v>1</v>
      </c>
      <c r="F120" s="304">
        <v>1.01173580268288</v>
      </c>
      <c r="G120" s="304">
        <v>1.0205342995581499</v>
      </c>
      <c r="H120" s="304">
        <v>1.0276999999999998</v>
      </c>
      <c r="I120" s="304">
        <v>1.0344563543388299</v>
      </c>
      <c r="J120" s="305">
        <v>1.0400923999846401</v>
      </c>
      <c r="K120" s="304">
        <v>1.0450973357022302</v>
      </c>
      <c r="L120" s="304">
        <v>1.0496051976551999</v>
      </c>
      <c r="M120" s="304">
        <v>1.0543999999999998</v>
      </c>
      <c r="N120" s="304">
        <v>1.0574956705612801</v>
      </c>
      <c r="O120" s="304">
        <v>1.06099537999479</v>
      </c>
      <c r="P120" s="304">
        <v>1.0642436345940802</v>
      </c>
      <c r="Q120" s="304">
        <v>1.0672577625847499</v>
      </c>
      <c r="R120" s="304">
        <v>1.0703999999999998</v>
      </c>
      <c r="S120" s="305">
        <v>1.07261521410623</v>
      </c>
      <c r="T120" s="304">
        <v>1.0749657960974399</v>
      </c>
      <c r="U120" s="304">
        <v>1.0771022830584303</v>
      </c>
      <c r="V120" s="304">
        <v>1.0790311491968001</v>
      </c>
      <c r="W120" s="304">
        <v>1.0807629023437502</v>
      </c>
      <c r="X120" s="304">
        <v>1.08231277372368</v>
      </c>
      <c r="Y120" s="304">
        <v>1.0837008169925904</v>
      </c>
      <c r="Z120" s="304">
        <v>1.0849514165452792</v>
      </c>
      <c r="AA120" s="304">
        <v>1.0860922050913502</v>
      </c>
      <c r="AB120" s="305">
        <v>1.0884</v>
      </c>
      <c r="AC120" s="304">
        <v>1.0881604919136298</v>
      </c>
      <c r="AD120" s="304">
        <v>1.0891414851302403</v>
      </c>
      <c r="AE120" s="304">
        <v>1.0901133572546293</v>
      </c>
      <c r="AF120" s="304">
        <v>1.0910830706183996</v>
      </c>
      <c r="AG120" s="304">
        <v>1.0920419359687505</v>
      </c>
      <c r="AH120" s="304">
        <v>1.0929603949260811</v>
      </c>
      <c r="AI120" s="304">
        <v>1.0937822117103913</v>
      </c>
      <c r="AJ120" s="304">
        <v>1.0944180741364788</v>
      </c>
      <c r="AK120" s="304">
        <v>1.0947386038779496</v>
      </c>
      <c r="AL120" s="305">
        <v>1.0947</v>
      </c>
      <c r="AM120" s="305">
        <f t="shared" si="2"/>
        <v>1.0947</v>
      </c>
      <c r="AN120" s="299"/>
    </row>
    <row r="121" spans="1:40" x14ac:dyDescent="0.2">
      <c r="A121" s="352">
        <v>38</v>
      </c>
      <c r="B121" s="304">
        <v>0.95699999999999996</v>
      </c>
      <c r="C121" s="304">
        <v>0.97399999999999998</v>
      </c>
      <c r="D121" s="304">
        <v>0.98869917399231999</v>
      </c>
      <c r="E121" s="304">
        <v>1</v>
      </c>
      <c r="F121" s="304">
        <v>1.0117953835827198</v>
      </c>
      <c r="G121" s="304">
        <v>1.0206160131708999</v>
      </c>
      <c r="H121" s="304">
        <v>1.0278</v>
      </c>
      <c r="I121" s="304">
        <v>1.0345774830786199</v>
      </c>
      <c r="J121" s="305">
        <v>1.04023064190976</v>
      </c>
      <c r="K121" s="304">
        <v>1.04525088657962</v>
      </c>
      <c r="L121" s="304">
        <v>1.0497722266976</v>
      </c>
      <c r="M121" s="304">
        <v>1.0546</v>
      </c>
      <c r="N121" s="304">
        <v>1.05768417492992</v>
      </c>
      <c r="O121" s="304">
        <v>1.0611919442558599</v>
      </c>
      <c r="P121" s="304">
        <v>1.0644465512915202</v>
      </c>
      <c r="Q121" s="304">
        <v>1.0674654071542999</v>
      </c>
      <c r="R121" s="304">
        <v>1.0706</v>
      </c>
      <c r="S121" s="305">
        <v>1.0728278559212199</v>
      </c>
      <c r="T121" s="304">
        <v>1.0751789486969598</v>
      </c>
      <c r="U121" s="304">
        <v>1.0773147983934204</v>
      </c>
      <c r="V121" s="304">
        <v>1.0792420188160001</v>
      </c>
      <c r="W121" s="304">
        <v>1.0809712578125001</v>
      </c>
      <c r="X121" s="304">
        <v>1.0825178824275201</v>
      </c>
      <c r="Y121" s="304">
        <v>1.0839020729080602</v>
      </c>
      <c r="Z121" s="304">
        <v>1.0851483255603189</v>
      </c>
      <c r="AA121" s="304">
        <v>1.0862843644577</v>
      </c>
      <c r="AB121" s="305">
        <v>1.0886</v>
      </c>
      <c r="AC121" s="304">
        <v>1.0883421683238197</v>
      </c>
      <c r="AD121" s="304">
        <v>1.0893174495641602</v>
      </c>
      <c r="AE121" s="304">
        <v>1.0902832349672191</v>
      </c>
      <c r="AF121" s="304">
        <v>1.0912463728543997</v>
      </c>
      <c r="AG121" s="304">
        <v>1.0921979954375005</v>
      </c>
      <c r="AH121" s="304">
        <v>1.093108292485121</v>
      </c>
      <c r="AI121" s="304">
        <v>1.0939206938402612</v>
      </c>
      <c r="AJ121" s="304">
        <v>1.0945454607891183</v>
      </c>
      <c r="AK121" s="304">
        <v>1.0948526862810999</v>
      </c>
      <c r="AL121" s="305">
        <v>1.0948</v>
      </c>
      <c r="AM121" s="305">
        <f t="shared" si="2"/>
        <v>1.0948</v>
      </c>
      <c r="AN121" s="299"/>
    </row>
    <row r="122" spans="1:40" x14ac:dyDescent="0.2">
      <c r="A122" s="352">
        <v>39</v>
      </c>
      <c r="B122" s="304">
        <v>0.95699999999999996</v>
      </c>
      <c r="C122" s="304">
        <v>0.97399999999999998</v>
      </c>
      <c r="D122" s="304">
        <v>0.98871022254575991</v>
      </c>
      <c r="E122" s="304">
        <v>1</v>
      </c>
      <c r="F122" s="304">
        <v>1.0118549644825598</v>
      </c>
      <c r="G122" s="304">
        <v>1.0206977267836499</v>
      </c>
      <c r="H122" s="304">
        <v>1.0279</v>
      </c>
      <c r="I122" s="304">
        <v>1.0346986118184098</v>
      </c>
      <c r="J122" s="305">
        <v>1.0403688838348801</v>
      </c>
      <c r="K122" s="304">
        <v>1.0454044374570099</v>
      </c>
      <c r="L122" s="304">
        <v>1.0499392557399998</v>
      </c>
      <c r="M122" s="304">
        <v>1.0548</v>
      </c>
      <c r="N122" s="304">
        <v>1.05787267929856</v>
      </c>
      <c r="O122" s="304">
        <v>1.0613885085169299</v>
      </c>
      <c r="P122" s="304">
        <v>1.0646494679889602</v>
      </c>
      <c r="Q122" s="304">
        <v>1.0676730517238497</v>
      </c>
      <c r="R122" s="304">
        <v>1.0708</v>
      </c>
      <c r="S122" s="305">
        <v>1.0730404977362098</v>
      </c>
      <c r="T122" s="304">
        <v>1.0753921012964798</v>
      </c>
      <c r="U122" s="304">
        <v>1.0775273137284103</v>
      </c>
      <c r="V122" s="304">
        <v>1.0794528884352002</v>
      </c>
      <c r="W122" s="304">
        <v>1.0811796132812501</v>
      </c>
      <c r="X122" s="304">
        <v>1.0827229911313601</v>
      </c>
      <c r="Y122" s="304">
        <v>1.0841033288235302</v>
      </c>
      <c r="Z122" s="304">
        <v>1.0853452345753589</v>
      </c>
      <c r="AA122" s="304">
        <v>1.0864765238240501</v>
      </c>
      <c r="AB122" s="305">
        <v>1.0888</v>
      </c>
      <c r="AC122" s="304">
        <v>1.0885238447340098</v>
      </c>
      <c r="AD122" s="304">
        <v>1.0894934139980803</v>
      </c>
      <c r="AE122" s="304">
        <v>1.0904531126798092</v>
      </c>
      <c r="AF122" s="304">
        <v>1.0914096750903997</v>
      </c>
      <c r="AG122" s="304">
        <v>1.0923540549062505</v>
      </c>
      <c r="AH122" s="304">
        <v>1.0932561900441611</v>
      </c>
      <c r="AI122" s="304">
        <v>1.0940591759701315</v>
      </c>
      <c r="AJ122" s="304">
        <v>1.094672847441758</v>
      </c>
      <c r="AK122" s="304">
        <v>1.0949667686842499</v>
      </c>
      <c r="AL122" s="305">
        <v>1.0949</v>
      </c>
      <c r="AM122" s="305">
        <f t="shared" si="2"/>
        <v>1.0949</v>
      </c>
      <c r="AN122" s="299"/>
    </row>
    <row r="123" spans="1:40" ht="13.5" thickBot="1" x14ac:dyDescent="0.25">
      <c r="A123" s="354">
        <v>40</v>
      </c>
      <c r="B123" s="310">
        <v>0.95699999999999996</v>
      </c>
      <c r="C123" s="310">
        <v>0.97399999999999998</v>
      </c>
      <c r="D123" s="310">
        <v>0.98872127109919994</v>
      </c>
      <c r="E123" s="310">
        <v>1</v>
      </c>
      <c r="F123" s="310">
        <v>1.0119145453823999</v>
      </c>
      <c r="G123" s="310">
        <v>1.0207794403963999</v>
      </c>
      <c r="H123" s="310">
        <v>1.028</v>
      </c>
      <c r="I123" s="310">
        <v>1.0348197405581998</v>
      </c>
      <c r="J123" s="311">
        <v>1.04050712576</v>
      </c>
      <c r="K123" s="310">
        <v>1.0455579883343999</v>
      </c>
      <c r="L123" s="310">
        <v>1.0501062847823999</v>
      </c>
      <c r="M123" s="310">
        <v>1.0549999999999999</v>
      </c>
      <c r="N123" s="310">
        <v>1.0580611836672</v>
      </c>
      <c r="O123" s="310">
        <v>1.0615850727779998</v>
      </c>
      <c r="P123" s="310">
        <v>1.0648523846864002</v>
      </c>
      <c r="Q123" s="310">
        <v>1.0678806962933998</v>
      </c>
      <c r="R123" s="310">
        <v>1.071</v>
      </c>
      <c r="S123" s="311">
        <v>1.0732531395511997</v>
      </c>
      <c r="T123" s="310">
        <v>1.0756052538959997</v>
      </c>
      <c r="U123" s="310">
        <v>1.0777398290634004</v>
      </c>
      <c r="V123" s="310">
        <v>1.0796637580544002</v>
      </c>
      <c r="W123" s="310">
        <v>1.0813879687500001</v>
      </c>
      <c r="X123" s="310">
        <v>1.0829280998352</v>
      </c>
      <c r="Y123" s="310">
        <v>1.0843045847390003</v>
      </c>
      <c r="Z123" s="310">
        <v>1.0855421435903989</v>
      </c>
      <c r="AA123" s="310">
        <v>1.0866686831904002</v>
      </c>
      <c r="AB123" s="311">
        <v>1.089</v>
      </c>
      <c r="AC123" s="310">
        <v>1.0887055211441998</v>
      </c>
      <c r="AD123" s="310">
        <v>1.0896693784320002</v>
      </c>
      <c r="AE123" s="310">
        <v>1.090622990392399</v>
      </c>
      <c r="AF123" s="310">
        <v>1.0915729773263996</v>
      </c>
      <c r="AG123" s="310">
        <v>1.0925101143750005</v>
      </c>
      <c r="AH123" s="310">
        <v>1.0934040876032012</v>
      </c>
      <c r="AI123" s="310">
        <v>1.0941976581000015</v>
      </c>
      <c r="AJ123" s="310">
        <v>1.0948002340943974</v>
      </c>
      <c r="AK123" s="310">
        <v>1.0950808510873999</v>
      </c>
      <c r="AL123" s="311">
        <v>1.095</v>
      </c>
      <c r="AM123" s="311">
        <f t="shared" si="2"/>
        <v>1.095</v>
      </c>
      <c r="AN123" s="299"/>
    </row>
    <row r="124" spans="1:40" ht="14.25" thickTop="1" thickBot="1" x14ac:dyDescent="0.25">
      <c r="A124" s="354">
        <f>A123+0.001</f>
        <v>40.000999999999998</v>
      </c>
      <c r="B124" s="310">
        <f>B123</f>
        <v>0.95699999999999996</v>
      </c>
      <c r="C124" s="310">
        <f t="shared" ref="C124:AL124" si="3">C123</f>
        <v>0.97399999999999998</v>
      </c>
      <c r="D124" s="310">
        <f t="shared" si="3"/>
        <v>0.98872127109919994</v>
      </c>
      <c r="E124" s="310">
        <f t="shared" si="3"/>
        <v>1</v>
      </c>
      <c r="F124" s="310">
        <f t="shared" si="3"/>
        <v>1.0119145453823999</v>
      </c>
      <c r="G124" s="310">
        <f t="shared" si="3"/>
        <v>1.0207794403963999</v>
      </c>
      <c r="H124" s="310">
        <f t="shared" si="3"/>
        <v>1.028</v>
      </c>
      <c r="I124" s="310">
        <f t="shared" si="3"/>
        <v>1.0348197405581998</v>
      </c>
      <c r="J124" s="311">
        <f t="shared" si="3"/>
        <v>1.04050712576</v>
      </c>
      <c r="K124" s="310">
        <f t="shared" si="3"/>
        <v>1.0455579883343999</v>
      </c>
      <c r="L124" s="310">
        <f t="shared" si="3"/>
        <v>1.0501062847823999</v>
      </c>
      <c r="M124" s="310">
        <f t="shared" si="3"/>
        <v>1.0549999999999999</v>
      </c>
      <c r="N124" s="310">
        <f t="shared" si="3"/>
        <v>1.0580611836672</v>
      </c>
      <c r="O124" s="310">
        <f t="shared" si="3"/>
        <v>1.0615850727779998</v>
      </c>
      <c r="P124" s="310">
        <f t="shared" si="3"/>
        <v>1.0648523846864002</v>
      </c>
      <c r="Q124" s="310">
        <f t="shared" si="3"/>
        <v>1.0678806962933998</v>
      </c>
      <c r="R124" s="310">
        <f t="shared" si="3"/>
        <v>1.071</v>
      </c>
      <c r="S124" s="311">
        <f t="shared" si="3"/>
        <v>1.0732531395511997</v>
      </c>
      <c r="T124" s="310">
        <f t="shared" si="3"/>
        <v>1.0756052538959997</v>
      </c>
      <c r="U124" s="310">
        <f t="shared" si="3"/>
        <v>1.0777398290634004</v>
      </c>
      <c r="V124" s="310">
        <f t="shared" si="3"/>
        <v>1.0796637580544002</v>
      </c>
      <c r="W124" s="310">
        <f t="shared" si="3"/>
        <v>1.0813879687500001</v>
      </c>
      <c r="X124" s="310">
        <f t="shared" si="3"/>
        <v>1.0829280998352</v>
      </c>
      <c r="Y124" s="310">
        <f t="shared" si="3"/>
        <v>1.0843045847390003</v>
      </c>
      <c r="Z124" s="310">
        <f t="shared" si="3"/>
        <v>1.0855421435903989</v>
      </c>
      <c r="AA124" s="310">
        <f t="shared" si="3"/>
        <v>1.0866686831904002</v>
      </c>
      <c r="AB124" s="311">
        <f t="shared" si="3"/>
        <v>1.089</v>
      </c>
      <c r="AC124" s="310">
        <f t="shared" si="3"/>
        <v>1.0887055211441998</v>
      </c>
      <c r="AD124" s="310">
        <f t="shared" si="3"/>
        <v>1.0896693784320002</v>
      </c>
      <c r="AE124" s="310">
        <f t="shared" si="3"/>
        <v>1.090622990392399</v>
      </c>
      <c r="AF124" s="310">
        <f t="shared" si="3"/>
        <v>1.0915729773263996</v>
      </c>
      <c r="AG124" s="310">
        <f t="shared" si="3"/>
        <v>1.0925101143750005</v>
      </c>
      <c r="AH124" s="310">
        <f t="shared" si="3"/>
        <v>1.0934040876032012</v>
      </c>
      <c r="AI124" s="310">
        <f t="shared" si="3"/>
        <v>1.0941976581000015</v>
      </c>
      <c r="AJ124" s="310">
        <f t="shared" si="3"/>
        <v>1.0948002340943974</v>
      </c>
      <c r="AK124" s="310">
        <f t="shared" si="3"/>
        <v>1.0950808510873999</v>
      </c>
      <c r="AL124" s="311">
        <f t="shared" si="3"/>
        <v>1.095</v>
      </c>
      <c r="AM124" s="311">
        <f>AL123</f>
        <v>1.095</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315"/>
      <c r="H128" s="315"/>
      <c r="I128" s="316"/>
    </row>
    <row r="129" spans="1:9" ht="14.25" thickTop="1" thickBot="1" x14ac:dyDescent="0.25">
      <c r="A129" s="347" t="s">
        <v>49</v>
      </c>
      <c r="B129" s="264" t="s">
        <v>50</v>
      </c>
      <c r="C129" s="264" t="s">
        <v>51</v>
      </c>
      <c r="D129" s="264" t="s">
        <v>52</v>
      </c>
      <c r="E129" s="264" t="s">
        <v>53</v>
      </c>
      <c r="F129" s="264" t="s">
        <v>54</v>
      </c>
      <c r="G129" s="264" t="s">
        <v>55</v>
      </c>
      <c r="H129" s="267" t="s">
        <v>56</v>
      </c>
      <c r="I129" s="271"/>
    </row>
    <row r="130" spans="1:9" ht="13.5" thickTop="1" x14ac:dyDescent="0.2">
      <c r="A130" s="348">
        <v>0</v>
      </c>
      <c r="B130" s="274"/>
      <c r="C130" s="275"/>
      <c r="D130" s="275"/>
      <c r="E130" s="275"/>
      <c r="F130" s="275"/>
      <c r="G130" s="275"/>
      <c r="H130" s="276"/>
      <c r="I130" s="237"/>
    </row>
    <row r="131" spans="1:9" x14ac:dyDescent="0.2">
      <c r="A131" s="348">
        <v>0.1</v>
      </c>
      <c r="B131" s="277"/>
      <c r="C131" s="278"/>
      <c r="D131" s="278"/>
      <c r="E131" s="278"/>
      <c r="F131" s="278"/>
      <c r="G131" s="278"/>
      <c r="H131" s="279"/>
      <c r="I131" s="237"/>
    </row>
    <row r="132" spans="1:9" x14ac:dyDescent="0.2">
      <c r="A132" s="348">
        <v>0.2</v>
      </c>
      <c r="B132" s="277"/>
      <c r="C132" s="278"/>
      <c r="D132" s="278"/>
      <c r="E132" s="278"/>
      <c r="F132" s="278"/>
      <c r="G132" s="278"/>
      <c r="H132" s="279"/>
      <c r="I132" s="237"/>
    </row>
    <row r="133" spans="1:9" x14ac:dyDescent="0.2">
      <c r="A133" s="348">
        <v>0.3</v>
      </c>
      <c r="B133" s="277"/>
      <c r="C133" s="278"/>
      <c r="D133" s="278"/>
      <c r="E133" s="278"/>
      <c r="F133" s="278"/>
      <c r="G133" s="278"/>
      <c r="H133" s="279"/>
      <c r="I133" s="237"/>
    </row>
    <row r="134" spans="1:9" x14ac:dyDescent="0.2">
      <c r="A134" s="348">
        <v>0.4</v>
      </c>
      <c r="B134" s="277"/>
      <c r="C134" s="278"/>
      <c r="D134" s="278"/>
      <c r="E134" s="278"/>
      <c r="F134" s="278"/>
      <c r="G134" s="278"/>
      <c r="H134" s="279"/>
      <c r="I134" s="237"/>
    </row>
    <row r="135" spans="1:9" x14ac:dyDescent="0.2">
      <c r="A135" s="348">
        <v>0.5</v>
      </c>
      <c r="B135" s="277"/>
      <c r="C135" s="278"/>
      <c r="D135" s="278"/>
      <c r="E135" s="278"/>
      <c r="F135" s="278"/>
      <c r="G135" s="278"/>
      <c r="H135" s="279"/>
      <c r="I135" s="237"/>
    </row>
    <row r="136" spans="1:9" x14ac:dyDescent="0.2">
      <c r="A136" s="348">
        <v>0.6</v>
      </c>
      <c r="B136" s="277"/>
      <c r="C136" s="278"/>
      <c r="D136" s="278"/>
      <c r="E136" s="278"/>
      <c r="F136" s="278"/>
      <c r="G136" s="278"/>
      <c r="H136" s="279"/>
      <c r="I136" s="237"/>
    </row>
    <row r="137" spans="1:9" x14ac:dyDescent="0.2">
      <c r="A137" s="348">
        <v>0.7</v>
      </c>
      <c r="B137" s="277"/>
      <c r="C137" s="278"/>
      <c r="D137" s="278"/>
      <c r="E137" s="278"/>
      <c r="F137" s="278"/>
      <c r="G137" s="278"/>
      <c r="H137" s="279"/>
      <c r="I137" s="237"/>
    </row>
    <row r="138" spans="1:9" x14ac:dyDescent="0.2">
      <c r="A138" s="348">
        <v>0.8</v>
      </c>
      <c r="B138" s="277"/>
      <c r="C138" s="278"/>
      <c r="D138" s="278"/>
      <c r="E138" s="278"/>
      <c r="F138" s="278"/>
      <c r="G138" s="278"/>
      <c r="H138" s="279"/>
      <c r="I138" s="237"/>
    </row>
    <row r="139" spans="1:9" x14ac:dyDescent="0.2">
      <c r="A139" s="348">
        <v>0.9</v>
      </c>
      <c r="B139" s="277"/>
      <c r="C139" s="278"/>
      <c r="D139" s="278"/>
      <c r="E139" s="278"/>
      <c r="F139" s="278"/>
      <c r="G139" s="278"/>
      <c r="H139" s="279"/>
      <c r="I139" s="237"/>
    </row>
    <row r="140" spans="1:9" x14ac:dyDescent="0.2">
      <c r="A140" s="348">
        <v>1</v>
      </c>
      <c r="B140" s="277"/>
      <c r="C140" s="278"/>
      <c r="D140" s="278"/>
      <c r="E140" s="278"/>
      <c r="F140" s="278"/>
      <c r="G140" s="278"/>
      <c r="H140" s="279"/>
      <c r="I140" s="237"/>
    </row>
    <row r="141" spans="1:9" x14ac:dyDescent="0.2">
      <c r="A141" s="348">
        <v>1.1000000000000001</v>
      </c>
      <c r="B141" s="277"/>
      <c r="C141" s="278"/>
      <c r="D141" s="278"/>
      <c r="E141" s="278"/>
      <c r="F141" s="278"/>
      <c r="G141" s="278"/>
      <c r="H141" s="279"/>
      <c r="I141" s="237"/>
    </row>
    <row r="142" spans="1:9" x14ac:dyDescent="0.2">
      <c r="A142" s="348">
        <v>1.2</v>
      </c>
      <c r="B142" s="277"/>
      <c r="C142" s="278"/>
      <c r="D142" s="278"/>
      <c r="E142" s="278"/>
      <c r="F142" s="278"/>
      <c r="G142" s="278"/>
      <c r="H142" s="279"/>
      <c r="I142" s="237"/>
    </row>
    <row r="143" spans="1:9" x14ac:dyDescent="0.2">
      <c r="A143" s="348">
        <v>1.3</v>
      </c>
      <c r="B143" s="277"/>
      <c r="C143" s="278"/>
      <c r="D143" s="278"/>
      <c r="E143" s="278"/>
      <c r="F143" s="278"/>
      <c r="G143" s="278"/>
      <c r="H143" s="279"/>
      <c r="I143" s="237"/>
    </row>
    <row r="144" spans="1:9" x14ac:dyDescent="0.2">
      <c r="A144" s="348">
        <v>1.4</v>
      </c>
      <c r="B144" s="277"/>
      <c r="C144" s="278"/>
      <c r="D144" s="278"/>
      <c r="E144" s="278"/>
      <c r="F144" s="278"/>
      <c r="G144" s="278"/>
      <c r="H144" s="279"/>
      <c r="I144" s="237"/>
    </row>
    <row r="145" spans="1:9" x14ac:dyDescent="0.2">
      <c r="A145" s="348">
        <v>1.5</v>
      </c>
      <c r="B145" s="277"/>
      <c r="C145" s="278"/>
      <c r="D145" s="278"/>
      <c r="E145" s="278"/>
      <c r="F145" s="278"/>
      <c r="G145" s="278"/>
      <c r="H145" s="279"/>
      <c r="I145" s="237"/>
    </row>
    <row r="146" spans="1:9" x14ac:dyDescent="0.2">
      <c r="A146" s="348">
        <v>1.6</v>
      </c>
      <c r="B146" s="277"/>
      <c r="C146" s="278"/>
      <c r="D146" s="278"/>
      <c r="E146" s="278"/>
      <c r="F146" s="278"/>
      <c r="G146" s="278"/>
      <c r="H146" s="279"/>
      <c r="I146" s="237"/>
    </row>
    <row r="147" spans="1:9" x14ac:dyDescent="0.2">
      <c r="A147" s="348">
        <v>1.7</v>
      </c>
      <c r="B147" s="277"/>
      <c r="C147" s="278"/>
      <c r="D147" s="278"/>
      <c r="E147" s="278"/>
      <c r="F147" s="278"/>
      <c r="G147" s="278"/>
      <c r="H147" s="279"/>
      <c r="I147" s="237"/>
    </row>
    <row r="148" spans="1:9" x14ac:dyDescent="0.2">
      <c r="A148" s="348">
        <v>1.8</v>
      </c>
      <c r="B148" s="277"/>
      <c r="C148" s="278"/>
      <c r="D148" s="278"/>
      <c r="E148" s="278"/>
      <c r="F148" s="278"/>
      <c r="G148" s="278"/>
      <c r="H148" s="279"/>
      <c r="I148" s="237"/>
    </row>
    <row r="149" spans="1:9" x14ac:dyDescent="0.2">
      <c r="A149" s="348">
        <v>1.9</v>
      </c>
      <c r="B149" s="277"/>
      <c r="C149" s="278"/>
      <c r="D149" s="278"/>
      <c r="E149" s="278"/>
      <c r="F149" s="278"/>
      <c r="G149" s="278"/>
      <c r="H149" s="279"/>
      <c r="I149" s="237"/>
    </row>
    <row r="150" spans="1:9" x14ac:dyDescent="0.2">
      <c r="A150" s="348">
        <v>2</v>
      </c>
      <c r="B150" s="277"/>
      <c r="C150" s="278"/>
      <c r="D150" s="278"/>
      <c r="E150" s="278"/>
      <c r="F150" s="278"/>
      <c r="G150" s="278"/>
      <c r="H150" s="279"/>
      <c r="I150" s="237"/>
    </row>
    <row r="151" spans="1:9" x14ac:dyDescent="0.2">
      <c r="A151" s="348">
        <v>2.1</v>
      </c>
      <c r="B151" s="277"/>
      <c r="C151" s="278"/>
      <c r="D151" s="278"/>
      <c r="E151" s="278"/>
      <c r="F151" s="278"/>
      <c r="G151" s="278"/>
      <c r="H151" s="279"/>
      <c r="I151" s="237"/>
    </row>
    <row r="152" spans="1:9" x14ac:dyDescent="0.2">
      <c r="A152" s="348">
        <v>2.2000000000000002</v>
      </c>
      <c r="B152" s="277"/>
      <c r="C152" s="278"/>
      <c r="D152" s="278"/>
      <c r="E152" s="278"/>
      <c r="F152" s="278"/>
      <c r="G152" s="278"/>
      <c r="H152" s="279"/>
      <c r="I152" s="237"/>
    </row>
    <row r="153" spans="1:9" x14ac:dyDescent="0.2">
      <c r="A153" s="348">
        <v>2.2999999999999998</v>
      </c>
      <c r="B153" s="277"/>
      <c r="C153" s="278"/>
      <c r="D153" s="278"/>
      <c r="E153" s="278"/>
      <c r="F153" s="278"/>
      <c r="G153" s="278"/>
      <c r="H153" s="279"/>
      <c r="I153" s="237"/>
    </row>
    <row r="154" spans="1:9" x14ac:dyDescent="0.2">
      <c r="A154" s="348">
        <v>2.4</v>
      </c>
      <c r="B154" s="277"/>
      <c r="C154" s="278"/>
      <c r="D154" s="278"/>
      <c r="E154" s="278"/>
      <c r="F154" s="278"/>
      <c r="G154" s="278"/>
      <c r="H154" s="279"/>
      <c r="I154" s="237"/>
    </row>
    <row r="155" spans="1:9" x14ac:dyDescent="0.2">
      <c r="A155" s="348">
        <v>2.5</v>
      </c>
      <c r="B155" s="277"/>
      <c r="C155" s="278"/>
      <c r="D155" s="278"/>
      <c r="E155" s="278"/>
      <c r="F155" s="278"/>
      <c r="G155" s="278"/>
      <c r="H155" s="279"/>
      <c r="I155" s="237"/>
    </row>
    <row r="156" spans="1:9" x14ac:dyDescent="0.2">
      <c r="A156" s="348">
        <v>2.6</v>
      </c>
      <c r="B156" s="277"/>
      <c r="C156" s="278"/>
      <c r="D156" s="278"/>
      <c r="E156" s="278"/>
      <c r="F156" s="278"/>
      <c r="G156" s="278"/>
      <c r="H156" s="279"/>
      <c r="I156" s="237"/>
    </row>
    <row r="157" spans="1:9" x14ac:dyDescent="0.2">
      <c r="A157" s="348">
        <v>2.7</v>
      </c>
      <c r="B157" s="277"/>
      <c r="C157" s="278"/>
      <c r="D157" s="278"/>
      <c r="E157" s="278"/>
      <c r="F157" s="278"/>
      <c r="G157" s="278"/>
      <c r="H157" s="279"/>
      <c r="I157" s="237"/>
    </row>
    <row r="158" spans="1:9" x14ac:dyDescent="0.2">
      <c r="A158" s="348">
        <v>2.8</v>
      </c>
      <c r="B158" s="277"/>
      <c r="C158" s="278"/>
      <c r="D158" s="278"/>
      <c r="E158" s="278"/>
      <c r="F158" s="278"/>
      <c r="G158" s="278"/>
      <c r="H158" s="279"/>
      <c r="I158" s="237"/>
    </row>
    <row r="159" spans="1:9" x14ac:dyDescent="0.2">
      <c r="A159" s="348">
        <v>2.9</v>
      </c>
      <c r="B159" s="277"/>
      <c r="C159" s="278"/>
      <c r="D159" s="278"/>
      <c r="E159" s="278"/>
      <c r="F159" s="278"/>
      <c r="G159" s="278"/>
      <c r="H159" s="279"/>
      <c r="I159" s="237"/>
    </row>
    <row r="160" spans="1:9" x14ac:dyDescent="0.2">
      <c r="A160" s="348">
        <v>3</v>
      </c>
      <c r="B160" s="277"/>
      <c r="C160" s="278"/>
      <c r="D160" s="278"/>
      <c r="E160" s="278"/>
      <c r="F160" s="278"/>
      <c r="G160" s="278"/>
      <c r="H160" s="279"/>
      <c r="I160" s="237"/>
    </row>
    <row r="161" spans="1:9" x14ac:dyDescent="0.2">
      <c r="A161" s="348">
        <v>3.1</v>
      </c>
      <c r="B161" s="277"/>
      <c r="C161" s="278"/>
      <c r="D161" s="278"/>
      <c r="E161" s="278"/>
      <c r="F161" s="278"/>
      <c r="G161" s="278"/>
      <c r="H161" s="279"/>
      <c r="I161" s="237"/>
    </row>
    <row r="162" spans="1:9" x14ac:dyDescent="0.2">
      <c r="A162" s="348">
        <v>3.2</v>
      </c>
      <c r="B162" s="277"/>
      <c r="C162" s="278"/>
      <c r="D162" s="278"/>
      <c r="E162" s="278"/>
      <c r="F162" s="278"/>
      <c r="G162" s="278"/>
      <c r="H162" s="279"/>
      <c r="I162" s="237"/>
    </row>
    <row r="163" spans="1:9" x14ac:dyDescent="0.2">
      <c r="A163" s="348">
        <v>3.3</v>
      </c>
      <c r="B163" s="277"/>
      <c r="C163" s="278"/>
      <c r="D163" s="278"/>
      <c r="E163" s="278"/>
      <c r="F163" s="278"/>
      <c r="G163" s="278"/>
      <c r="H163" s="279"/>
      <c r="I163" s="237"/>
    </row>
    <row r="164" spans="1:9" x14ac:dyDescent="0.2">
      <c r="A164" s="348">
        <v>3.4</v>
      </c>
      <c r="B164" s="277"/>
      <c r="C164" s="278"/>
      <c r="D164" s="278"/>
      <c r="E164" s="278"/>
      <c r="F164" s="278"/>
      <c r="G164" s="278"/>
      <c r="H164" s="279"/>
      <c r="I164" s="237"/>
    </row>
    <row r="165" spans="1:9" x14ac:dyDescent="0.2">
      <c r="A165" s="348">
        <v>3.5</v>
      </c>
      <c r="B165" s="277"/>
      <c r="C165" s="278"/>
      <c r="D165" s="278"/>
      <c r="E165" s="278"/>
      <c r="F165" s="278"/>
      <c r="G165" s="278"/>
      <c r="H165" s="279"/>
      <c r="I165" s="237"/>
    </row>
    <row r="166" spans="1:9" x14ac:dyDescent="0.2">
      <c r="A166" s="348">
        <v>3.6</v>
      </c>
      <c r="B166" s="277"/>
      <c r="C166" s="278"/>
      <c r="D166" s="278"/>
      <c r="E166" s="278"/>
      <c r="F166" s="278"/>
      <c r="G166" s="278"/>
      <c r="H166" s="279"/>
      <c r="I166" s="237"/>
    </row>
    <row r="167" spans="1:9" x14ac:dyDescent="0.2">
      <c r="A167" s="348">
        <v>3.7</v>
      </c>
      <c r="B167" s="277"/>
      <c r="C167" s="278"/>
      <c r="D167" s="278"/>
      <c r="E167" s="278"/>
      <c r="F167" s="278"/>
      <c r="G167" s="278"/>
      <c r="H167" s="279"/>
      <c r="I167" s="237"/>
    </row>
    <row r="168" spans="1:9" x14ac:dyDescent="0.2">
      <c r="A168" s="348">
        <v>3.8</v>
      </c>
      <c r="B168" s="277"/>
      <c r="C168" s="278"/>
      <c r="D168" s="278"/>
      <c r="E168" s="278"/>
      <c r="F168" s="278"/>
      <c r="G168" s="278"/>
      <c r="H168" s="279"/>
      <c r="I168" s="237"/>
    </row>
    <row r="169" spans="1:9" x14ac:dyDescent="0.2">
      <c r="A169" s="348">
        <v>3.9</v>
      </c>
      <c r="B169" s="277"/>
      <c r="C169" s="278"/>
      <c r="D169" s="278"/>
      <c r="E169" s="278"/>
      <c r="F169" s="278"/>
      <c r="G169" s="278"/>
      <c r="H169" s="279"/>
      <c r="I169" s="237"/>
    </row>
    <row r="170" spans="1:9" x14ac:dyDescent="0.2">
      <c r="A170" s="348">
        <v>4</v>
      </c>
      <c r="B170" s="277"/>
      <c r="C170" s="278"/>
      <c r="D170" s="278"/>
      <c r="E170" s="278"/>
      <c r="F170" s="278"/>
      <c r="G170" s="278"/>
      <c r="H170" s="279"/>
      <c r="I170" s="237"/>
    </row>
    <row r="171" spans="1:9" x14ac:dyDescent="0.2">
      <c r="A171" s="348">
        <v>4.0999999999999996</v>
      </c>
      <c r="B171" s="277"/>
      <c r="C171" s="278"/>
      <c r="D171" s="278"/>
      <c r="E171" s="278"/>
      <c r="F171" s="278"/>
      <c r="G171" s="278"/>
      <c r="H171" s="279"/>
      <c r="I171" s="237"/>
    </row>
    <row r="172" spans="1:9" x14ac:dyDescent="0.2">
      <c r="A172" s="348">
        <v>4.2</v>
      </c>
      <c r="B172" s="277"/>
      <c r="C172" s="278"/>
      <c r="D172" s="278"/>
      <c r="E172" s="278"/>
      <c r="F172" s="278"/>
      <c r="G172" s="278"/>
      <c r="H172" s="279"/>
      <c r="I172" s="237"/>
    </row>
    <row r="173" spans="1:9" x14ac:dyDescent="0.2">
      <c r="A173" s="348">
        <v>4.3</v>
      </c>
      <c r="B173" s="277"/>
      <c r="C173" s="278"/>
      <c r="D173" s="278"/>
      <c r="E173" s="278"/>
      <c r="F173" s="278"/>
      <c r="G173" s="278"/>
      <c r="H173" s="279"/>
      <c r="I173" s="237"/>
    </row>
    <row r="174" spans="1:9" x14ac:dyDescent="0.2">
      <c r="A174" s="348">
        <v>4.4000000000000004</v>
      </c>
      <c r="B174" s="277"/>
      <c r="C174" s="278"/>
      <c r="D174" s="278"/>
      <c r="E174" s="278"/>
      <c r="F174" s="278"/>
      <c r="G174" s="278"/>
      <c r="H174" s="279"/>
      <c r="I174" s="237"/>
    </row>
    <row r="175" spans="1:9" x14ac:dyDescent="0.2">
      <c r="A175" s="348">
        <v>4.5</v>
      </c>
      <c r="B175" s="277"/>
      <c r="C175" s="278"/>
      <c r="D175" s="278"/>
      <c r="E175" s="278"/>
      <c r="F175" s="278"/>
      <c r="G175" s="278"/>
      <c r="H175" s="279"/>
      <c r="I175" s="237"/>
    </row>
    <row r="176" spans="1:9" x14ac:dyDescent="0.2">
      <c r="A176" s="348">
        <v>4.5999999999999996</v>
      </c>
      <c r="B176" s="277"/>
      <c r="C176" s="278"/>
      <c r="D176" s="278"/>
      <c r="E176" s="278"/>
      <c r="F176" s="278"/>
      <c r="G176" s="278"/>
      <c r="H176" s="279"/>
      <c r="I176" s="237"/>
    </row>
    <row r="177" spans="1:9" x14ac:dyDescent="0.2">
      <c r="A177" s="348">
        <v>4.7</v>
      </c>
      <c r="B177" s="277"/>
      <c r="C177" s="278"/>
      <c r="D177" s="278"/>
      <c r="E177" s="278"/>
      <c r="F177" s="278"/>
      <c r="G177" s="278"/>
      <c r="H177" s="279"/>
      <c r="I177" s="237"/>
    </row>
    <row r="178" spans="1:9" x14ac:dyDescent="0.2">
      <c r="A178" s="348">
        <v>4.8</v>
      </c>
      <c r="B178" s="277"/>
      <c r="C178" s="278"/>
      <c r="D178" s="278"/>
      <c r="E178" s="278"/>
      <c r="F178" s="278"/>
      <c r="G178" s="278"/>
      <c r="H178" s="279"/>
      <c r="I178" s="237"/>
    </row>
    <row r="179" spans="1:9" x14ac:dyDescent="0.2">
      <c r="A179" s="348">
        <v>4.9000000000000004</v>
      </c>
      <c r="B179" s="277"/>
      <c r="C179" s="278"/>
      <c r="D179" s="278"/>
      <c r="E179" s="278"/>
      <c r="F179" s="278"/>
      <c r="G179" s="278"/>
      <c r="H179" s="279"/>
      <c r="I179" s="237"/>
    </row>
    <row r="180" spans="1:9" x14ac:dyDescent="0.2">
      <c r="A180" s="348">
        <v>5</v>
      </c>
      <c r="B180" s="277"/>
      <c r="C180" s="278"/>
      <c r="D180" s="278"/>
      <c r="E180" s="278"/>
      <c r="F180" s="278"/>
      <c r="G180" s="278"/>
      <c r="H180" s="279"/>
      <c r="I180" s="237"/>
    </row>
    <row r="181" spans="1:9" x14ac:dyDescent="0.2">
      <c r="A181" s="348">
        <v>5.0999999999999996</v>
      </c>
      <c r="B181" s="277"/>
      <c r="C181" s="278"/>
      <c r="D181" s="278"/>
      <c r="E181" s="278"/>
      <c r="F181" s="278"/>
      <c r="G181" s="278"/>
      <c r="H181" s="279"/>
      <c r="I181" s="237"/>
    </row>
    <row r="182" spans="1:9" x14ac:dyDescent="0.2">
      <c r="A182" s="348">
        <v>5.2</v>
      </c>
      <c r="B182" s="277"/>
      <c r="C182" s="278"/>
      <c r="D182" s="278"/>
      <c r="E182" s="278"/>
      <c r="F182" s="278"/>
      <c r="G182" s="278"/>
      <c r="H182" s="279"/>
      <c r="I182" s="237"/>
    </row>
    <row r="183" spans="1:9" x14ac:dyDescent="0.2">
      <c r="A183" s="348">
        <v>5.3</v>
      </c>
      <c r="B183" s="277"/>
      <c r="C183" s="278"/>
      <c r="D183" s="278"/>
      <c r="E183" s="278"/>
      <c r="F183" s="278"/>
      <c r="G183" s="278"/>
      <c r="H183" s="279"/>
      <c r="I183" s="237"/>
    </row>
    <row r="184" spans="1:9" x14ac:dyDescent="0.2">
      <c r="A184" s="348">
        <v>5.4</v>
      </c>
      <c r="B184" s="277"/>
      <c r="C184" s="278"/>
      <c r="D184" s="278"/>
      <c r="E184" s="278"/>
      <c r="F184" s="278"/>
      <c r="G184" s="278"/>
      <c r="H184" s="279"/>
      <c r="I184" s="237"/>
    </row>
    <row r="185" spans="1:9" x14ac:dyDescent="0.2">
      <c r="A185" s="348">
        <v>5.5</v>
      </c>
      <c r="B185" s="277"/>
      <c r="C185" s="278"/>
      <c r="D185" s="278"/>
      <c r="E185" s="278"/>
      <c r="F185" s="278"/>
      <c r="G185" s="278"/>
      <c r="H185" s="279"/>
      <c r="I185" s="237"/>
    </row>
    <row r="186" spans="1:9" x14ac:dyDescent="0.2">
      <c r="A186" s="348">
        <v>5.6</v>
      </c>
      <c r="B186" s="277"/>
      <c r="C186" s="278"/>
      <c r="D186" s="278"/>
      <c r="E186" s="278"/>
      <c r="F186" s="278"/>
      <c r="G186" s="278"/>
      <c r="H186" s="279"/>
      <c r="I186" s="237"/>
    </row>
    <row r="187" spans="1:9" x14ac:dyDescent="0.2">
      <c r="A187" s="348">
        <v>5.7</v>
      </c>
      <c r="B187" s="277"/>
      <c r="C187" s="278"/>
      <c r="D187" s="278"/>
      <c r="E187" s="278"/>
      <c r="F187" s="278"/>
      <c r="G187" s="278"/>
      <c r="H187" s="279"/>
      <c r="I187" s="237"/>
    </row>
    <row r="188" spans="1:9" x14ac:dyDescent="0.2">
      <c r="A188" s="348">
        <v>5.8</v>
      </c>
      <c r="B188" s="277"/>
      <c r="C188" s="278"/>
      <c r="D188" s="278"/>
      <c r="E188" s="278"/>
      <c r="F188" s="278"/>
      <c r="G188" s="278"/>
      <c r="H188" s="279"/>
      <c r="I188" s="237"/>
    </row>
    <row r="189" spans="1:9" x14ac:dyDescent="0.2">
      <c r="A189" s="348">
        <v>5.9</v>
      </c>
      <c r="B189" s="277"/>
      <c r="C189" s="278"/>
      <c r="D189" s="278"/>
      <c r="E189" s="278"/>
      <c r="F189" s="278"/>
      <c r="G189" s="278"/>
      <c r="H189" s="279"/>
      <c r="I189" s="237"/>
    </row>
    <row r="190" spans="1:9" x14ac:dyDescent="0.2">
      <c r="A190" s="348">
        <v>6</v>
      </c>
      <c r="B190" s="277"/>
      <c r="C190" s="278"/>
      <c r="D190" s="278"/>
      <c r="E190" s="278"/>
      <c r="F190" s="278"/>
      <c r="G190" s="278"/>
      <c r="H190" s="279"/>
      <c r="I190" s="237"/>
    </row>
    <row r="191" spans="1:9" x14ac:dyDescent="0.2">
      <c r="A191" s="348">
        <v>6.1</v>
      </c>
      <c r="B191" s="277"/>
      <c r="C191" s="278"/>
      <c r="D191" s="278"/>
      <c r="E191" s="278"/>
      <c r="F191" s="278"/>
      <c r="G191" s="278"/>
      <c r="H191" s="279"/>
      <c r="I191" s="237"/>
    </row>
    <row r="192" spans="1:9" x14ac:dyDescent="0.2">
      <c r="A192" s="348">
        <v>6.2</v>
      </c>
      <c r="B192" s="277"/>
      <c r="C192" s="278"/>
      <c r="D192" s="278"/>
      <c r="E192" s="278"/>
      <c r="F192" s="278"/>
      <c r="G192" s="278"/>
      <c r="H192" s="279"/>
      <c r="I192" s="237"/>
    </row>
    <row r="193" spans="1:9" x14ac:dyDescent="0.2">
      <c r="A193" s="348">
        <v>6.3</v>
      </c>
      <c r="B193" s="277"/>
      <c r="C193" s="278"/>
      <c r="D193" s="278"/>
      <c r="E193" s="278"/>
      <c r="F193" s="278"/>
      <c r="G193" s="278"/>
      <c r="H193" s="279"/>
      <c r="I193" s="237"/>
    </row>
    <row r="194" spans="1:9" x14ac:dyDescent="0.2">
      <c r="A194" s="348">
        <v>6.4</v>
      </c>
      <c r="B194" s="281"/>
      <c r="C194" s="282"/>
      <c r="D194" s="282"/>
      <c r="E194" s="282"/>
      <c r="F194" s="282"/>
      <c r="G194" s="282"/>
      <c r="H194" s="283"/>
      <c r="I194" s="237"/>
    </row>
    <row r="195" spans="1:9" x14ac:dyDescent="0.2">
      <c r="A195" s="348">
        <v>6.5</v>
      </c>
      <c r="B195" s="284"/>
      <c r="C195" s="285"/>
      <c r="D195" s="285"/>
      <c r="E195" s="285"/>
      <c r="F195" s="285"/>
      <c r="G195" s="285"/>
      <c r="H195" s="286"/>
      <c r="I195" s="237"/>
    </row>
    <row r="196" spans="1:9" x14ac:dyDescent="0.2">
      <c r="A196" s="348">
        <v>6.6</v>
      </c>
      <c r="B196" s="277"/>
      <c r="C196" s="278"/>
      <c r="D196" s="278"/>
      <c r="E196" s="278"/>
      <c r="F196" s="278"/>
      <c r="G196" s="278"/>
      <c r="H196" s="279"/>
      <c r="I196" s="237"/>
    </row>
    <row r="197" spans="1:9" x14ac:dyDescent="0.2">
      <c r="A197" s="348">
        <v>6.7</v>
      </c>
      <c r="B197" s="277"/>
      <c r="C197" s="278"/>
      <c r="D197" s="278"/>
      <c r="E197" s="278"/>
      <c r="F197" s="278"/>
      <c r="G197" s="278"/>
      <c r="H197" s="279"/>
      <c r="I197" s="237"/>
    </row>
    <row r="198" spans="1:9" x14ac:dyDescent="0.2">
      <c r="A198" s="348">
        <v>6.8</v>
      </c>
      <c r="B198" s="277"/>
      <c r="C198" s="278"/>
      <c r="D198" s="278"/>
      <c r="E198" s="278"/>
      <c r="F198" s="278"/>
      <c r="G198" s="278"/>
      <c r="H198" s="279"/>
      <c r="I198" s="237"/>
    </row>
    <row r="199" spans="1:9" x14ac:dyDescent="0.2">
      <c r="A199" s="348">
        <v>6.9</v>
      </c>
      <c r="B199" s="290"/>
      <c r="C199" s="291"/>
      <c r="D199" s="291"/>
      <c r="E199" s="291"/>
      <c r="F199" s="291"/>
      <c r="G199" s="291"/>
      <c r="H199" s="292"/>
      <c r="I199" s="237"/>
    </row>
    <row r="200" spans="1:9" x14ac:dyDescent="0.2">
      <c r="A200" s="348">
        <v>7</v>
      </c>
      <c r="B200" s="287"/>
      <c r="C200" s="288"/>
      <c r="D200" s="288"/>
      <c r="E200" s="288"/>
      <c r="F200" s="288"/>
      <c r="G200" s="288"/>
      <c r="H200" s="289"/>
      <c r="I200" s="237"/>
    </row>
    <row r="201" spans="1:9" x14ac:dyDescent="0.2">
      <c r="A201" s="348">
        <v>7.1</v>
      </c>
      <c r="B201" s="277"/>
      <c r="C201" s="278"/>
      <c r="D201" s="278"/>
      <c r="E201" s="278"/>
      <c r="F201" s="278"/>
      <c r="G201" s="278"/>
      <c r="H201" s="279"/>
      <c r="I201" s="237"/>
    </row>
    <row r="202" spans="1:9" x14ac:dyDescent="0.2">
      <c r="A202" s="348">
        <v>7.2</v>
      </c>
      <c r="B202" s="277"/>
      <c r="C202" s="278"/>
      <c r="D202" s="278"/>
      <c r="E202" s="278"/>
      <c r="F202" s="278"/>
      <c r="G202" s="278"/>
      <c r="H202" s="279"/>
      <c r="I202" s="237"/>
    </row>
    <row r="203" spans="1:9" x14ac:dyDescent="0.2">
      <c r="A203" s="348">
        <v>7.3</v>
      </c>
      <c r="B203" s="277"/>
      <c r="C203" s="278"/>
      <c r="D203" s="278"/>
      <c r="E203" s="278"/>
      <c r="F203" s="278"/>
      <c r="G203" s="278"/>
      <c r="H203" s="279"/>
      <c r="I203" s="237"/>
    </row>
    <row r="204" spans="1:9" x14ac:dyDescent="0.2">
      <c r="A204" s="348">
        <v>7.4</v>
      </c>
      <c r="B204" s="281"/>
      <c r="C204" s="282"/>
      <c r="D204" s="282"/>
      <c r="E204" s="282"/>
      <c r="F204" s="282"/>
      <c r="G204" s="282"/>
      <c r="H204" s="283"/>
      <c r="I204" s="237"/>
    </row>
    <row r="205" spans="1:9" x14ac:dyDescent="0.2">
      <c r="A205" s="348">
        <v>7.5</v>
      </c>
      <c r="B205" s="284"/>
      <c r="C205" s="285"/>
      <c r="D205" s="285"/>
      <c r="E205" s="285"/>
      <c r="F205" s="285"/>
      <c r="G205" s="285"/>
      <c r="H205" s="286"/>
      <c r="I205" s="237"/>
    </row>
    <row r="206" spans="1:9" x14ac:dyDescent="0.2">
      <c r="A206" s="348">
        <v>7.6</v>
      </c>
      <c r="B206" s="277"/>
      <c r="C206" s="278"/>
      <c r="D206" s="278"/>
      <c r="E206" s="278"/>
      <c r="F206" s="278"/>
      <c r="G206" s="278"/>
      <c r="H206" s="279"/>
      <c r="I206" s="237"/>
    </row>
    <row r="207" spans="1:9" x14ac:dyDescent="0.2">
      <c r="A207" s="348">
        <v>7.7</v>
      </c>
      <c r="B207" s="277"/>
      <c r="C207" s="278"/>
      <c r="D207" s="278"/>
      <c r="E207" s="278"/>
      <c r="F207" s="278"/>
      <c r="G207" s="278"/>
      <c r="H207" s="279"/>
      <c r="I207" s="237"/>
    </row>
    <row r="208" spans="1:9" x14ac:dyDescent="0.2">
      <c r="A208" s="348">
        <v>7.8</v>
      </c>
      <c r="B208" s="277"/>
      <c r="C208" s="278"/>
      <c r="D208" s="278"/>
      <c r="E208" s="278"/>
      <c r="F208" s="278"/>
      <c r="G208" s="278"/>
      <c r="H208" s="279"/>
      <c r="I208" s="237"/>
    </row>
    <row r="209" spans="1:9" x14ac:dyDescent="0.2">
      <c r="A209" s="348">
        <v>7.9</v>
      </c>
      <c r="B209" s="290"/>
      <c r="C209" s="291"/>
      <c r="D209" s="291"/>
      <c r="E209" s="291"/>
      <c r="F209" s="291"/>
      <c r="G209" s="291"/>
      <c r="H209" s="292"/>
      <c r="I209" s="237"/>
    </row>
    <row r="210" spans="1:9" x14ac:dyDescent="0.2">
      <c r="A210" s="348">
        <v>8</v>
      </c>
      <c r="B210" s="287"/>
      <c r="C210" s="288"/>
      <c r="D210" s="288"/>
      <c r="E210" s="288"/>
      <c r="F210" s="288"/>
      <c r="G210" s="288"/>
      <c r="H210" s="289"/>
      <c r="I210" s="237"/>
    </row>
    <row r="211" spans="1:9" x14ac:dyDescent="0.2">
      <c r="A211" s="348">
        <v>8.1</v>
      </c>
      <c r="B211" s="277"/>
      <c r="C211" s="278"/>
      <c r="D211" s="278"/>
      <c r="E211" s="278"/>
      <c r="F211" s="278"/>
      <c r="G211" s="278"/>
      <c r="H211" s="279"/>
      <c r="I211" s="237"/>
    </row>
    <row r="212" spans="1:9" x14ac:dyDescent="0.2">
      <c r="A212" s="348">
        <v>8.1999999999999993</v>
      </c>
      <c r="B212" s="277"/>
      <c r="C212" s="278"/>
      <c r="D212" s="278"/>
      <c r="E212" s="278"/>
      <c r="F212" s="278"/>
      <c r="G212" s="278"/>
      <c r="H212" s="279"/>
      <c r="I212" s="237"/>
    </row>
    <row r="213" spans="1:9" x14ac:dyDescent="0.2">
      <c r="A213" s="348">
        <v>8.3000000000000007</v>
      </c>
      <c r="B213" s="277"/>
      <c r="C213" s="278"/>
      <c r="D213" s="278"/>
      <c r="E213" s="278"/>
      <c r="F213" s="278"/>
      <c r="G213" s="278"/>
      <c r="H213" s="279"/>
      <c r="I213" s="237"/>
    </row>
    <row r="214" spans="1:9" x14ac:dyDescent="0.2">
      <c r="A214" s="348">
        <v>8.4</v>
      </c>
      <c r="B214" s="281"/>
      <c r="C214" s="282"/>
      <c r="D214" s="282"/>
      <c r="E214" s="282"/>
      <c r="F214" s="282"/>
      <c r="G214" s="282"/>
      <c r="H214" s="283"/>
      <c r="I214" s="237"/>
    </row>
    <row r="215" spans="1:9" x14ac:dyDescent="0.2">
      <c r="A215" s="348">
        <v>8.5</v>
      </c>
      <c r="B215" s="284"/>
      <c r="C215" s="285"/>
      <c r="D215" s="285"/>
      <c r="E215" s="285"/>
      <c r="F215" s="285"/>
      <c r="G215" s="285"/>
      <c r="H215" s="286"/>
      <c r="I215" s="237"/>
    </row>
    <row r="216" spans="1:9" x14ac:dyDescent="0.2">
      <c r="A216" s="348">
        <v>8.6</v>
      </c>
      <c r="B216" s="277"/>
      <c r="C216" s="278"/>
      <c r="D216" s="278"/>
      <c r="E216" s="278"/>
      <c r="F216" s="278"/>
      <c r="G216" s="278"/>
      <c r="H216" s="279"/>
      <c r="I216" s="237"/>
    </row>
    <row r="217" spans="1:9" x14ac:dyDescent="0.2">
      <c r="A217" s="348">
        <v>8.6999999999999993</v>
      </c>
      <c r="B217" s="277"/>
      <c r="C217" s="278"/>
      <c r="D217" s="278"/>
      <c r="E217" s="278"/>
      <c r="F217" s="278"/>
      <c r="G217" s="278"/>
      <c r="H217" s="279"/>
      <c r="I217" s="237"/>
    </row>
    <row r="218" spans="1:9" x14ac:dyDescent="0.2">
      <c r="A218" s="348">
        <v>8.8000000000000007</v>
      </c>
      <c r="B218" s="277"/>
      <c r="C218" s="278"/>
      <c r="D218" s="278"/>
      <c r="E218" s="278"/>
      <c r="F218" s="278"/>
      <c r="G218" s="278"/>
      <c r="H218" s="279"/>
      <c r="I218" s="237"/>
    </row>
    <row r="219" spans="1:9" x14ac:dyDescent="0.2">
      <c r="A219" s="348">
        <v>8.9</v>
      </c>
      <c r="B219" s="290"/>
      <c r="C219" s="291"/>
      <c r="D219" s="291"/>
      <c r="E219" s="291"/>
      <c r="F219" s="291"/>
      <c r="G219" s="291"/>
      <c r="H219" s="292"/>
      <c r="I219" s="237"/>
    </row>
    <row r="220" spans="1:9" x14ac:dyDescent="0.2">
      <c r="A220" s="348">
        <v>9</v>
      </c>
      <c r="B220" s="287"/>
      <c r="C220" s="288"/>
      <c r="D220" s="288"/>
      <c r="E220" s="288"/>
      <c r="F220" s="288"/>
      <c r="G220" s="288"/>
      <c r="H220" s="289"/>
      <c r="I220" s="237"/>
    </row>
    <row r="221" spans="1:9" x14ac:dyDescent="0.2">
      <c r="A221" s="348">
        <v>9.1</v>
      </c>
      <c r="B221" s="277"/>
      <c r="C221" s="278"/>
      <c r="D221" s="278"/>
      <c r="E221" s="278"/>
      <c r="F221" s="278"/>
      <c r="G221" s="278"/>
      <c r="H221" s="279"/>
      <c r="I221" s="237"/>
    </row>
    <row r="222" spans="1:9" x14ac:dyDescent="0.2">
      <c r="A222" s="348">
        <v>9.1999999999999993</v>
      </c>
      <c r="B222" s="277"/>
      <c r="C222" s="278"/>
      <c r="D222" s="278"/>
      <c r="E222" s="278"/>
      <c r="F222" s="278"/>
      <c r="G222" s="278"/>
      <c r="H222" s="279"/>
      <c r="I222" s="237"/>
    </row>
    <row r="223" spans="1:9" x14ac:dyDescent="0.2">
      <c r="A223" s="348">
        <v>9.3000000000000007</v>
      </c>
      <c r="B223" s="277"/>
      <c r="C223" s="278"/>
      <c r="D223" s="278"/>
      <c r="E223" s="278"/>
      <c r="F223" s="278"/>
      <c r="G223" s="278"/>
      <c r="H223" s="279"/>
      <c r="I223" s="237"/>
    </row>
    <row r="224" spans="1:9" x14ac:dyDescent="0.2">
      <c r="A224" s="348">
        <v>9.4</v>
      </c>
      <c r="B224" s="281"/>
      <c r="C224" s="282"/>
      <c r="D224" s="282"/>
      <c r="E224" s="282"/>
      <c r="F224" s="282"/>
      <c r="G224" s="282"/>
      <c r="H224" s="283"/>
      <c r="I224" s="237"/>
    </row>
    <row r="225" spans="1:12" x14ac:dyDescent="0.2">
      <c r="A225" s="348">
        <v>9.5</v>
      </c>
      <c r="B225" s="284"/>
      <c r="C225" s="285"/>
      <c r="D225" s="285"/>
      <c r="E225" s="285"/>
      <c r="F225" s="285"/>
      <c r="G225" s="285"/>
      <c r="H225" s="286"/>
      <c r="I225" s="237"/>
    </row>
    <row r="226" spans="1:12" x14ac:dyDescent="0.2">
      <c r="A226" s="348">
        <v>9.6</v>
      </c>
      <c r="B226" s="277"/>
      <c r="C226" s="278"/>
      <c r="D226" s="278"/>
      <c r="E226" s="278"/>
      <c r="F226" s="278"/>
      <c r="G226" s="278"/>
      <c r="H226" s="279"/>
      <c r="I226" s="237"/>
    </row>
    <row r="227" spans="1:12" x14ac:dyDescent="0.2">
      <c r="A227" s="348">
        <v>9.6999999999999993</v>
      </c>
      <c r="B227" s="277"/>
      <c r="C227" s="278"/>
      <c r="D227" s="278"/>
      <c r="E227" s="278"/>
      <c r="F227" s="278"/>
      <c r="G227" s="278"/>
      <c r="H227" s="279"/>
      <c r="I227" s="237"/>
    </row>
    <row r="228" spans="1:12" x14ac:dyDescent="0.2">
      <c r="A228" s="348">
        <v>9.8000000000000007</v>
      </c>
      <c r="B228" s="277"/>
      <c r="C228" s="278"/>
      <c r="D228" s="278"/>
      <c r="E228" s="278"/>
      <c r="F228" s="278"/>
      <c r="G228" s="278"/>
      <c r="H228" s="279"/>
      <c r="I228" s="237"/>
    </row>
    <row r="229" spans="1:12" x14ac:dyDescent="0.2">
      <c r="A229" s="348">
        <v>9.9</v>
      </c>
      <c r="B229" s="290"/>
      <c r="C229" s="291"/>
      <c r="D229" s="291"/>
      <c r="E229" s="291"/>
      <c r="F229" s="291"/>
      <c r="G229" s="291"/>
      <c r="H229" s="292"/>
      <c r="I229" s="237"/>
    </row>
    <row r="230" spans="1:12" ht="13.5" thickBot="1" x14ac:dyDescent="0.25">
      <c r="A230" s="355">
        <v>10</v>
      </c>
      <c r="B230" s="294"/>
      <c r="C230" s="295"/>
      <c r="D230" s="295"/>
      <c r="E230" s="295"/>
      <c r="F230" s="295"/>
      <c r="G230" s="295"/>
      <c r="H230" s="296"/>
      <c r="I230" s="237"/>
    </row>
    <row r="231" spans="1:12" ht="14.25" thickTop="1" thickBot="1" x14ac:dyDescent="0.25">
      <c r="A231" s="355">
        <v>10.000999999999999</v>
      </c>
      <c r="B231" s="294"/>
      <c r="C231" s="295"/>
      <c r="D231" s="295"/>
      <c r="E231" s="295"/>
      <c r="F231" s="295"/>
      <c r="G231" s="295"/>
      <c r="H231" s="296"/>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5" t="s">
        <v>98</v>
      </c>
      <c r="B235" s="320" t="s">
        <v>99</v>
      </c>
      <c r="C235" s="328"/>
      <c r="D235" s="328"/>
      <c r="E235" s="231"/>
      <c r="F235" s="231"/>
      <c r="G235" s="231"/>
      <c r="H235" s="231"/>
      <c r="I235" s="231"/>
      <c r="J235" s="231"/>
      <c r="K235" s="231"/>
      <c r="L235" s="237"/>
    </row>
    <row r="236" spans="1:12" ht="16.5" thickTop="1" x14ac:dyDescent="0.25">
      <c r="A236" s="356">
        <v>4</v>
      </c>
      <c r="B236" s="321">
        <v>0.96425793537386073</v>
      </c>
      <c r="C236" s="328"/>
      <c r="D236" s="357"/>
      <c r="E236" s="231"/>
      <c r="F236" s="231"/>
      <c r="G236" s="231"/>
      <c r="H236" s="231"/>
      <c r="I236" s="231"/>
      <c r="J236" s="231"/>
      <c r="K236" s="231"/>
      <c r="L236" s="237"/>
    </row>
    <row r="237" spans="1:12" x14ac:dyDescent="0.2">
      <c r="A237" s="358">
        <v>5</v>
      </c>
      <c r="B237" s="323">
        <v>0.97203164996411429</v>
      </c>
      <c r="C237" s="328"/>
      <c r="D237" s="328"/>
      <c r="E237" s="231"/>
      <c r="F237" s="231"/>
      <c r="G237" s="231"/>
      <c r="H237" s="231"/>
      <c r="I237" s="231"/>
      <c r="J237" s="231"/>
      <c r="K237" s="231"/>
      <c r="L237" s="237"/>
    </row>
    <row r="238" spans="1:12" x14ac:dyDescent="0.2">
      <c r="A238" s="356">
        <v>6</v>
      </c>
      <c r="B238" s="321">
        <v>0.97892704542856346</v>
      </c>
      <c r="C238" s="328"/>
      <c r="D238" s="328"/>
      <c r="E238" s="231"/>
      <c r="F238" s="231"/>
      <c r="G238" s="231"/>
      <c r="H238" s="231"/>
      <c r="I238" s="231"/>
      <c r="J238" s="231"/>
      <c r="K238" s="231"/>
      <c r="L238" s="237"/>
    </row>
    <row r="239" spans="1:12" x14ac:dyDescent="0.2">
      <c r="A239" s="356">
        <v>7</v>
      </c>
      <c r="B239" s="321">
        <v>0.98506793121691649</v>
      </c>
      <c r="C239" s="328"/>
      <c r="D239" s="328"/>
      <c r="E239" s="231"/>
      <c r="F239" s="231"/>
      <c r="G239" s="231"/>
      <c r="H239" s="231"/>
      <c r="I239" s="231"/>
      <c r="J239" s="231"/>
      <c r="K239" s="231"/>
      <c r="L239" s="237"/>
    </row>
    <row r="240" spans="1:12" x14ac:dyDescent="0.2">
      <c r="A240" s="356">
        <v>8</v>
      </c>
      <c r="B240" s="321">
        <v>0.99056436644901613</v>
      </c>
      <c r="C240" s="328"/>
      <c r="D240" s="328"/>
      <c r="E240" s="231"/>
      <c r="F240" s="231"/>
      <c r="G240" s="231"/>
      <c r="H240" s="231"/>
      <c r="I240" s="231"/>
      <c r="J240" s="231"/>
      <c r="K240" s="231"/>
      <c r="L240" s="237"/>
    </row>
    <row r="241" spans="1:12" x14ac:dyDescent="0.2">
      <c r="A241" s="356">
        <v>9</v>
      </c>
      <c r="B241" s="321">
        <v>0.99551343156908989</v>
      </c>
      <c r="C241" s="328"/>
      <c r="D241" s="328"/>
      <c r="E241" s="231"/>
      <c r="F241" s="231"/>
      <c r="G241" s="231"/>
      <c r="H241" s="231"/>
      <c r="I241" s="231"/>
      <c r="J241" s="231"/>
      <c r="K241" s="231"/>
      <c r="L241" s="237"/>
    </row>
    <row r="242" spans="1:12" x14ac:dyDescent="0.2">
      <c r="A242" s="358">
        <v>10</v>
      </c>
      <c r="B242" s="323">
        <v>1</v>
      </c>
      <c r="C242" s="328"/>
      <c r="D242" s="328"/>
      <c r="E242" s="231"/>
      <c r="F242" s="231"/>
      <c r="G242" s="231"/>
      <c r="H242" s="231"/>
      <c r="I242" s="231"/>
      <c r="J242" s="231"/>
      <c r="K242" s="231"/>
      <c r="L242" s="237"/>
    </row>
    <row r="243" spans="1:12" x14ac:dyDescent="0.2">
      <c r="A243" s="356">
        <v>11</v>
      </c>
      <c r="B243" s="321">
        <v>1.0040975097974938</v>
      </c>
      <c r="C243" s="328"/>
      <c r="D243" s="328"/>
      <c r="E243" s="231"/>
      <c r="F243" s="231"/>
      <c r="G243" s="231"/>
      <c r="H243" s="231"/>
      <c r="I243" s="231"/>
      <c r="J243" s="231"/>
      <c r="K243" s="231"/>
      <c r="L243" s="237"/>
    </row>
    <row r="244" spans="1:12" x14ac:dyDescent="0.2">
      <c r="A244" s="356">
        <v>12</v>
      </c>
      <c r="B244" s="321">
        <v>1.0078687353044535</v>
      </c>
      <c r="C244" s="328"/>
      <c r="D244" s="328"/>
      <c r="E244" s="231"/>
      <c r="F244" s="231"/>
      <c r="G244" s="231"/>
      <c r="H244" s="231"/>
      <c r="I244" s="231"/>
      <c r="J244" s="231"/>
      <c r="K244" s="231"/>
      <c r="L244" s="237"/>
    </row>
    <row r="245" spans="1:12" x14ac:dyDescent="0.2">
      <c r="A245" s="356">
        <v>13</v>
      </c>
      <c r="B245" s="321">
        <v>1.0113665588051455</v>
      </c>
      <c r="C245" s="328"/>
      <c r="D245" s="328"/>
      <c r="E245" s="231"/>
      <c r="F245" s="231"/>
      <c r="G245" s="231"/>
      <c r="H245" s="231"/>
      <c r="I245" s="231"/>
      <c r="J245" s="231"/>
      <c r="K245" s="231"/>
      <c r="L245" s="237"/>
    </row>
    <row r="246" spans="1:12" x14ac:dyDescent="0.2">
      <c r="A246" s="356">
        <v>14</v>
      </c>
      <c r="B246" s="321">
        <v>1.0146347421794726</v>
      </c>
      <c r="C246" s="328"/>
      <c r="D246" s="328"/>
      <c r="E246" s="231"/>
      <c r="F246" s="231"/>
      <c r="G246" s="231"/>
      <c r="H246" s="231"/>
      <c r="I246" s="231"/>
      <c r="J246" s="231"/>
      <c r="K246" s="231"/>
      <c r="L246" s="237"/>
    </row>
    <row r="247" spans="1:12" x14ac:dyDescent="0.2">
      <c r="A247" s="358">
        <v>15</v>
      </c>
      <c r="B247" s="323">
        <v>1.017708698557221</v>
      </c>
      <c r="C247" s="328"/>
      <c r="D247" s="328"/>
      <c r="E247" s="231"/>
      <c r="F247" s="231"/>
      <c r="G247" s="231"/>
      <c r="H247" s="231"/>
      <c r="I247" s="231"/>
      <c r="J247" s="231"/>
      <c r="K247" s="231"/>
      <c r="L247" s="237"/>
    </row>
    <row r="248" spans="1:12" x14ac:dyDescent="0.2">
      <c r="A248" s="356">
        <v>16</v>
      </c>
      <c r="B248" s="321">
        <v>1.0206162639723129</v>
      </c>
      <c r="C248" s="328"/>
      <c r="D248" s="328"/>
      <c r="E248" s="231"/>
      <c r="F248" s="231"/>
      <c r="G248" s="231"/>
      <c r="H248" s="231"/>
      <c r="I248" s="231"/>
      <c r="J248" s="231"/>
      <c r="K248" s="231"/>
      <c r="L248" s="237"/>
    </row>
    <row r="249" spans="1:12" x14ac:dyDescent="0.2">
      <c r="A249" s="356">
        <v>17</v>
      </c>
      <c r="B249" s="321">
        <v>1.0233784690170558</v>
      </c>
      <c r="C249" s="328"/>
      <c r="D249" s="328"/>
      <c r="E249" s="231"/>
      <c r="F249" s="231"/>
      <c r="G249" s="231"/>
      <c r="H249" s="231"/>
      <c r="I249" s="231"/>
      <c r="J249" s="231"/>
      <c r="K249" s="231"/>
      <c r="L249" s="237"/>
    </row>
    <row r="250" spans="1:12" x14ac:dyDescent="0.2">
      <c r="A250" s="356">
        <v>18</v>
      </c>
      <c r="B250" s="321">
        <v>1.0260103104963914</v>
      </c>
      <c r="C250" s="328"/>
      <c r="D250" s="328"/>
      <c r="E250" s="231"/>
      <c r="F250" s="231"/>
      <c r="G250" s="231"/>
      <c r="H250" s="231"/>
      <c r="I250" s="231"/>
      <c r="J250" s="231"/>
      <c r="K250" s="231"/>
      <c r="L250" s="237"/>
    </row>
    <row r="251" spans="1:12" x14ac:dyDescent="0.2">
      <c r="A251" s="356">
        <v>19</v>
      </c>
      <c r="B251" s="321">
        <v>1.0285215230821467</v>
      </c>
      <c r="C251" s="328"/>
      <c r="D251" s="328"/>
      <c r="E251" s="231"/>
      <c r="F251" s="231"/>
      <c r="G251" s="231"/>
      <c r="H251" s="231"/>
      <c r="I251" s="231"/>
      <c r="J251" s="231"/>
      <c r="K251" s="231"/>
      <c r="L251" s="237"/>
    </row>
    <row r="252" spans="1:12" x14ac:dyDescent="0.2">
      <c r="A252" s="358">
        <v>20</v>
      </c>
      <c r="B252" s="323">
        <v>1.0309173509672849</v>
      </c>
      <c r="C252" s="328"/>
      <c r="D252" s="328"/>
      <c r="E252" s="231"/>
      <c r="F252" s="231"/>
      <c r="G252" s="231"/>
      <c r="H252" s="231"/>
      <c r="I252" s="231"/>
      <c r="J252" s="231"/>
      <c r="K252" s="231"/>
      <c r="L252" s="237"/>
    </row>
    <row r="253" spans="1:12" x14ac:dyDescent="0.2">
      <c r="A253" s="356">
        <v>21</v>
      </c>
      <c r="B253" s="321">
        <v>1.033199319520153</v>
      </c>
      <c r="C253" s="328"/>
      <c r="D253" s="328"/>
      <c r="E253" s="231"/>
      <c r="F253" s="231"/>
      <c r="G253" s="231"/>
      <c r="H253" s="231"/>
      <c r="I253" s="231"/>
      <c r="J253" s="231"/>
      <c r="K253" s="231"/>
      <c r="L253" s="237"/>
    </row>
    <row r="254" spans="1:12" x14ac:dyDescent="0.2">
      <c r="A254" s="356">
        <v>22</v>
      </c>
      <c r="B254" s="321">
        <v>1.0353660069387345</v>
      </c>
      <c r="C254" s="328"/>
      <c r="D254" s="328"/>
      <c r="E254" s="231"/>
      <c r="F254" s="231"/>
      <c r="G254" s="231"/>
      <c r="H254" s="231"/>
      <c r="I254" s="231"/>
      <c r="J254" s="231"/>
      <c r="K254" s="231"/>
      <c r="L254" s="237"/>
    </row>
    <row r="255" spans="1:12" x14ac:dyDescent="0.2">
      <c r="A255" s="356">
        <v>23</v>
      </c>
      <c r="B255" s="321">
        <v>1.0374138159048971</v>
      </c>
      <c r="C255" s="328"/>
      <c r="D255" s="328"/>
      <c r="E255" s="231"/>
      <c r="F255" s="231"/>
      <c r="G255" s="231"/>
      <c r="H255" s="231"/>
      <c r="I255" s="231"/>
      <c r="J255" s="231"/>
      <c r="K255" s="231"/>
      <c r="L255" s="237"/>
    </row>
    <row r="256" spans="1:12" x14ac:dyDescent="0.2">
      <c r="A256" s="356">
        <v>24</v>
      </c>
      <c r="B256" s="321">
        <v>1.039337745238645</v>
      </c>
      <c r="C256" s="328"/>
      <c r="D256" s="328"/>
      <c r="E256" s="231"/>
      <c r="F256" s="231"/>
      <c r="G256" s="231"/>
      <c r="H256" s="231"/>
      <c r="I256" s="231"/>
      <c r="J256" s="231"/>
      <c r="K256" s="231"/>
      <c r="L256" s="237"/>
    </row>
    <row r="257" spans="1:12" x14ac:dyDescent="0.2">
      <c r="A257" s="358">
        <v>25</v>
      </c>
      <c r="B257" s="323">
        <v>1.0411321615523665</v>
      </c>
      <c r="C257" s="328"/>
      <c r="D257" s="328"/>
      <c r="E257" s="231"/>
      <c r="F257" s="231"/>
      <c r="G257" s="231"/>
      <c r="H257" s="231"/>
      <c r="I257" s="231"/>
      <c r="J257" s="231"/>
      <c r="K257" s="231"/>
      <c r="L257" s="237"/>
    </row>
    <row r="258" spans="1:12" x14ac:dyDescent="0.2">
      <c r="A258" s="356">
        <v>26</v>
      </c>
      <c r="B258" s="321">
        <v>1.0427915709050861</v>
      </c>
      <c r="C258" s="328"/>
      <c r="D258" s="328"/>
      <c r="E258" s="231"/>
      <c r="F258" s="231"/>
      <c r="G258" s="231"/>
      <c r="H258" s="231"/>
      <c r="I258" s="231"/>
      <c r="J258" s="231"/>
      <c r="K258" s="231"/>
      <c r="L258" s="237"/>
    </row>
    <row r="259" spans="1:12" x14ac:dyDescent="0.2">
      <c r="A259" s="356">
        <v>27</v>
      </c>
      <c r="B259" s="321">
        <v>1.0443113904567141</v>
      </c>
      <c r="C259" s="328"/>
      <c r="D259" s="328"/>
      <c r="E259" s="231"/>
      <c r="F259" s="231"/>
      <c r="G259" s="231"/>
      <c r="H259" s="231"/>
      <c r="I259" s="231"/>
      <c r="J259" s="231"/>
      <c r="K259" s="231"/>
      <c r="L259" s="237"/>
    </row>
    <row r="260" spans="1:12" x14ac:dyDescent="0.2">
      <c r="A260" s="356">
        <v>28</v>
      </c>
      <c r="B260" s="321">
        <v>1.0456887201222949</v>
      </c>
      <c r="C260" s="328"/>
      <c r="D260" s="328"/>
      <c r="E260" s="231"/>
      <c r="F260" s="231"/>
      <c r="G260" s="231"/>
      <c r="H260" s="231"/>
      <c r="I260" s="231"/>
      <c r="J260" s="231"/>
      <c r="K260" s="231"/>
      <c r="L260" s="237"/>
    </row>
    <row r="261" spans="1:12" x14ac:dyDescent="0.2">
      <c r="A261" s="356">
        <v>29</v>
      </c>
      <c r="B261" s="321">
        <v>1.0469231142262596</v>
      </c>
      <c r="C261" s="328"/>
      <c r="D261" s="328"/>
      <c r="E261" s="231"/>
      <c r="F261" s="231"/>
      <c r="G261" s="231"/>
      <c r="H261" s="231"/>
      <c r="I261" s="231"/>
      <c r="J261" s="231"/>
      <c r="K261" s="231"/>
      <c r="L261" s="237"/>
    </row>
    <row r="262" spans="1:12" x14ac:dyDescent="0.2">
      <c r="A262" s="358">
        <v>30</v>
      </c>
      <c r="B262" s="323">
        <v>1.0480173531566743</v>
      </c>
      <c r="C262" s="328"/>
      <c r="D262" s="328"/>
      <c r="E262" s="231"/>
      <c r="F262" s="231"/>
      <c r="G262" s="231"/>
      <c r="H262" s="231"/>
      <c r="I262" s="231"/>
      <c r="J262" s="231"/>
      <c r="K262" s="231"/>
      <c r="L262" s="237"/>
    </row>
    <row r="263" spans="1:12" x14ac:dyDescent="0.2">
      <c r="A263" s="356">
        <v>31</v>
      </c>
      <c r="B263" s="321">
        <v>1.0489782150194913</v>
      </c>
      <c r="C263" s="328"/>
      <c r="D263" s="328"/>
      <c r="E263" s="231"/>
      <c r="F263" s="231"/>
      <c r="G263" s="231"/>
      <c r="H263" s="231"/>
      <c r="I263" s="231"/>
      <c r="J263" s="231"/>
      <c r="K263" s="231"/>
      <c r="L263" s="237"/>
    </row>
    <row r="264" spans="1:12" x14ac:dyDescent="0.2">
      <c r="A264" s="356">
        <v>32</v>
      </c>
      <c r="B264" s="321">
        <v>1.0498172472927976</v>
      </c>
      <c r="C264" s="328"/>
      <c r="D264" s="328"/>
      <c r="E264" s="231"/>
      <c r="F264" s="231"/>
      <c r="G264" s="231"/>
      <c r="H264" s="231"/>
      <c r="I264" s="231"/>
      <c r="J264" s="231"/>
      <c r="K264" s="231"/>
      <c r="L264" s="237"/>
    </row>
    <row r="265" spans="1:12" x14ac:dyDescent="0.2">
      <c r="A265" s="356">
        <v>33</v>
      </c>
      <c r="B265" s="321">
        <v>1.0505515384810671</v>
      </c>
      <c r="C265" s="328"/>
      <c r="D265" s="328"/>
      <c r="E265" s="231"/>
      <c r="F265" s="231"/>
      <c r="G265" s="231"/>
      <c r="H265" s="231"/>
      <c r="I265" s="231"/>
      <c r="J265" s="231"/>
      <c r="K265" s="231"/>
      <c r="L265" s="237"/>
    </row>
    <row r="266" spans="1:12" x14ac:dyDescent="0.2">
      <c r="A266" s="356">
        <v>34</v>
      </c>
      <c r="B266" s="321">
        <v>1.0512044897694075</v>
      </c>
      <c r="C266" s="328"/>
      <c r="D266" s="328"/>
      <c r="E266" s="231"/>
      <c r="F266" s="231"/>
      <c r="G266" s="231"/>
      <c r="H266" s="231"/>
      <c r="I266" s="231"/>
      <c r="J266" s="231"/>
      <c r="K266" s="231"/>
      <c r="L266" s="237"/>
    </row>
    <row r="267" spans="1:12" x14ac:dyDescent="0.2">
      <c r="A267" s="358">
        <v>35</v>
      </c>
      <c r="B267" s="323">
        <v>1.0518065866778148</v>
      </c>
      <c r="C267" s="328"/>
      <c r="D267" s="328"/>
      <c r="E267" s="231"/>
      <c r="F267" s="231"/>
      <c r="G267" s="231"/>
      <c r="H267" s="231"/>
      <c r="I267" s="231"/>
      <c r="J267" s="231"/>
      <c r="K267" s="231"/>
      <c r="L267" s="237"/>
    </row>
    <row r="268" spans="1:12" x14ac:dyDescent="0.2">
      <c r="A268" s="356">
        <v>36</v>
      </c>
      <c r="B268" s="321">
        <v>1.0523961707154184</v>
      </c>
      <c r="C268" s="328"/>
      <c r="D268" s="328"/>
      <c r="E268" s="231"/>
      <c r="F268" s="231"/>
      <c r="G268" s="231"/>
      <c r="H268" s="231"/>
      <c r="I268" s="231"/>
      <c r="J268" s="231"/>
      <c r="K268" s="231"/>
      <c r="L268" s="237"/>
    </row>
    <row r="269" spans="1:12" x14ac:dyDescent="0.2">
      <c r="A269" s="356">
        <v>37</v>
      </c>
      <c r="B269" s="321">
        <v>1.0530202110347342</v>
      </c>
      <c r="C269" s="328"/>
      <c r="D269" s="328"/>
      <c r="E269" s="231"/>
      <c r="F269" s="231"/>
      <c r="G269" s="231"/>
      <c r="H269" s="231"/>
      <c r="I269" s="231"/>
      <c r="J269" s="231"/>
      <c r="K269" s="231"/>
      <c r="L269" s="237"/>
    </row>
    <row r="270" spans="1:12" x14ac:dyDescent="0.2">
      <c r="A270" s="356">
        <v>38</v>
      </c>
      <c r="B270" s="321">
        <v>1.053735076085915</v>
      </c>
      <c r="C270" s="328"/>
      <c r="D270" s="328"/>
      <c r="E270" s="231"/>
      <c r="F270" s="231"/>
      <c r="G270" s="231"/>
      <c r="H270" s="231"/>
      <c r="I270" s="231"/>
      <c r="J270" s="231"/>
      <c r="K270" s="231"/>
      <c r="L270" s="237"/>
    </row>
    <row r="271" spans="1:12" x14ac:dyDescent="0.2">
      <c r="A271" s="356">
        <v>39</v>
      </c>
      <c r="B271" s="321">
        <v>1.0543369919979175</v>
      </c>
      <c r="C271" s="328"/>
      <c r="D271" s="328"/>
      <c r="E271" s="231"/>
      <c r="F271" s="231"/>
      <c r="G271" s="231"/>
      <c r="H271" s="231"/>
      <c r="I271" s="231"/>
      <c r="J271" s="231"/>
      <c r="K271" s="231"/>
      <c r="L271" s="237"/>
    </row>
    <row r="272" spans="1:12" x14ac:dyDescent="0.2">
      <c r="A272" s="359">
        <v>40</v>
      </c>
      <c r="B272" s="325">
        <v>1.0552030602895965</v>
      </c>
      <c r="C272" s="328"/>
      <c r="D272" s="328"/>
      <c r="E272" s="231"/>
      <c r="F272" s="231"/>
      <c r="G272" s="231"/>
      <c r="H272" s="231"/>
      <c r="I272" s="231"/>
      <c r="J272" s="231"/>
      <c r="K272" s="231"/>
      <c r="L272" s="237"/>
    </row>
    <row r="273" spans="1:12" x14ac:dyDescent="0.2">
      <c r="A273" s="359">
        <v>41</v>
      </c>
      <c r="B273" s="325">
        <v>1.0558124130149407</v>
      </c>
      <c r="C273" s="328"/>
      <c r="D273" s="328"/>
      <c r="E273" s="231"/>
      <c r="F273" s="231"/>
      <c r="G273" s="231"/>
      <c r="H273" s="231"/>
      <c r="I273" s="231"/>
      <c r="J273" s="231"/>
      <c r="K273" s="231"/>
      <c r="L273" s="237"/>
    </row>
    <row r="274" spans="1:12" x14ac:dyDescent="0.2">
      <c r="A274" s="359">
        <v>42</v>
      </c>
      <c r="B274" s="325">
        <v>1.0563535509573088</v>
      </c>
      <c r="C274" s="328"/>
      <c r="D274" s="328"/>
      <c r="E274" s="231"/>
      <c r="F274" s="231"/>
      <c r="G274" s="231"/>
      <c r="H274" s="231"/>
      <c r="I274" s="231"/>
      <c r="J274" s="231"/>
      <c r="K274" s="231"/>
      <c r="L274" s="237"/>
    </row>
    <row r="275" spans="1:12" x14ac:dyDescent="0.2">
      <c r="A275" s="359">
        <v>43</v>
      </c>
      <c r="B275" s="325">
        <v>1.0568695041973741</v>
      </c>
      <c r="C275" s="328"/>
      <c r="D275" s="328"/>
      <c r="E275" s="231"/>
      <c r="F275" s="231"/>
      <c r="G275" s="231"/>
      <c r="H275" s="231"/>
      <c r="I275" s="231"/>
      <c r="J275" s="231"/>
      <c r="K275" s="231"/>
      <c r="L275" s="237"/>
    </row>
    <row r="276" spans="1:12" x14ac:dyDescent="0.2">
      <c r="A276" s="359">
        <v>44</v>
      </c>
      <c r="B276" s="325">
        <v>1.0573616111160444</v>
      </c>
      <c r="C276" s="328"/>
      <c r="D276" s="328"/>
      <c r="E276" s="231"/>
      <c r="F276" s="231"/>
      <c r="G276" s="231"/>
      <c r="H276" s="231"/>
      <c r="I276" s="231"/>
      <c r="J276" s="231"/>
      <c r="K276" s="231"/>
      <c r="L276" s="237"/>
    </row>
    <row r="277" spans="1:12" x14ac:dyDescent="0.2">
      <c r="A277" s="359">
        <v>45</v>
      </c>
      <c r="B277" s="325">
        <v>1.057830775551859</v>
      </c>
      <c r="C277" s="328"/>
      <c r="D277" s="328"/>
      <c r="E277" s="231"/>
      <c r="F277" s="231"/>
      <c r="G277" s="231"/>
      <c r="H277" s="231"/>
      <c r="I277" s="231"/>
      <c r="J277" s="231"/>
      <c r="K277" s="231"/>
      <c r="L277" s="237"/>
    </row>
    <row r="278" spans="1:12" x14ac:dyDescent="0.2">
      <c r="A278" s="359">
        <v>46</v>
      </c>
      <c r="B278" s="325">
        <v>1.0582774668009887</v>
      </c>
      <c r="C278" s="328"/>
      <c r="D278" s="328"/>
      <c r="E278" s="231"/>
      <c r="F278" s="231"/>
      <c r="G278" s="231"/>
      <c r="H278" s="231"/>
      <c r="I278" s="231"/>
      <c r="J278" s="231"/>
      <c r="K278" s="231"/>
      <c r="L278" s="237"/>
    </row>
    <row r="279" spans="1:12" x14ac:dyDescent="0.2">
      <c r="A279" s="359">
        <v>47</v>
      </c>
      <c r="B279" s="325">
        <v>1.058701719617235</v>
      </c>
      <c r="C279" s="328"/>
      <c r="D279" s="328"/>
      <c r="E279" s="231"/>
      <c r="F279" s="231"/>
      <c r="G279" s="231"/>
      <c r="H279" s="231"/>
      <c r="I279" s="231"/>
      <c r="J279" s="231"/>
      <c r="K279" s="231"/>
      <c r="L279" s="237"/>
    </row>
    <row r="280" spans="1:12" x14ac:dyDescent="0.2">
      <c r="A280" s="359">
        <v>48</v>
      </c>
      <c r="B280" s="325">
        <v>1.0591031342120327</v>
      </c>
      <c r="C280" s="328"/>
      <c r="D280" s="328"/>
      <c r="E280" s="231"/>
      <c r="F280" s="231"/>
      <c r="G280" s="231"/>
      <c r="H280" s="231"/>
      <c r="I280" s="231"/>
      <c r="J280" s="231"/>
      <c r="K280" s="231"/>
      <c r="L280" s="237"/>
    </row>
    <row r="281" spans="1:12" x14ac:dyDescent="0.2">
      <c r="A281" s="359">
        <v>49</v>
      </c>
      <c r="B281" s="325">
        <v>1.0594808762544463</v>
      </c>
      <c r="C281" s="328"/>
      <c r="D281" s="328"/>
      <c r="E281" s="231"/>
      <c r="F281" s="231"/>
      <c r="G281" s="231"/>
      <c r="H281" s="231"/>
      <c r="I281" s="231"/>
      <c r="J281" s="231"/>
      <c r="K281" s="231"/>
      <c r="L281" s="237"/>
    </row>
    <row r="282" spans="1:12" x14ac:dyDescent="0.2">
      <c r="A282" s="359">
        <v>50</v>
      </c>
      <c r="B282" s="325">
        <v>1.0598336768711729</v>
      </c>
      <c r="C282" s="328"/>
      <c r="D282" s="328"/>
      <c r="E282" s="231"/>
      <c r="F282" s="231"/>
      <c r="G282" s="231"/>
      <c r="H282" s="231"/>
      <c r="I282" s="231"/>
      <c r="J282" s="231"/>
      <c r="K282" s="231"/>
      <c r="L282" s="237"/>
    </row>
    <row r="283" spans="1:12" x14ac:dyDescent="0.2">
      <c r="A283" s="359">
        <v>51</v>
      </c>
      <c r="B283" s="325">
        <v>1.0601598326465409</v>
      </c>
      <c r="C283" s="328"/>
      <c r="D283" s="328"/>
      <c r="E283" s="231"/>
      <c r="F283" s="231"/>
      <c r="G283" s="231"/>
      <c r="H283" s="231"/>
      <c r="I283" s="231"/>
      <c r="J283" s="231"/>
      <c r="K283" s="231"/>
      <c r="L283" s="237"/>
    </row>
    <row r="284" spans="1:12" x14ac:dyDescent="0.2">
      <c r="A284" s="359">
        <v>52</v>
      </c>
      <c r="B284" s="325">
        <v>1.0604572056225097</v>
      </c>
      <c r="C284" s="328"/>
      <c r="D284" s="328"/>
      <c r="E284" s="231"/>
      <c r="F284" s="231"/>
      <c r="G284" s="231"/>
      <c r="H284" s="231"/>
      <c r="I284" s="231"/>
      <c r="J284" s="231"/>
      <c r="K284" s="231"/>
      <c r="L284" s="237"/>
    </row>
    <row r="285" spans="1:12" x14ac:dyDescent="0.2">
      <c r="A285" s="359">
        <v>53</v>
      </c>
      <c r="B285" s="325">
        <v>1.060723223298671</v>
      </c>
      <c r="C285" s="328"/>
      <c r="D285" s="328"/>
      <c r="E285" s="231"/>
      <c r="F285" s="231"/>
      <c r="G285" s="231"/>
      <c r="H285" s="231"/>
      <c r="I285" s="231"/>
      <c r="J285" s="231"/>
      <c r="K285" s="231"/>
      <c r="L285" s="237"/>
    </row>
    <row r="286" spans="1:12" x14ac:dyDescent="0.2">
      <c r="A286" s="359">
        <v>54</v>
      </c>
      <c r="B286" s="325">
        <v>1.0609548786322476</v>
      </c>
      <c r="C286" s="328"/>
      <c r="D286" s="328"/>
      <c r="E286" s="231"/>
      <c r="F286" s="231"/>
      <c r="G286" s="231"/>
      <c r="H286" s="231"/>
      <c r="I286" s="231"/>
      <c r="J286" s="231"/>
      <c r="K286" s="231"/>
      <c r="L286" s="237"/>
    </row>
    <row r="287" spans="1:12" x14ac:dyDescent="0.2">
      <c r="A287" s="359">
        <v>55</v>
      </c>
      <c r="B287" s="325">
        <v>1.0611487300380937</v>
      </c>
      <c r="C287" s="328"/>
      <c r="D287" s="328"/>
      <c r="E287" s="231"/>
      <c r="F287" s="231"/>
      <c r="G287" s="231"/>
      <c r="H287" s="231"/>
      <c r="I287" s="231"/>
      <c r="J287" s="231"/>
      <c r="K287" s="231"/>
      <c r="L287" s="237"/>
    </row>
    <row r="288" spans="1:12" x14ac:dyDescent="0.2">
      <c r="A288" s="359">
        <v>56</v>
      </c>
      <c r="B288" s="325">
        <v>1.0613009013886956</v>
      </c>
      <c r="C288" s="328"/>
      <c r="D288" s="328"/>
      <c r="E288" s="231"/>
      <c r="F288" s="231"/>
      <c r="G288" s="231"/>
      <c r="H288" s="231"/>
      <c r="I288" s="231"/>
      <c r="J288" s="231"/>
      <c r="K288" s="231"/>
      <c r="L288" s="237"/>
    </row>
    <row r="289" spans="1:40" x14ac:dyDescent="0.2">
      <c r="A289" s="359">
        <v>57</v>
      </c>
      <c r="B289" s="325">
        <v>1.0614070820141706</v>
      </c>
      <c r="C289" s="328"/>
      <c r="D289" s="328"/>
      <c r="E289" s="231"/>
      <c r="F289" s="231"/>
      <c r="G289" s="231"/>
      <c r="H289" s="231"/>
      <c r="I289" s="231"/>
      <c r="J289" s="231"/>
      <c r="K289" s="231"/>
      <c r="L289" s="237"/>
    </row>
    <row r="290" spans="1:40" x14ac:dyDescent="0.2">
      <c r="A290" s="359">
        <v>58</v>
      </c>
      <c r="B290" s="325">
        <v>1.0614625267022675</v>
      </c>
      <c r="C290" s="328"/>
      <c r="D290" s="328"/>
      <c r="E290" s="231"/>
      <c r="F290" s="231"/>
      <c r="G290" s="231"/>
      <c r="H290" s="231"/>
      <c r="I290" s="231"/>
      <c r="J290" s="231"/>
      <c r="K290" s="231"/>
      <c r="L290" s="237"/>
    </row>
    <row r="291" spans="1:40" x14ac:dyDescent="0.2">
      <c r="A291" s="359">
        <v>59</v>
      </c>
      <c r="B291" s="325">
        <v>1.0614620556983667</v>
      </c>
      <c r="C291" s="328"/>
      <c r="D291" s="328"/>
      <c r="E291" s="231"/>
      <c r="F291" s="231"/>
      <c r="G291" s="231"/>
      <c r="H291" s="231"/>
      <c r="I291" s="231"/>
      <c r="J291" s="231"/>
      <c r="K291" s="231"/>
      <c r="L291" s="237"/>
    </row>
    <row r="292" spans="1:40" ht="13.5" thickBot="1" x14ac:dyDescent="0.25">
      <c r="A292" s="360">
        <v>60</v>
      </c>
      <c r="B292" s="327">
        <v>1.0615888437506573</v>
      </c>
      <c r="C292" s="328"/>
      <c r="D292" s="328"/>
      <c r="E292" s="231"/>
      <c r="F292" s="231"/>
      <c r="G292" s="231"/>
      <c r="H292" s="231"/>
      <c r="I292" s="231"/>
      <c r="J292" s="231"/>
      <c r="K292" s="231"/>
      <c r="L292" s="237"/>
    </row>
    <row r="293" spans="1:40" ht="13.5" thickBot="1" x14ac:dyDescent="0.25">
      <c r="A293" s="360">
        <v>60.000999999999998</v>
      </c>
      <c r="B293" s="327">
        <f>B292</f>
        <v>1.0615888437506573</v>
      </c>
      <c r="C293" s="328"/>
      <c r="D293" s="32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8"/>
      <c r="B297" s="699" t="s">
        <v>28</v>
      </c>
      <c r="C297" s="700"/>
      <c r="D297" s="700"/>
      <c r="E297" s="700"/>
      <c r="F297" s="700"/>
      <c r="G297" s="700"/>
      <c r="H297" s="700"/>
      <c r="I297" s="700"/>
      <c r="J297" s="700"/>
      <c r="K297" s="328"/>
      <c r="L297" s="328"/>
      <c r="M297" s="328"/>
      <c r="N297" s="328"/>
      <c r="O297" s="328"/>
      <c r="P297" s="328"/>
      <c r="Q297" s="328"/>
      <c r="R297" s="328"/>
      <c r="S297" s="328"/>
      <c r="T297" s="328"/>
      <c r="U297" s="328"/>
      <c r="V297" s="328"/>
      <c r="W297" s="328"/>
      <c r="X297" s="328"/>
      <c r="Y297" s="328"/>
      <c r="Z297" s="328"/>
      <c r="AA297" s="328"/>
      <c r="AB297" s="328"/>
      <c r="AC297" s="328"/>
      <c r="AD297" s="328"/>
      <c r="AE297" s="328"/>
      <c r="AF297" s="328"/>
      <c r="AG297" s="328"/>
      <c r="AH297" s="328"/>
      <c r="AI297" s="328"/>
      <c r="AJ297" s="328"/>
      <c r="AK297" s="328"/>
      <c r="AL297" s="328"/>
      <c r="AM297" s="328"/>
      <c r="AN297" s="237"/>
    </row>
    <row r="298" spans="1:40" ht="14.25" thickTop="1" thickBot="1" x14ac:dyDescent="0.25">
      <c r="A298" s="351"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2">
        <v>4</v>
      </c>
      <c r="B299" s="304">
        <v>0.95267892061008996</v>
      </c>
      <c r="C299" s="304">
        <v>0.95874677375000006</v>
      </c>
      <c r="D299" s="304">
        <v>0.96402033633163853</v>
      </c>
      <c r="E299" s="304">
        <v>0.967914667274</v>
      </c>
      <c r="F299" s="304">
        <v>0.97145091904575676</v>
      </c>
      <c r="G299" s="304">
        <v>0.97429679279800008</v>
      </c>
      <c r="H299" s="304">
        <v>0.97653500195541643</v>
      </c>
      <c r="I299" s="304">
        <v>0.9786435688820001</v>
      </c>
      <c r="J299" s="305">
        <v>0.98005475166210398</v>
      </c>
      <c r="K299" s="304">
        <v>0.98155570400600012</v>
      </c>
      <c r="L299" s="304">
        <v>0.98262463164800007</v>
      </c>
      <c r="M299" s="304">
        <v>0.98357450136879143</v>
      </c>
      <c r="N299" s="304">
        <v>0.98422429683200008</v>
      </c>
      <c r="O299" s="304">
        <v>0.98482945297400004</v>
      </c>
      <c r="P299" s="304">
        <v>0.98534452105600001</v>
      </c>
      <c r="Q299" s="304">
        <v>0.98579261049800015</v>
      </c>
      <c r="R299" s="304">
        <v>0.98631208447399288</v>
      </c>
      <c r="S299" s="305">
        <v>0.9865572537820001</v>
      </c>
      <c r="T299" s="304">
        <v>0.98689853782400005</v>
      </c>
      <c r="U299" s="304">
        <v>0.9872233361060001</v>
      </c>
      <c r="V299" s="304">
        <v>0.98753636684800006</v>
      </c>
      <c r="W299" s="304">
        <v>0.98787641767696521</v>
      </c>
      <c r="X299" s="304">
        <v>0.9881358672320002</v>
      </c>
      <c r="Y299" s="304">
        <v>0.9884231906740002</v>
      </c>
      <c r="Z299" s="304">
        <v>0.98870148665599999</v>
      </c>
      <c r="AA299" s="304">
        <v>0.98896998819800008</v>
      </c>
      <c r="AB299" s="305">
        <v>0.98904966757919432</v>
      </c>
      <c r="AC299" s="304">
        <v>0.98947731468200018</v>
      </c>
      <c r="AD299" s="304">
        <v>0.98971892902400016</v>
      </c>
      <c r="AE299" s="304">
        <v>0.98995736020599989</v>
      </c>
      <c r="AF299" s="304">
        <v>0.99019926204800024</v>
      </c>
      <c r="AG299" s="304">
        <v>0.99061400078216655</v>
      </c>
      <c r="AH299" s="304">
        <v>0.99073577363200005</v>
      </c>
      <c r="AI299" s="304">
        <v>0.99106092037400018</v>
      </c>
      <c r="AJ299" s="304">
        <v>0.9914516442560003</v>
      </c>
      <c r="AK299" s="304">
        <v>0.99193492589800014</v>
      </c>
      <c r="AL299" s="305">
        <v>0.99256941728588188</v>
      </c>
      <c r="AM299" s="305">
        <f>AL299</f>
        <v>0.99256941728588188</v>
      </c>
      <c r="AN299" s="237"/>
    </row>
    <row r="300" spans="1:40" x14ac:dyDescent="0.2">
      <c r="A300" s="353">
        <v>5</v>
      </c>
      <c r="B300" s="307">
        <v>0.95658975361752052</v>
      </c>
      <c r="C300" s="307">
        <v>0.96307552031249999</v>
      </c>
      <c r="D300" s="307">
        <v>0.96871333594055531</v>
      </c>
      <c r="E300" s="307">
        <v>0.97314939134649991</v>
      </c>
      <c r="F300" s="307">
        <v>0.97692608525615965</v>
      </c>
      <c r="G300" s="307">
        <v>0.98015461704450002</v>
      </c>
      <c r="H300" s="307">
        <v>0.98298787641767693</v>
      </c>
      <c r="I300" s="307">
        <v>0.98492103782250007</v>
      </c>
      <c r="J300" s="308">
        <v>0.98670316777473599</v>
      </c>
      <c r="K300" s="307">
        <v>0.9881137920805001</v>
      </c>
      <c r="L300" s="307">
        <v>0.98928723871199997</v>
      </c>
      <c r="M300" s="307">
        <v>0.99041845913179505</v>
      </c>
      <c r="N300" s="307">
        <v>0.99105008608</v>
      </c>
      <c r="O300" s="307">
        <v>0.99172199671650008</v>
      </c>
      <c r="P300" s="307">
        <v>0.99229819240799999</v>
      </c>
      <c r="Q300" s="307">
        <v>0.9928041920545001</v>
      </c>
      <c r="R300" s="307">
        <v>0.9935471255377395</v>
      </c>
      <c r="S300" s="308">
        <v>0.99368176151249998</v>
      </c>
      <c r="T300" s="307">
        <v>0.994080118264</v>
      </c>
      <c r="U300" s="307">
        <v>0.99446296381050003</v>
      </c>
      <c r="V300" s="307">
        <v>0.99483489907199996</v>
      </c>
      <c r="W300" s="307">
        <v>0.99530700039108333</v>
      </c>
      <c r="X300" s="307">
        <v>0.99555241212000012</v>
      </c>
      <c r="Y300" s="307">
        <v>0.99589682788650014</v>
      </c>
      <c r="Z300" s="307">
        <v>0.99622912028800004</v>
      </c>
      <c r="AA300" s="307">
        <v>0.99654685926450004</v>
      </c>
      <c r="AB300" s="308">
        <v>0.99726241689479855</v>
      </c>
      <c r="AC300" s="307">
        <v>0.99713081340250009</v>
      </c>
      <c r="AD300" s="307">
        <v>0.9973956915840001</v>
      </c>
      <c r="AE300" s="307">
        <v>0.99764445334049989</v>
      </c>
      <c r="AF300" s="307">
        <v>0.99788152463200019</v>
      </c>
      <c r="AG300" s="307">
        <v>0.99843566679702778</v>
      </c>
      <c r="AH300" s="307">
        <v>0.99835404336</v>
      </c>
      <c r="AI300" s="307">
        <v>0.99861575285650006</v>
      </c>
      <c r="AJ300" s="307">
        <v>0.9989194069680003</v>
      </c>
      <c r="AK300" s="307">
        <v>0.99929017467450021</v>
      </c>
      <c r="AL300" s="308">
        <v>1.0001955416503716</v>
      </c>
      <c r="AM300" s="308">
        <f t="shared" ref="AM300:AM335" si="4">AL300</f>
        <v>1.0001955416503716</v>
      </c>
      <c r="AN300" s="237"/>
    </row>
    <row r="301" spans="1:40" x14ac:dyDescent="0.2">
      <c r="A301" s="352">
        <v>6</v>
      </c>
      <c r="B301" s="304">
        <v>0.96050058662495108</v>
      </c>
      <c r="C301" s="304">
        <v>0.96740426687499992</v>
      </c>
      <c r="D301" s="304">
        <v>0.97340633554947209</v>
      </c>
      <c r="E301" s="304">
        <v>0.97838411541899994</v>
      </c>
      <c r="F301" s="304">
        <v>0.98240125146656243</v>
      </c>
      <c r="G301" s="304">
        <v>0.98601244129099996</v>
      </c>
      <c r="H301" s="304">
        <v>0.98944075087993744</v>
      </c>
      <c r="I301" s="304">
        <v>0.99119850676300003</v>
      </c>
      <c r="J301" s="305">
        <v>0.99335158388736799</v>
      </c>
      <c r="K301" s="304">
        <v>0.99467188015499997</v>
      </c>
      <c r="L301" s="304">
        <v>0.99594984577599999</v>
      </c>
      <c r="M301" s="304">
        <v>0.99726241689479855</v>
      </c>
      <c r="N301" s="304">
        <v>0.99787587532799993</v>
      </c>
      <c r="O301" s="304">
        <v>0.998614540459</v>
      </c>
      <c r="P301" s="304">
        <v>0.99925186375999997</v>
      </c>
      <c r="Q301" s="304">
        <v>0.99981577361100005</v>
      </c>
      <c r="R301" s="304">
        <v>1.000782166601486</v>
      </c>
      <c r="S301" s="305">
        <v>1.000806269243</v>
      </c>
      <c r="T301" s="304">
        <v>1.0012616987039999</v>
      </c>
      <c r="U301" s="304">
        <v>1.001702591515</v>
      </c>
      <c r="V301" s="304">
        <v>1.002133431296</v>
      </c>
      <c r="W301" s="304">
        <v>1.0027375831052014</v>
      </c>
      <c r="X301" s="304">
        <v>1.002968957008</v>
      </c>
      <c r="Y301" s="304">
        <v>1.0033704650990001</v>
      </c>
      <c r="Z301" s="304">
        <v>1.0037567539200001</v>
      </c>
      <c r="AA301" s="304">
        <v>1.004123730331</v>
      </c>
      <c r="AB301" s="305">
        <v>1.0054751662104029</v>
      </c>
      <c r="AC301" s="304">
        <v>1.004784312123</v>
      </c>
      <c r="AD301" s="304">
        <v>1.0050724541439999</v>
      </c>
      <c r="AE301" s="304">
        <v>1.0053315464749999</v>
      </c>
      <c r="AF301" s="304">
        <v>1.0055637872160001</v>
      </c>
      <c r="AG301" s="304">
        <v>1.0062573328118889</v>
      </c>
      <c r="AH301" s="304">
        <v>1.0059723130880001</v>
      </c>
      <c r="AI301" s="304">
        <v>1.0061705853389999</v>
      </c>
      <c r="AJ301" s="304">
        <v>1.0063871696800004</v>
      </c>
      <c r="AK301" s="304">
        <v>1.0066454234510003</v>
      </c>
      <c r="AL301" s="305">
        <v>1.0078216660148613</v>
      </c>
      <c r="AM301" s="305">
        <f t="shared" si="4"/>
        <v>1.0078216660148613</v>
      </c>
      <c r="AN301" s="237"/>
    </row>
    <row r="302" spans="1:40" x14ac:dyDescent="0.2">
      <c r="A302" s="352">
        <v>7</v>
      </c>
      <c r="B302" s="304">
        <v>0.96263776885063601</v>
      </c>
      <c r="C302" s="304">
        <v>0.97007403687499993</v>
      </c>
      <c r="D302" s="304">
        <v>0.97652704253011779</v>
      </c>
      <c r="E302" s="304">
        <v>0.98160496178800005</v>
      </c>
      <c r="F302" s="304">
        <v>0.98611256311097206</v>
      </c>
      <c r="G302" s="304">
        <v>0.98967421602899996</v>
      </c>
      <c r="H302" s="304">
        <v>0.99276342827754216</v>
      </c>
      <c r="I302" s="304">
        <v>0.99520148770999994</v>
      </c>
      <c r="J302" s="305">
        <v>0.99737139291968391</v>
      </c>
      <c r="K302" s="304">
        <v>0.99893054187099994</v>
      </c>
      <c r="L302" s="304">
        <v>1.000309445264</v>
      </c>
      <c r="M302" s="304">
        <v>1.0013709344747965</v>
      </c>
      <c r="N302" s="304">
        <v>1.0023947536</v>
      </c>
      <c r="O302" s="304">
        <v>1.003196359553</v>
      </c>
      <c r="P302" s="304">
        <v>1.003888534176</v>
      </c>
      <c r="Q302" s="304">
        <v>1.004501413474</v>
      </c>
      <c r="R302" s="304">
        <v>1.005674840639295</v>
      </c>
      <c r="S302" s="305">
        <v>1.0055804697149999</v>
      </c>
      <c r="T302" s="304">
        <v>1.0060792288479998</v>
      </c>
      <c r="U302" s="304">
        <v>1.006564970756</v>
      </c>
      <c r="V302" s="304">
        <v>1.007043482784</v>
      </c>
      <c r="W302" s="304">
        <v>1.0074353277561232</v>
      </c>
      <c r="X302" s="304">
        <v>1.00798652768</v>
      </c>
      <c r="Y302" s="304">
        <v>1.0084488669180001</v>
      </c>
      <c r="Z302" s="304">
        <v>1.0089007027360002</v>
      </c>
      <c r="AA302" s="304">
        <v>1.0093373953189999</v>
      </c>
      <c r="AB302" s="305">
        <v>1.0101739823224225</v>
      </c>
      <c r="AC302" s="304">
        <v>1.0101452741199999</v>
      </c>
      <c r="AD302" s="304">
        <v>1.010507333888</v>
      </c>
      <c r="AE302" s="304">
        <v>1.010837111241</v>
      </c>
      <c r="AF302" s="304">
        <v>1.0111334607039999</v>
      </c>
      <c r="AG302" s="304">
        <v>1.0117392339206215</v>
      </c>
      <c r="AH302" s="304">
        <v>1.0116336981599998</v>
      </c>
      <c r="AI302" s="304">
        <v>1.011849369883</v>
      </c>
      <c r="AJ302" s="304">
        <v>1.0120562948960004</v>
      </c>
      <c r="AK302" s="304">
        <v>1.0122707435640002</v>
      </c>
      <c r="AL302" s="305">
        <v>1.0129127899545931</v>
      </c>
      <c r="AM302" s="305">
        <f t="shared" si="4"/>
        <v>1.0129127899545931</v>
      </c>
      <c r="AN302" s="237"/>
    </row>
    <row r="303" spans="1:40" x14ac:dyDescent="0.2">
      <c r="A303" s="352">
        <v>8</v>
      </c>
      <c r="B303" s="304">
        <v>0.96477495107632094</v>
      </c>
      <c r="C303" s="304">
        <v>0.97274380687499995</v>
      </c>
      <c r="D303" s="304">
        <v>0.97964774951076339</v>
      </c>
      <c r="E303" s="304">
        <v>0.98482580815700005</v>
      </c>
      <c r="F303" s="304">
        <v>0.98982387475538169</v>
      </c>
      <c r="G303" s="304">
        <v>0.99333599076699997</v>
      </c>
      <c r="H303" s="304">
        <v>0.99608610567514699</v>
      </c>
      <c r="I303" s="304">
        <v>0.99920446865699997</v>
      </c>
      <c r="J303" s="305">
        <v>1.0013912019519999</v>
      </c>
      <c r="K303" s="304">
        <v>1.003189203587</v>
      </c>
      <c r="L303" s="304">
        <v>1.0046690447519999</v>
      </c>
      <c r="M303" s="304">
        <v>1.0054794520547945</v>
      </c>
      <c r="N303" s="304">
        <v>1.006913631872</v>
      </c>
      <c r="O303" s="304">
        <v>1.0077781786469999</v>
      </c>
      <c r="P303" s="304">
        <v>1.0085252045919999</v>
      </c>
      <c r="Q303" s="304">
        <v>1.009187053337</v>
      </c>
      <c r="R303" s="304">
        <v>1.0105675146771038</v>
      </c>
      <c r="S303" s="305">
        <v>1.0103546701869999</v>
      </c>
      <c r="T303" s="304">
        <v>1.0108967589919999</v>
      </c>
      <c r="U303" s="304">
        <v>1.0114273499969999</v>
      </c>
      <c r="V303" s="304">
        <v>1.0119535342720001</v>
      </c>
      <c r="W303" s="304">
        <v>1.0121330724070452</v>
      </c>
      <c r="X303" s="304">
        <v>1.0130040983519999</v>
      </c>
      <c r="Y303" s="304">
        <v>1.0135272687370001</v>
      </c>
      <c r="Z303" s="304">
        <v>1.0140446515520001</v>
      </c>
      <c r="AA303" s="304">
        <v>1.0145510603069998</v>
      </c>
      <c r="AB303" s="305">
        <v>1.0148727984344423</v>
      </c>
      <c r="AC303" s="304">
        <v>1.0155062361169997</v>
      </c>
      <c r="AD303" s="304">
        <v>1.015942213632</v>
      </c>
      <c r="AE303" s="304">
        <v>1.016342676007</v>
      </c>
      <c r="AF303" s="304">
        <v>1.0167031341919999</v>
      </c>
      <c r="AG303" s="304">
        <v>1.0172211350293543</v>
      </c>
      <c r="AH303" s="304">
        <v>1.0172950832319998</v>
      </c>
      <c r="AI303" s="304">
        <v>1.0175281544269998</v>
      </c>
      <c r="AJ303" s="304">
        <v>1.0177254201120003</v>
      </c>
      <c r="AK303" s="304">
        <v>1.017896063677</v>
      </c>
      <c r="AL303" s="305">
        <v>1.0180039138943249</v>
      </c>
      <c r="AM303" s="305">
        <f t="shared" si="4"/>
        <v>1.0180039138943249</v>
      </c>
      <c r="AN303" s="237"/>
    </row>
    <row r="304" spans="1:40" x14ac:dyDescent="0.2">
      <c r="A304" s="352">
        <v>9</v>
      </c>
      <c r="B304" s="304">
        <v>0.96536869619543753</v>
      </c>
      <c r="C304" s="304">
        <v>0.97346975025000004</v>
      </c>
      <c r="D304" s="304">
        <v>0.98023858524051477</v>
      </c>
      <c r="E304" s="304">
        <v>0.98602612251100008</v>
      </c>
      <c r="F304" s="304">
        <v>0.99119519246376275</v>
      </c>
      <c r="G304" s="304">
        <v>0.99485236962800006</v>
      </c>
      <c r="H304" s="304">
        <v>0.99804305283757344</v>
      </c>
      <c r="I304" s="304">
        <v>1.000937035377</v>
      </c>
      <c r="J304" s="305">
        <v>1.0032386369697401</v>
      </c>
      <c r="K304" s="304">
        <v>1.0050809470540001</v>
      </c>
      <c r="L304" s="304">
        <v>1.0066286308080001</v>
      </c>
      <c r="M304" s="304">
        <v>1.0074345617081484</v>
      </c>
      <c r="N304" s="304">
        <v>1.008998141632</v>
      </c>
      <c r="O304" s="304">
        <v>1.0099229213759999</v>
      </c>
      <c r="P304" s="304">
        <v>1.0107298640239999</v>
      </c>
      <c r="Q304" s="304">
        <v>1.011451585813</v>
      </c>
      <c r="R304" s="304">
        <v>1.0127172471664081</v>
      </c>
      <c r="S304" s="305">
        <v>1.012737928562</v>
      </c>
      <c r="T304" s="304">
        <v>1.0133376238960001</v>
      </c>
      <c r="U304" s="304">
        <v>1.013923410519</v>
      </c>
      <c r="V304" s="304">
        <v>1.014501236768</v>
      </c>
      <c r="W304" s="304">
        <v>1.0148693531049311</v>
      </c>
      <c r="X304" s="304">
        <v>1.015639440792</v>
      </c>
      <c r="Y304" s="304">
        <v>1.016196099641</v>
      </c>
      <c r="Z304" s="304">
        <v>1.0167385236640001</v>
      </c>
      <c r="AA304" s="304">
        <v>1.017260535798</v>
      </c>
      <c r="AB304" s="305">
        <v>1.017608543192182</v>
      </c>
      <c r="AC304" s="304">
        <v>1.0182157979469999</v>
      </c>
      <c r="AD304" s="304">
        <v>1.0186356207360001</v>
      </c>
      <c r="AE304" s="304">
        <v>1.0190093405840002</v>
      </c>
      <c r="AF304" s="304">
        <v>1.019333197528</v>
      </c>
      <c r="AG304" s="304">
        <v>1.0197608022564613</v>
      </c>
      <c r="AH304" s="304">
        <v>1.0198280071519998</v>
      </c>
      <c r="AI304" s="304">
        <v>1.020004909306</v>
      </c>
      <c r="AJ304" s="304">
        <v>1.0201450109040002</v>
      </c>
      <c r="AK304" s="304">
        <v>1.020261511583</v>
      </c>
      <c r="AL304" s="305">
        <v>1.0203478098423111</v>
      </c>
      <c r="AM304" s="305">
        <f t="shared" si="4"/>
        <v>1.0203478098423111</v>
      </c>
      <c r="AN304" s="237"/>
    </row>
    <row r="305" spans="1:40" x14ac:dyDescent="0.2">
      <c r="A305" s="353">
        <v>10</v>
      </c>
      <c r="B305" s="307">
        <v>0.965962441314554</v>
      </c>
      <c r="C305" s="307">
        <v>0.97419569362500003</v>
      </c>
      <c r="D305" s="307">
        <v>0.98082942097026615</v>
      </c>
      <c r="E305" s="307">
        <v>0.987226436865</v>
      </c>
      <c r="F305" s="307">
        <v>0.99256651017214392</v>
      </c>
      <c r="G305" s="307">
        <v>0.99636874848900003</v>
      </c>
      <c r="H305" s="307">
        <v>1</v>
      </c>
      <c r="I305" s="307">
        <v>1.0026696020970001</v>
      </c>
      <c r="J305" s="308">
        <v>1.0050860719874803</v>
      </c>
      <c r="K305" s="307">
        <v>1.0069726905210001</v>
      </c>
      <c r="L305" s="307">
        <v>1.0085882168640001</v>
      </c>
      <c r="M305" s="307">
        <v>1.0093896713615025</v>
      </c>
      <c r="N305" s="307">
        <v>1.0110826513919999</v>
      </c>
      <c r="O305" s="307">
        <v>1.0120676641049999</v>
      </c>
      <c r="P305" s="307">
        <v>1.0129345234560001</v>
      </c>
      <c r="Q305" s="307">
        <v>1.013716118289</v>
      </c>
      <c r="R305" s="307">
        <v>1.0148669796557122</v>
      </c>
      <c r="S305" s="308">
        <v>1.015121186937</v>
      </c>
      <c r="T305" s="307">
        <v>1.0157784888000001</v>
      </c>
      <c r="U305" s="307">
        <v>1.0164194710410002</v>
      </c>
      <c r="V305" s="307">
        <v>1.0170489392639999</v>
      </c>
      <c r="W305" s="307">
        <v>1.0176056338028168</v>
      </c>
      <c r="X305" s="307">
        <v>1.018274783232</v>
      </c>
      <c r="Y305" s="307">
        <v>1.0188649305449999</v>
      </c>
      <c r="Z305" s="307">
        <v>1.0194323957760001</v>
      </c>
      <c r="AA305" s="307">
        <v>1.0199700112890002</v>
      </c>
      <c r="AB305" s="308">
        <v>1.0203442879499218</v>
      </c>
      <c r="AC305" s="307">
        <v>1.0209253597770001</v>
      </c>
      <c r="AD305" s="307">
        <v>1.0213290278400002</v>
      </c>
      <c r="AE305" s="307">
        <v>1.0216760051610001</v>
      </c>
      <c r="AF305" s="307">
        <v>1.0219632608640001</v>
      </c>
      <c r="AG305" s="307">
        <v>1.0223004694835682</v>
      </c>
      <c r="AH305" s="307">
        <v>1.0223609310719999</v>
      </c>
      <c r="AI305" s="307">
        <v>1.0224816641850001</v>
      </c>
      <c r="AJ305" s="307">
        <v>1.0225646016960002</v>
      </c>
      <c r="AK305" s="307">
        <v>1.0226269594889998</v>
      </c>
      <c r="AL305" s="308">
        <v>1.0226917057902973</v>
      </c>
      <c r="AM305" s="308">
        <f t="shared" si="4"/>
        <v>1.0226917057902973</v>
      </c>
      <c r="AN305" s="237"/>
    </row>
    <row r="306" spans="1:40" x14ac:dyDescent="0.2">
      <c r="A306" s="352">
        <v>11</v>
      </c>
      <c r="B306" s="304">
        <v>0.96635367762128332</v>
      </c>
      <c r="C306" s="304">
        <v>0.97477845168749999</v>
      </c>
      <c r="D306" s="304">
        <v>0.98180751173708924</v>
      </c>
      <c r="E306" s="304">
        <v>0.98795937202049999</v>
      </c>
      <c r="F306" s="304">
        <v>0.99315336463223791</v>
      </c>
      <c r="G306" s="304">
        <v>0.99724673194949998</v>
      </c>
      <c r="H306" s="304">
        <v>1.0009780907668233</v>
      </c>
      <c r="I306" s="304">
        <v>1.0036698188745001</v>
      </c>
      <c r="J306" s="305">
        <v>1.0060641627543037</v>
      </c>
      <c r="K306" s="304">
        <v>1.0080627568035001</v>
      </c>
      <c r="L306" s="304">
        <v>1.0097099616120002</v>
      </c>
      <c r="M306" s="304">
        <v>1.0105633802816902</v>
      </c>
      <c r="N306" s="304">
        <v>1.012242168192</v>
      </c>
      <c r="O306" s="304">
        <v>1.0132345025055001</v>
      </c>
      <c r="P306" s="304">
        <v>1.0141021747560002</v>
      </c>
      <c r="Q306" s="304">
        <v>1.0148791979745</v>
      </c>
      <c r="R306" s="304">
        <v>1.0160406885758999</v>
      </c>
      <c r="S306" s="305">
        <v>1.0162640657595001</v>
      </c>
      <c r="T306" s="304">
        <v>1.016908459548</v>
      </c>
      <c r="U306" s="304">
        <v>1.0175365073085001</v>
      </c>
      <c r="V306" s="304">
        <v>1.0181543589119999</v>
      </c>
      <c r="W306" s="304">
        <v>1.0187793427230045</v>
      </c>
      <c r="X306" s="304">
        <v>1.0193658464520001</v>
      </c>
      <c r="Y306" s="304">
        <v>1.0199553622905</v>
      </c>
      <c r="Z306" s="304">
        <v>1.020527646336</v>
      </c>
      <c r="AA306" s="304">
        <v>1.0210760422995002</v>
      </c>
      <c r="AB306" s="305">
        <v>1.0213223787167451</v>
      </c>
      <c r="AC306" s="304">
        <v>1.0220713751445001</v>
      </c>
      <c r="AD306" s="304">
        <v>1.022503636608</v>
      </c>
      <c r="AE306" s="304">
        <v>1.0228838637135</v>
      </c>
      <c r="AF306" s="304">
        <v>1.0232076510120001</v>
      </c>
      <c r="AG306" s="304">
        <v>1.0236697965571206</v>
      </c>
      <c r="AH306" s="304">
        <v>1.0236801717119999</v>
      </c>
      <c r="AI306" s="304">
        <v>1.0238337883755002</v>
      </c>
      <c r="AJ306" s="304">
        <v>1.0239419363160001</v>
      </c>
      <c r="AK306" s="304">
        <v>1.0240175179244999</v>
      </c>
      <c r="AL306" s="305">
        <v>1.0240610328638498</v>
      </c>
      <c r="AM306" s="305">
        <f t="shared" si="4"/>
        <v>1.0240610328638498</v>
      </c>
      <c r="AN306" s="237"/>
    </row>
    <row r="307" spans="1:40" x14ac:dyDescent="0.2">
      <c r="A307" s="352">
        <v>12</v>
      </c>
      <c r="B307" s="304">
        <v>0.96674491392801265</v>
      </c>
      <c r="C307" s="304">
        <v>0.97536120975000007</v>
      </c>
      <c r="D307" s="304">
        <v>0.98278560250391245</v>
      </c>
      <c r="E307" s="304">
        <v>0.9886923071760001</v>
      </c>
      <c r="F307" s="304">
        <v>0.99374021909233179</v>
      </c>
      <c r="G307" s="304">
        <v>0.99812471541000003</v>
      </c>
      <c r="H307" s="304">
        <v>1.0019561815336464</v>
      </c>
      <c r="I307" s="304">
        <v>1.004670035652</v>
      </c>
      <c r="J307" s="305">
        <v>1.0070422535211268</v>
      </c>
      <c r="K307" s="304">
        <v>1.0091528230860001</v>
      </c>
      <c r="L307" s="304">
        <v>1.0108317063600001</v>
      </c>
      <c r="M307" s="304">
        <v>1.011737089201878</v>
      </c>
      <c r="N307" s="304">
        <v>1.013401684992</v>
      </c>
      <c r="O307" s="304">
        <v>1.014401340906</v>
      </c>
      <c r="P307" s="304">
        <v>1.015269826056</v>
      </c>
      <c r="Q307" s="304">
        <v>1.01604227766</v>
      </c>
      <c r="R307" s="304">
        <v>1.0172143974960877</v>
      </c>
      <c r="S307" s="305">
        <v>1.017406944582</v>
      </c>
      <c r="T307" s="304">
        <v>1.0180384302959999</v>
      </c>
      <c r="U307" s="304">
        <v>1.018653543576</v>
      </c>
      <c r="V307" s="304">
        <v>1.0192597785599999</v>
      </c>
      <c r="W307" s="304">
        <v>1.0199530516431925</v>
      </c>
      <c r="X307" s="304">
        <v>1.020456909672</v>
      </c>
      <c r="Y307" s="304">
        <v>1.021045794036</v>
      </c>
      <c r="Z307" s="304">
        <v>1.0216228968959999</v>
      </c>
      <c r="AA307" s="304">
        <v>1.02218207331</v>
      </c>
      <c r="AB307" s="305">
        <v>1.0223004694835682</v>
      </c>
      <c r="AC307" s="304">
        <v>1.0232173905120001</v>
      </c>
      <c r="AD307" s="304">
        <v>1.0236782453759998</v>
      </c>
      <c r="AE307" s="304">
        <v>1.0240917222659998</v>
      </c>
      <c r="AF307" s="304">
        <v>1.02445204116</v>
      </c>
      <c r="AG307" s="304">
        <v>1.0250391236306728</v>
      </c>
      <c r="AH307" s="304">
        <v>1.0249994123519999</v>
      </c>
      <c r="AI307" s="304">
        <v>1.0251859125660003</v>
      </c>
      <c r="AJ307" s="304">
        <v>1.0253192709359999</v>
      </c>
      <c r="AK307" s="304">
        <v>1.0254080763600002</v>
      </c>
      <c r="AL307" s="305">
        <v>1.0254303599374022</v>
      </c>
      <c r="AM307" s="305">
        <f t="shared" si="4"/>
        <v>1.0254303599374022</v>
      </c>
      <c r="AN307" s="237"/>
    </row>
    <row r="308" spans="1:40" x14ac:dyDescent="0.2">
      <c r="A308" s="352">
        <v>13</v>
      </c>
      <c r="B308" s="304">
        <v>0.96700150165324783</v>
      </c>
      <c r="C308" s="304">
        <v>0.97565767087499999</v>
      </c>
      <c r="D308" s="304">
        <v>0.98304428294781387</v>
      </c>
      <c r="E308" s="304">
        <v>0.98914976200900007</v>
      </c>
      <c r="F308" s="304">
        <v>0.99426125499827989</v>
      </c>
      <c r="G308" s="304">
        <v>0.99868756302033335</v>
      </c>
      <c r="H308" s="304">
        <v>1.0026087524640488</v>
      </c>
      <c r="I308" s="304">
        <v>1.005292021557</v>
      </c>
      <c r="J308" s="305">
        <v>1.0076954879964721</v>
      </c>
      <c r="K308" s="304">
        <v>1.0097987529150001</v>
      </c>
      <c r="L308" s="304">
        <v>1.011480157152</v>
      </c>
      <c r="M308" s="304">
        <v>1.0123909361802474</v>
      </c>
      <c r="N308" s="304">
        <v>1.0140439947519999</v>
      </c>
      <c r="O308" s="304">
        <v>1.015038045039</v>
      </c>
      <c r="P308" s="304">
        <v>1.0159012019733333</v>
      </c>
      <c r="Q308" s="304">
        <v>1.0166699919169999</v>
      </c>
      <c r="R308" s="304">
        <v>1.0178689590613188</v>
      </c>
      <c r="S308" s="305">
        <v>1.0180373876803333</v>
      </c>
      <c r="T308" s="304">
        <v>1.018677470304</v>
      </c>
      <c r="U308" s="304">
        <v>1.019307214665</v>
      </c>
      <c r="V308" s="304">
        <v>1.0199347965653334</v>
      </c>
      <c r="W308" s="304">
        <v>1.0204775073576926</v>
      </c>
      <c r="X308" s="304">
        <v>1.0211964265919999</v>
      </c>
      <c r="Y308" s="304">
        <v>1.0218286894023334</v>
      </c>
      <c r="Z308" s="304">
        <v>1.02245629424</v>
      </c>
      <c r="AA308" s="304">
        <v>1.023072505347</v>
      </c>
      <c r="AB308" s="305">
        <v>1.0234775471703894</v>
      </c>
      <c r="AC308" s="304">
        <v>1.0242374927370002</v>
      </c>
      <c r="AD308" s="304">
        <v>1.0247680995839998</v>
      </c>
      <c r="AE308" s="304">
        <v>1.0252520489483332</v>
      </c>
      <c r="AF308" s="304">
        <v>1.0256811325119999</v>
      </c>
      <c r="AG308" s="304">
        <v>1.0262165586109249</v>
      </c>
      <c r="AH308" s="304">
        <v>1.0263489973653332</v>
      </c>
      <c r="AI308" s="304">
        <v>1.0265801030990003</v>
      </c>
      <c r="AJ308" s="304">
        <v>1.02674206704</v>
      </c>
      <c r="AK308" s="304">
        <v>1.0268386473103335</v>
      </c>
      <c r="AL308" s="305">
        <v>1.0268687722478964</v>
      </c>
      <c r="AM308" s="305">
        <f t="shared" si="4"/>
        <v>1.0268687722478964</v>
      </c>
      <c r="AN308" s="237"/>
    </row>
    <row r="309" spans="1:40" x14ac:dyDescent="0.2">
      <c r="A309" s="352">
        <v>14</v>
      </c>
      <c r="B309" s="304">
        <v>0.96725808937848312</v>
      </c>
      <c r="C309" s="304">
        <v>0.97595413200000003</v>
      </c>
      <c r="D309" s="304">
        <v>0.98330296339171519</v>
      </c>
      <c r="E309" s="304">
        <v>0.98960721684200004</v>
      </c>
      <c r="F309" s="304">
        <v>0.99478229090422809</v>
      </c>
      <c r="G309" s="304">
        <v>0.99925041063066666</v>
      </c>
      <c r="H309" s="304">
        <v>1.003261323394451</v>
      </c>
      <c r="I309" s="304">
        <v>1.0059140074619999</v>
      </c>
      <c r="J309" s="305">
        <v>1.0083487224718173</v>
      </c>
      <c r="K309" s="304">
        <v>1.0104446827439999</v>
      </c>
      <c r="L309" s="304">
        <v>1.0121286079439999</v>
      </c>
      <c r="M309" s="304">
        <v>1.0130447831586169</v>
      </c>
      <c r="N309" s="304">
        <v>1.014686304512</v>
      </c>
      <c r="O309" s="304">
        <v>1.015674749172</v>
      </c>
      <c r="P309" s="304">
        <v>1.0165325778906666</v>
      </c>
      <c r="Q309" s="304">
        <v>1.0172977061740001</v>
      </c>
      <c r="R309" s="304">
        <v>1.0185235206265497</v>
      </c>
      <c r="S309" s="305">
        <v>1.0186678307786667</v>
      </c>
      <c r="T309" s="304">
        <v>1.0193165103119999</v>
      </c>
      <c r="U309" s="304">
        <v>1.0199608857540001</v>
      </c>
      <c r="V309" s="304">
        <v>1.0206098145706666</v>
      </c>
      <c r="W309" s="304">
        <v>1.0210019630721929</v>
      </c>
      <c r="X309" s="304">
        <v>1.0219359435119999</v>
      </c>
      <c r="Y309" s="304">
        <v>1.0226115847686665</v>
      </c>
      <c r="Z309" s="304">
        <v>1.023289691584</v>
      </c>
      <c r="AA309" s="304">
        <v>1.023962937384</v>
      </c>
      <c r="AB309" s="305">
        <v>1.0246546248572104</v>
      </c>
      <c r="AC309" s="304">
        <v>1.025257594962</v>
      </c>
      <c r="AD309" s="304">
        <v>1.0258579537920001</v>
      </c>
      <c r="AE309" s="304">
        <v>1.0264123756306665</v>
      </c>
      <c r="AF309" s="304">
        <v>1.026910223864</v>
      </c>
      <c r="AG309" s="304">
        <v>1.0273939935911767</v>
      </c>
      <c r="AH309" s="304">
        <v>1.0276985823786664</v>
      </c>
      <c r="AI309" s="304">
        <v>1.027974293632</v>
      </c>
      <c r="AJ309" s="304">
        <v>1.0281648631439999</v>
      </c>
      <c r="AK309" s="304">
        <v>1.0282692182606668</v>
      </c>
      <c r="AL309" s="305">
        <v>1.0283071845583904</v>
      </c>
      <c r="AM309" s="305">
        <f t="shared" si="4"/>
        <v>1.0283071845583904</v>
      </c>
      <c r="AN309" s="237"/>
    </row>
    <row r="310" spans="1:40" x14ac:dyDescent="0.2">
      <c r="A310" s="353">
        <v>15</v>
      </c>
      <c r="B310" s="307">
        <v>0.9675146771037183</v>
      </c>
      <c r="C310" s="307">
        <v>0.97625059312499995</v>
      </c>
      <c r="D310" s="307">
        <v>0.98356164383561662</v>
      </c>
      <c r="E310" s="307">
        <v>0.99006467167500001</v>
      </c>
      <c r="F310" s="307">
        <v>0.99530332681017619</v>
      </c>
      <c r="G310" s="307">
        <v>0.99981325824099998</v>
      </c>
      <c r="H310" s="307">
        <v>1.0039138943248533</v>
      </c>
      <c r="I310" s="307">
        <v>1.0065359933669999</v>
      </c>
      <c r="J310" s="308">
        <v>1.0090019569471627</v>
      </c>
      <c r="K310" s="307">
        <v>1.0110906125729999</v>
      </c>
      <c r="L310" s="307">
        <v>1.0127770587359999</v>
      </c>
      <c r="M310" s="307">
        <v>1.0136986301369864</v>
      </c>
      <c r="N310" s="307">
        <v>1.0153286142719999</v>
      </c>
      <c r="O310" s="307">
        <v>1.0163114533049999</v>
      </c>
      <c r="P310" s="307">
        <v>1.017163953808</v>
      </c>
      <c r="Q310" s="307">
        <v>1.017925420431</v>
      </c>
      <c r="R310" s="307">
        <v>1.0191780821917809</v>
      </c>
      <c r="S310" s="308">
        <v>1.019298273877</v>
      </c>
      <c r="T310" s="307">
        <v>1.01995555032</v>
      </c>
      <c r="U310" s="307">
        <v>1.0206145568430001</v>
      </c>
      <c r="V310" s="307">
        <v>1.021284832576</v>
      </c>
      <c r="W310" s="307">
        <v>1.021526418786693</v>
      </c>
      <c r="X310" s="307">
        <v>1.0226754604319999</v>
      </c>
      <c r="Y310" s="307">
        <v>1.0233944801349999</v>
      </c>
      <c r="Z310" s="307">
        <v>1.024123088928</v>
      </c>
      <c r="AA310" s="307">
        <v>1.024853369421</v>
      </c>
      <c r="AB310" s="308">
        <v>1.0258317025440316</v>
      </c>
      <c r="AC310" s="307">
        <v>1.026277697187</v>
      </c>
      <c r="AD310" s="307">
        <v>1.0269478080000001</v>
      </c>
      <c r="AE310" s="307">
        <v>1.0275727023129999</v>
      </c>
      <c r="AF310" s="307">
        <v>1.0281393152159999</v>
      </c>
      <c r="AG310" s="307">
        <v>1.0285714285714287</v>
      </c>
      <c r="AH310" s="307">
        <v>1.0290481673919998</v>
      </c>
      <c r="AI310" s="307">
        <v>1.0293684841649999</v>
      </c>
      <c r="AJ310" s="307">
        <v>1.029587659248</v>
      </c>
      <c r="AK310" s="307">
        <v>1.029699789211</v>
      </c>
      <c r="AL310" s="308">
        <v>1.0297455968688847</v>
      </c>
      <c r="AM310" s="308">
        <f t="shared" si="4"/>
        <v>1.0297455968688847</v>
      </c>
      <c r="AN310" s="237"/>
    </row>
    <row r="311" spans="1:40" x14ac:dyDescent="0.2">
      <c r="A311" s="352">
        <v>16</v>
      </c>
      <c r="B311" s="304">
        <v>0.96767123287671242</v>
      </c>
      <c r="C311" s="304">
        <v>0.97653210405000002</v>
      </c>
      <c r="D311" s="304">
        <v>0.98410958904109602</v>
      </c>
      <c r="E311" s="304">
        <v>0.99042083955759996</v>
      </c>
      <c r="F311" s="304">
        <v>0.99569471624266148</v>
      </c>
      <c r="G311" s="304">
        <v>1.0002777404348</v>
      </c>
      <c r="H311" s="304">
        <v>1.0043052837573387</v>
      </c>
      <c r="I311" s="304">
        <v>1.0071220344384</v>
      </c>
      <c r="J311" s="305">
        <v>1.0095499021526422</v>
      </c>
      <c r="K311" s="304">
        <v>1.0117966885636001</v>
      </c>
      <c r="L311" s="304">
        <v>1.0135393202687999</v>
      </c>
      <c r="M311" s="304">
        <v>1.0146379647749511</v>
      </c>
      <c r="N311" s="304">
        <v>1.0161913944064001</v>
      </c>
      <c r="O311" s="304">
        <v>1.0172175756876001</v>
      </c>
      <c r="P311" s="304">
        <v>1.0181084710016</v>
      </c>
      <c r="Q311" s="304">
        <v>1.0189033403728001</v>
      </c>
      <c r="R311" s="304">
        <v>1.0201956947162427</v>
      </c>
      <c r="S311" s="305">
        <v>1.0203285066643999</v>
      </c>
      <c r="T311" s="304">
        <v>1.0210051941375999</v>
      </c>
      <c r="U311" s="304">
        <v>1.0216795735896</v>
      </c>
      <c r="V311" s="304">
        <v>1.0223615859968</v>
      </c>
      <c r="W311" s="304">
        <v>1.0226223091976518</v>
      </c>
      <c r="X311" s="304">
        <v>1.0237664490623999</v>
      </c>
      <c r="Y311" s="304">
        <v>1.0244887623776</v>
      </c>
      <c r="Z311" s="304">
        <v>1.0252185707776</v>
      </c>
      <c r="AA311" s="304">
        <v>1.0259482063908001</v>
      </c>
      <c r="AB311" s="305">
        <v>1.0268493150684934</v>
      </c>
      <c r="AC311" s="304">
        <v>1.0273661734504</v>
      </c>
      <c r="AD311" s="304">
        <v>1.0280304600576</v>
      </c>
      <c r="AE311" s="304">
        <v>1.0286474210156</v>
      </c>
      <c r="AF311" s="304">
        <v>1.0292034898047999</v>
      </c>
      <c r="AG311" s="304">
        <v>1.0296673189823875</v>
      </c>
      <c r="AH311" s="304">
        <v>1.0300802806783997</v>
      </c>
      <c r="AI311" s="304">
        <v>1.0303768708276</v>
      </c>
      <c r="AJ311" s="304">
        <v>1.0305652417536</v>
      </c>
      <c r="AK311" s="304">
        <v>1.0306376384888001</v>
      </c>
      <c r="AL311" s="305">
        <v>1.0306066536203524</v>
      </c>
      <c r="AM311" s="305">
        <f t="shared" si="4"/>
        <v>1.0306066536203524</v>
      </c>
      <c r="AN311" s="237"/>
    </row>
    <row r="312" spans="1:40" x14ac:dyDescent="0.2">
      <c r="A312" s="352">
        <v>17</v>
      </c>
      <c r="B312" s="304">
        <v>0.96782778864970653</v>
      </c>
      <c r="C312" s="304">
        <v>0.97681361497499997</v>
      </c>
      <c r="D312" s="304">
        <v>0.98465753424657543</v>
      </c>
      <c r="E312" s="304">
        <v>0.99077700744020003</v>
      </c>
      <c r="F312" s="304">
        <v>0.99608610567514688</v>
      </c>
      <c r="G312" s="304">
        <v>1.0007422226286</v>
      </c>
      <c r="H312" s="304">
        <v>1.0046966731898239</v>
      </c>
      <c r="I312" s="304">
        <v>1.0077080755098</v>
      </c>
      <c r="J312" s="305">
        <v>1.0100978473581215</v>
      </c>
      <c r="K312" s="304">
        <v>1.0125027645542</v>
      </c>
      <c r="L312" s="304">
        <v>1.0143015818015999</v>
      </c>
      <c r="M312" s="304">
        <v>1.015577299412916</v>
      </c>
      <c r="N312" s="304">
        <v>1.0170541745407999</v>
      </c>
      <c r="O312" s="304">
        <v>1.0181236980702</v>
      </c>
      <c r="P312" s="304">
        <v>1.0190529881952</v>
      </c>
      <c r="Q312" s="304">
        <v>1.0198812603146001</v>
      </c>
      <c r="R312" s="304">
        <v>1.0212133072407046</v>
      </c>
      <c r="S312" s="305">
        <v>1.0213587394518</v>
      </c>
      <c r="T312" s="304">
        <v>1.0220548379551999</v>
      </c>
      <c r="U312" s="304">
        <v>1.0227445903362</v>
      </c>
      <c r="V312" s="304">
        <v>1.0234383394176001</v>
      </c>
      <c r="W312" s="304">
        <v>1.0237181996086107</v>
      </c>
      <c r="X312" s="304">
        <v>1.0248574376927999</v>
      </c>
      <c r="Y312" s="304">
        <v>1.0255830446201999</v>
      </c>
      <c r="Z312" s="304">
        <v>1.0263140526271999</v>
      </c>
      <c r="AA312" s="304">
        <v>1.0270430433606001</v>
      </c>
      <c r="AB312" s="305">
        <v>1.0278669275929553</v>
      </c>
      <c r="AC312" s="304">
        <v>1.0284546497138001</v>
      </c>
      <c r="AD312" s="304">
        <v>1.0291131121152</v>
      </c>
      <c r="AE312" s="304">
        <v>1.0297221397181999</v>
      </c>
      <c r="AF312" s="304">
        <v>1.0302676643936</v>
      </c>
      <c r="AG312" s="304">
        <v>1.0307632093933465</v>
      </c>
      <c r="AH312" s="304">
        <v>1.0311123939647997</v>
      </c>
      <c r="AI312" s="304">
        <v>1.0313852574902</v>
      </c>
      <c r="AJ312" s="304">
        <v>1.0315428242592</v>
      </c>
      <c r="AK312" s="304">
        <v>1.0315754877665999</v>
      </c>
      <c r="AL312" s="305">
        <v>1.0314677103718202</v>
      </c>
      <c r="AM312" s="305">
        <f t="shared" si="4"/>
        <v>1.0314677103718202</v>
      </c>
      <c r="AN312" s="237"/>
    </row>
    <row r="313" spans="1:40" x14ac:dyDescent="0.2">
      <c r="A313" s="352">
        <v>18</v>
      </c>
      <c r="B313" s="304">
        <v>0.96798434442270076</v>
      </c>
      <c r="C313" s="304">
        <v>0.97709512590000003</v>
      </c>
      <c r="D313" s="304">
        <v>0.98520547945205494</v>
      </c>
      <c r="E313" s="304">
        <v>0.99113317532279999</v>
      </c>
      <c r="F313" s="304">
        <v>0.99647749510763217</v>
      </c>
      <c r="G313" s="304">
        <v>1.0012067048224</v>
      </c>
      <c r="H313" s="304">
        <v>1.0050880626223093</v>
      </c>
      <c r="I313" s="304">
        <v>1.0082941165812001</v>
      </c>
      <c r="J313" s="305">
        <v>1.010645792563601</v>
      </c>
      <c r="K313" s="304">
        <v>1.0132088405448001</v>
      </c>
      <c r="L313" s="304">
        <v>1.0150638433344001</v>
      </c>
      <c r="M313" s="304">
        <v>1.0165166340508807</v>
      </c>
      <c r="N313" s="304">
        <v>1.0179169546752</v>
      </c>
      <c r="O313" s="304">
        <v>1.0190298204528001</v>
      </c>
      <c r="P313" s="304">
        <v>1.0199975053888</v>
      </c>
      <c r="Q313" s="304">
        <v>1.0208591802564</v>
      </c>
      <c r="R313" s="304">
        <v>1.0222309197651664</v>
      </c>
      <c r="S313" s="305">
        <v>1.0223889722391999</v>
      </c>
      <c r="T313" s="304">
        <v>1.0231044817728001</v>
      </c>
      <c r="U313" s="304">
        <v>1.0238096070828</v>
      </c>
      <c r="V313" s="304">
        <v>1.0245150928383999</v>
      </c>
      <c r="W313" s="304">
        <v>1.0248140900195697</v>
      </c>
      <c r="X313" s="304">
        <v>1.0259484263231999</v>
      </c>
      <c r="Y313" s="304">
        <v>1.0266773268628</v>
      </c>
      <c r="Z313" s="304">
        <v>1.0274095344767999</v>
      </c>
      <c r="AA313" s="304">
        <v>1.0281378803304</v>
      </c>
      <c r="AB313" s="305">
        <v>1.0288845401174169</v>
      </c>
      <c r="AC313" s="304">
        <v>1.0295431259772001</v>
      </c>
      <c r="AD313" s="304">
        <v>1.0301957641728001</v>
      </c>
      <c r="AE313" s="304">
        <v>1.0307968584208</v>
      </c>
      <c r="AF313" s="304">
        <v>1.0313318389823998</v>
      </c>
      <c r="AG313" s="304">
        <v>1.0318590998043053</v>
      </c>
      <c r="AH313" s="304">
        <v>1.0321445072511999</v>
      </c>
      <c r="AI313" s="304">
        <v>1.0323936441527999</v>
      </c>
      <c r="AJ313" s="304">
        <v>1.0325204067647999</v>
      </c>
      <c r="AK313" s="304">
        <v>1.0325133370444</v>
      </c>
      <c r="AL313" s="305">
        <v>1.0323287671232877</v>
      </c>
      <c r="AM313" s="305">
        <f t="shared" si="4"/>
        <v>1.0323287671232877</v>
      </c>
      <c r="AN313" s="237"/>
    </row>
    <row r="314" spans="1:40" x14ac:dyDescent="0.2">
      <c r="A314" s="352">
        <v>19</v>
      </c>
      <c r="B314" s="304">
        <v>0.96814090019569488</v>
      </c>
      <c r="C314" s="304">
        <v>0.97737663682499998</v>
      </c>
      <c r="D314" s="304">
        <v>0.98575342465753435</v>
      </c>
      <c r="E314" s="304">
        <v>0.99148934320540005</v>
      </c>
      <c r="F314" s="304">
        <v>0.99686888454011757</v>
      </c>
      <c r="G314" s="304">
        <v>1.0016711870162001</v>
      </c>
      <c r="H314" s="304">
        <v>1.0054794520547945</v>
      </c>
      <c r="I314" s="304">
        <v>1.0088801576526001</v>
      </c>
      <c r="J314" s="305">
        <v>1.0111937377690803</v>
      </c>
      <c r="K314" s="304">
        <v>1.0139149165354</v>
      </c>
      <c r="L314" s="304">
        <v>1.0158261048672002</v>
      </c>
      <c r="M314" s="304">
        <v>1.0174559686888456</v>
      </c>
      <c r="N314" s="304">
        <v>1.0187797348095999</v>
      </c>
      <c r="O314" s="304">
        <v>1.0199359428354</v>
      </c>
      <c r="P314" s="304">
        <v>1.0209420225824</v>
      </c>
      <c r="Q314" s="304">
        <v>1.0218371001982001</v>
      </c>
      <c r="R314" s="304">
        <v>1.0232485322896283</v>
      </c>
      <c r="S314" s="305">
        <v>1.0234192050266</v>
      </c>
      <c r="T314" s="304">
        <v>1.0241541255904001</v>
      </c>
      <c r="U314" s="304">
        <v>1.0248746238294</v>
      </c>
      <c r="V314" s="304">
        <v>1.0255918462592</v>
      </c>
      <c r="W314" s="304">
        <v>1.0259099804305285</v>
      </c>
      <c r="X314" s="304">
        <v>1.0270394149536</v>
      </c>
      <c r="Y314" s="304">
        <v>1.0277716091053999</v>
      </c>
      <c r="Z314" s="304">
        <v>1.0285050163263998</v>
      </c>
      <c r="AA314" s="304">
        <v>1.0292327173002001</v>
      </c>
      <c r="AB314" s="305">
        <v>1.0299021526418788</v>
      </c>
      <c r="AC314" s="304">
        <v>1.0306316022406001</v>
      </c>
      <c r="AD314" s="304">
        <v>1.0312784162304001</v>
      </c>
      <c r="AE314" s="304">
        <v>1.0318715771233999</v>
      </c>
      <c r="AF314" s="304">
        <v>1.0323960135711998</v>
      </c>
      <c r="AG314" s="304">
        <v>1.0329549902152644</v>
      </c>
      <c r="AH314" s="304">
        <v>1.0331766205375998</v>
      </c>
      <c r="AI314" s="304">
        <v>1.0334020308153999</v>
      </c>
      <c r="AJ314" s="304">
        <v>1.0334979892703999</v>
      </c>
      <c r="AK314" s="304">
        <v>1.0334511863221998</v>
      </c>
      <c r="AL314" s="305">
        <v>1.0331898238747554</v>
      </c>
      <c r="AM314" s="305">
        <f t="shared" si="4"/>
        <v>1.0331898238747554</v>
      </c>
      <c r="AN314" s="237"/>
    </row>
    <row r="315" spans="1:40" x14ac:dyDescent="0.2">
      <c r="A315" s="353">
        <v>20</v>
      </c>
      <c r="B315" s="307">
        <v>0.96829745596868899</v>
      </c>
      <c r="C315" s="307">
        <v>0.97765814775000004</v>
      </c>
      <c r="D315" s="307">
        <v>0.98630136986301375</v>
      </c>
      <c r="E315" s="307">
        <v>0.99184551108800001</v>
      </c>
      <c r="F315" s="307">
        <v>0.99726027397260286</v>
      </c>
      <c r="G315" s="307">
        <v>1.0021356692100001</v>
      </c>
      <c r="H315" s="307">
        <v>1.0058708414872799</v>
      </c>
      <c r="I315" s="307">
        <v>1.0094661987240001</v>
      </c>
      <c r="J315" s="308">
        <v>1.0117416829745598</v>
      </c>
      <c r="K315" s="307">
        <v>1.0146209925260001</v>
      </c>
      <c r="L315" s="307">
        <v>1.0165883664000002</v>
      </c>
      <c r="M315" s="307">
        <v>1.0183953033268103</v>
      </c>
      <c r="N315" s="307">
        <v>1.019642514944</v>
      </c>
      <c r="O315" s="307">
        <v>1.0208420652180001</v>
      </c>
      <c r="P315" s="307">
        <v>1.021886539776</v>
      </c>
      <c r="Q315" s="307">
        <v>1.0228150201400001</v>
      </c>
      <c r="R315" s="307">
        <v>1.0242661448140902</v>
      </c>
      <c r="S315" s="308">
        <v>1.0244494378139999</v>
      </c>
      <c r="T315" s="307">
        <v>1.0252037694080001</v>
      </c>
      <c r="U315" s="307">
        <v>1.025939640576</v>
      </c>
      <c r="V315" s="307">
        <v>1.02666859968</v>
      </c>
      <c r="W315" s="307">
        <v>1.0270058708414873</v>
      </c>
      <c r="X315" s="307">
        <v>1.028130403584</v>
      </c>
      <c r="Y315" s="307">
        <v>1.028865891348</v>
      </c>
      <c r="Z315" s="307">
        <v>1.0296004981759999</v>
      </c>
      <c r="AA315" s="307">
        <v>1.0303275542700001</v>
      </c>
      <c r="AB315" s="308">
        <v>1.0309197651663407</v>
      </c>
      <c r="AC315" s="307">
        <v>1.0317200785040002</v>
      </c>
      <c r="AD315" s="307">
        <v>1.032361068288</v>
      </c>
      <c r="AE315" s="307">
        <v>1.0329462958260001</v>
      </c>
      <c r="AF315" s="307">
        <v>1.0334601881599998</v>
      </c>
      <c r="AG315" s="307">
        <v>1.0340508806262232</v>
      </c>
      <c r="AH315" s="307">
        <v>1.0342087338239998</v>
      </c>
      <c r="AI315" s="307">
        <v>1.034410417478</v>
      </c>
      <c r="AJ315" s="307">
        <v>1.0344755717759999</v>
      </c>
      <c r="AK315" s="307">
        <v>1.0343890355999998</v>
      </c>
      <c r="AL315" s="308">
        <v>1.0340508806262232</v>
      </c>
      <c r="AM315" s="308">
        <f t="shared" si="4"/>
        <v>1.0340508806262232</v>
      </c>
      <c r="AN315" s="237"/>
    </row>
    <row r="316" spans="1:40" x14ac:dyDescent="0.2">
      <c r="A316" s="352">
        <v>21</v>
      </c>
      <c r="B316" s="304">
        <v>0.96876712328767134</v>
      </c>
      <c r="C316" s="304">
        <v>0.97804944457499998</v>
      </c>
      <c r="D316" s="304">
        <v>0.98653620352250493</v>
      </c>
      <c r="E316" s="304">
        <v>0.99219895098260003</v>
      </c>
      <c r="F316" s="304">
        <v>0.99772994129158521</v>
      </c>
      <c r="G316" s="304">
        <v>1.0024741271982001</v>
      </c>
      <c r="H316" s="304">
        <v>1.0061056751467712</v>
      </c>
      <c r="I316" s="304">
        <v>1.0098057213114</v>
      </c>
      <c r="J316" s="305">
        <v>1.0122113502935421</v>
      </c>
      <c r="K316" s="304">
        <v>1.014971945783</v>
      </c>
      <c r="L316" s="304">
        <v>1.0169474440512001</v>
      </c>
      <c r="M316" s="304">
        <v>1.0187084148727985</v>
      </c>
      <c r="N316" s="304">
        <v>1.0200202628863999</v>
      </c>
      <c r="O316" s="304">
        <v>1.0212295819806001</v>
      </c>
      <c r="P316" s="304">
        <v>1.0222836922559999</v>
      </c>
      <c r="Q316" s="304">
        <v>1.0232214272042002</v>
      </c>
      <c r="R316" s="304">
        <v>1.0246575342465756</v>
      </c>
      <c r="S316" s="305">
        <v>1.0248724779413998</v>
      </c>
      <c r="T316" s="304">
        <v>1.0256339448896001</v>
      </c>
      <c r="U316" s="304">
        <v>1.026376079709</v>
      </c>
      <c r="V316" s="304">
        <v>1.0271104227071999</v>
      </c>
      <c r="W316" s="304">
        <v>1.0274755381604697</v>
      </c>
      <c r="X316" s="304">
        <v>1.0285805283264</v>
      </c>
      <c r="Y316" s="304">
        <v>1.0293191167386</v>
      </c>
      <c r="Z316" s="304">
        <v>1.0300563057919998</v>
      </c>
      <c r="AA316" s="304">
        <v>1.0307856036102001</v>
      </c>
      <c r="AB316" s="305">
        <v>1.031389432485323</v>
      </c>
      <c r="AC316" s="304">
        <v>1.0321824528914001</v>
      </c>
      <c r="AD316" s="304">
        <v>1.0328260267775999</v>
      </c>
      <c r="AE316" s="304">
        <v>1.0334144951549999</v>
      </c>
      <c r="AF316" s="304">
        <v>1.0339325949631999</v>
      </c>
      <c r="AG316" s="304">
        <v>1.0345205479452055</v>
      </c>
      <c r="AH316" s="304">
        <v>1.0346937924863997</v>
      </c>
      <c r="AI316" s="304">
        <v>1.0349046312565999</v>
      </c>
      <c r="AJ316" s="304">
        <v>1.0349813244479997</v>
      </c>
      <c r="AK316" s="304">
        <v>1.0349090988161997</v>
      </c>
      <c r="AL316" s="305">
        <v>1.0345988258317027</v>
      </c>
      <c r="AM316" s="305">
        <f t="shared" si="4"/>
        <v>1.0345988258317027</v>
      </c>
      <c r="AN316" s="237"/>
    </row>
    <row r="317" spans="1:40" x14ac:dyDescent="0.2">
      <c r="A317" s="352">
        <v>22</v>
      </c>
      <c r="B317" s="304">
        <v>0.9692367906066538</v>
      </c>
      <c r="C317" s="304">
        <v>0.97844074140000004</v>
      </c>
      <c r="D317" s="304">
        <v>0.9867710371819961</v>
      </c>
      <c r="E317" s="304">
        <v>0.99255239087720004</v>
      </c>
      <c r="F317" s="304">
        <v>0.99819960861056756</v>
      </c>
      <c r="G317" s="304">
        <v>1.0028125851864</v>
      </c>
      <c r="H317" s="304">
        <v>1.0063405088062622</v>
      </c>
      <c r="I317" s="304">
        <v>1.0101452438988001</v>
      </c>
      <c r="J317" s="305">
        <v>1.0126810176125245</v>
      </c>
      <c r="K317" s="304">
        <v>1.0153228990400001</v>
      </c>
      <c r="L317" s="304">
        <v>1.0173065217024</v>
      </c>
      <c r="M317" s="304">
        <v>1.0190215264187867</v>
      </c>
      <c r="N317" s="304">
        <v>1.0203980108288</v>
      </c>
      <c r="O317" s="304">
        <v>1.0216170987432001</v>
      </c>
      <c r="P317" s="304">
        <v>1.0226808447359998</v>
      </c>
      <c r="Q317" s="304">
        <v>1.0236278342684</v>
      </c>
      <c r="R317" s="304">
        <v>1.0250489236790608</v>
      </c>
      <c r="S317" s="305">
        <v>1.0252955180687999</v>
      </c>
      <c r="T317" s="304">
        <v>1.0260641203712</v>
      </c>
      <c r="U317" s="304">
        <v>1.0268125188420001</v>
      </c>
      <c r="V317" s="304">
        <v>1.0275522457344</v>
      </c>
      <c r="W317" s="304">
        <v>1.027945205479452</v>
      </c>
      <c r="X317" s="304">
        <v>1.0290306530688</v>
      </c>
      <c r="Y317" s="304">
        <v>1.0297723421292</v>
      </c>
      <c r="Z317" s="304">
        <v>1.0305121134079998</v>
      </c>
      <c r="AA317" s="304">
        <v>1.0312436529503999</v>
      </c>
      <c r="AB317" s="305">
        <v>1.0318590998043053</v>
      </c>
      <c r="AC317" s="304">
        <v>1.0326448272788</v>
      </c>
      <c r="AD317" s="304">
        <v>1.0332909852671999</v>
      </c>
      <c r="AE317" s="304">
        <v>1.0338826944839998</v>
      </c>
      <c r="AF317" s="304">
        <v>1.0344050017663999</v>
      </c>
      <c r="AG317" s="304">
        <v>1.0349902152641879</v>
      </c>
      <c r="AH317" s="304">
        <v>1.0351788511487996</v>
      </c>
      <c r="AI317" s="304">
        <v>1.0353988450351999</v>
      </c>
      <c r="AJ317" s="304">
        <v>1.0354870771199998</v>
      </c>
      <c r="AK317" s="304">
        <v>1.0354291620323997</v>
      </c>
      <c r="AL317" s="305">
        <v>1.0351467710371822</v>
      </c>
      <c r="AM317" s="305">
        <f t="shared" si="4"/>
        <v>1.0351467710371822</v>
      </c>
      <c r="AN317" s="237"/>
    </row>
    <row r="318" spans="1:40" x14ac:dyDescent="0.2">
      <c r="A318" s="352">
        <v>23</v>
      </c>
      <c r="B318" s="304">
        <v>0.96970645792563614</v>
      </c>
      <c r="C318" s="304">
        <v>0.97883203822499998</v>
      </c>
      <c r="D318" s="304">
        <v>0.98700587084148728</v>
      </c>
      <c r="E318" s="304">
        <v>0.99290583077179995</v>
      </c>
      <c r="F318" s="304">
        <v>0.99866927592955002</v>
      </c>
      <c r="G318" s="304">
        <v>1.0031510431746</v>
      </c>
      <c r="H318" s="304">
        <v>1.0065753424657535</v>
      </c>
      <c r="I318" s="304">
        <v>1.0104847664862</v>
      </c>
      <c r="J318" s="305">
        <v>1.0131506849315071</v>
      </c>
      <c r="K318" s="304">
        <v>1.0156738522969999</v>
      </c>
      <c r="L318" s="304">
        <v>1.0176655993536001</v>
      </c>
      <c r="M318" s="304">
        <v>1.019334637964775</v>
      </c>
      <c r="N318" s="304">
        <v>1.0207757587711999</v>
      </c>
      <c r="O318" s="304">
        <v>1.0220046155058</v>
      </c>
      <c r="P318" s="304">
        <v>1.023077997216</v>
      </c>
      <c r="Q318" s="304">
        <v>1.0240342413326</v>
      </c>
      <c r="R318" s="304">
        <v>1.0254403131115462</v>
      </c>
      <c r="S318" s="305">
        <v>1.0257185581961998</v>
      </c>
      <c r="T318" s="304">
        <v>1.0264942958528001</v>
      </c>
      <c r="U318" s="304">
        <v>1.0272489579749999</v>
      </c>
      <c r="V318" s="304">
        <v>1.0279940687615998</v>
      </c>
      <c r="W318" s="304">
        <v>1.0284148727984346</v>
      </c>
      <c r="X318" s="304">
        <v>1.0294807778111998</v>
      </c>
      <c r="Y318" s="304">
        <v>1.0302255675197998</v>
      </c>
      <c r="Z318" s="304">
        <v>1.0309679210239999</v>
      </c>
      <c r="AA318" s="304">
        <v>1.0317017022905999</v>
      </c>
      <c r="AB318" s="305">
        <v>1.0323287671232879</v>
      </c>
      <c r="AC318" s="304">
        <v>1.0331072016662</v>
      </c>
      <c r="AD318" s="304">
        <v>1.0337559437568</v>
      </c>
      <c r="AE318" s="304">
        <v>1.0343508938129999</v>
      </c>
      <c r="AF318" s="304">
        <v>1.0348774085695998</v>
      </c>
      <c r="AG318" s="304">
        <v>1.0354598825831705</v>
      </c>
      <c r="AH318" s="304">
        <v>1.0356639098111997</v>
      </c>
      <c r="AI318" s="304">
        <v>1.0358930588137998</v>
      </c>
      <c r="AJ318" s="304">
        <v>1.0359928297919996</v>
      </c>
      <c r="AK318" s="304">
        <v>1.0359492252485998</v>
      </c>
      <c r="AL318" s="305">
        <v>1.0356947162426615</v>
      </c>
      <c r="AM318" s="305">
        <f t="shared" si="4"/>
        <v>1.0356947162426615</v>
      </c>
      <c r="AN318" s="237"/>
    </row>
    <row r="319" spans="1:40" x14ac:dyDescent="0.2">
      <c r="A319" s="352">
        <v>24</v>
      </c>
      <c r="B319" s="304">
        <v>0.9701761252446186</v>
      </c>
      <c r="C319" s="304">
        <v>0.97922333505000003</v>
      </c>
      <c r="D319" s="304">
        <v>0.98724070450097845</v>
      </c>
      <c r="E319" s="304">
        <v>0.99325927066639996</v>
      </c>
      <c r="F319" s="304">
        <v>0.99913894324853236</v>
      </c>
      <c r="G319" s="304">
        <v>1.0034895011628</v>
      </c>
      <c r="H319" s="304">
        <v>1.0068101761252446</v>
      </c>
      <c r="I319" s="304">
        <v>1.0108242890736001</v>
      </c>
      <c r="J319" s="305">
        <v>1.0136203522504894</v>
      </c>
      <c r="K319" s="304">
        <v>1.016024805554</v>
      </c>
      <c r="L319" s="304">
        <v>1.0180246770048</v>
      </c>
      <c r="M319" s="304">
        <v>1.0196477495107632</v>
      </c>
      <c r="N319" s="304">
        <v>1.0211535067135999</v>
      </c>
      <c r="O319" s="304">
        <v>1.0223921322684</v>
      </c>
      <c r="P319" s="304">
        <v>1.023475149696</v>
      </c>
      <c r="Q319" s="304">
        <v>1.0244406483967998</v>
      </c>
      <c r="R319" s="304">
        <v>1.0258317025440313</v>
      </c>
      <c r="S319" s="305">
        <v>1.0261415983236</v>
      </c>
      <c r="T319" s="304">
        <v>1.0269244713343999</v>
      </c>
      <c r="U319" s="304">
        <v>1.027685397108</v>
      </c>
      <c r="V319" s="304">
        <v>1.0284358917887999</v>
      </c>
      <c r="W319" s="304">
        <v>1.0288845401174169</v>
      </c>
      <c r="X319" s="304">
        <v>1.0299309025535999</v>
      </c>
      <c r="Y319" s="304">
        <v>1.0306787929103998</v>
      </c>
      <c r="Z319" s="304">
        <v>1.0314237286399999</v>
      </c>
      <c r="AA319" s="304">
        <v>1.0321597516307996</v>
      </c>
      <c r="AB319" s="305">
        <v>1.0327984344422703</v>
      </c>
      <c r="AC319" s="304">
        <v>1.0335695760535999</v>
      </c>
      <c r="AD319" s="304">
        <v>1.0342209022464</v>
      </c>
      <c r="AE319" s="304">
        <v>1.0348190931419998</v>
      </c>
      <c r="AF319" s="304">
        <v>1.0353498153727998</v>
      </c>
      <c r="AG319" s="304">
        <v>1.0359295499021528</v>
      </c>
      <c r="AH319" s="304">
        <v>1.0361489684735996</v>
      </c>
      <c r="AI319" s="304">
        <v>1.0363872725923997</v>
      </c>
      <c r="AJ319" s="304">
        <v>1.0364985824639996</v>
      </c>
      <c r="AK319" s="304">
        <v>1.0364692884647997</v>
      </c>
      <c r="AL319" s="305">
        <v>1.036242661448141</v>
      </c>
      <c r="AM319" s="305">
        <f t="shared" si="4"/>
        <v>1.036242661448141</v>
      </c>
      <c r="AN319" s="237"/>
    </row>
    <row r="320" spans="1:40" x14ac:dyDescent="0.2">
      <c r="A320" s="353">
        <v>25</v>
      </c>
      <c r="B320" s="307">
        <v>0.97064579256360095</v>
      </c>
      <c r="C320" s="307">
        <v>0.97961463187499997</v>
      </c>
      <c r="D320" s="307">
        <v>0.98747553816046962</v>
      </c>
      <c r="E320" s="307">
        <v>0.99361271056099998</v>
      </c>
      <c r="F320" s="307">
        <v>0.99960861056751471</v>
      </c>
      <c r="G320" s="307">
        <v>1.003827959151</v>
      </c>
      <c r="H320" s="307">
        <v>1.0070450097847359</v>
      </c>
      <c r="I320" s="307">
        <v>1.011163811661</v>
      </c>
      <c r="J320" s="308">
        <v>1.0140900195694718</v>
      </c>
      <c r="K320" s="307">
        <v>1.0163757588109998</v>
      </c>
      <c r="L320" s="307">
        <v>1.018383754656</v>
      </c>
      <c r="M320" s="307">
        <v>1.0199608610567514</v>
      </c>
      <c r="N320" s="307">
        <v>1.0215312546559998</v>
      </c>
      <c r="O320" s="307">
        <v>1.0227796490309999</v>
      </c>
      <c r="P320" s="307">
        <v>1.0238723021759999</v>
      </c>
      <c r="Q320" s="307">
        <v>1.0248470554609999</v>
      </c>
      <c r="R320" s="307">
        <v>1.0262230919765167</v>
      </c>
      <c r="S320" s="308">
        <v>1.0265646384509999</v>
      </c>
      <c r="T320" s="307">
        <v>1.027354646816</v>
      </c>
      <c r="U320" s="307">
        <v>1.0281218362410001</v>
      </c>
      <c r="V320" s="307">
        <v>1.0288777148159998</v>
      </c>
      <c r="W320" s="307">
        <v>1.0293542074363993</v>
      </c>
      <c r="X320" s="307">
        <v>1.0303810272959999</v>
      </c>
      <c r="Y320" s="307">
        <v>1.0311320183009998</v>
      </c>
      <c r="Z320" s="307">
        <v>1.0318795362559998</v>
      </c>
      <c r="AA320" s="307">
        <v>1.0326178009709996</v>
      </c>
      <c r="AB320" s="308">
        <v>1.0332681017612526</v>
      </c>
      <c r="AC320" s="307">
        <v>1.0340319504409998</v>
      </c>
      <c r="AD320" s="307">
        <v>1.0346858607359999</v>
      </c>
      <c r="AE320" s="307">
        <v>1.0352872924709997</v>
      </c>
      <c r="AF320" s="307">
        <v>1.0358222221759998</v>
      </c>
      <c r="AG320" s="307">
        <v>1.0363992172211351</v>
      </c>
      <c r="AH320" s="307">
        <v>1.0366340271359995</v>
      </c>
      <c r="AI320" s="307">
        <v>1.0368814863709996</v>
      </c>
      <c r="AJ320" s="307">
        <v>1.0370043351359994</v>
      </c>
      <c r="AK320" s="307">
        <v>1.0369893516809996</v>
      </c>
      <c r="AL320" s="308">
        <v>1.0367906066536206</v>
      </c>
      <c r="AM320" s="308">
        <f t="shared" si="4"/>
        <v>1.0367906066536206</v>
      </c>
      <c r="AN320" s="237"/>
    </row>
    <row r="321" spans="1:40" x14ac:dyDescent="0.2">
      <c r="A321" s="352">
        <v>26</v>
      </c>
      <c r="B321" s="304">
        <v>0.97056751467710389</v>
      </c>
      <c r="C321" s="304">
        <v>0.97962181937500004</v>
      </c>
      <c r="D321" s="304">
        <v>0.98755381604696668</v>
      </c>
      <c r="E321" s="304">
        <v>0.99370555674979999</v>
      </c>
      <c r="F321" s="304">
        <v>0.99968688845401177</v>
      </c>
      <c r="G321" s="304">
        <v>1.0039377187614</v>
      </c>
      <c r="H321" s="304">
        <v>1.007123287671233</v>
      </c>
      <c r="I321" s="304">
        <v>1.0112586237009999</v>
      </c>
      <c r="J321" s="305">
        <v>1.0142465753424659</v>
      </c>
      <c r="K321" s="304">
        <v>1.0164489081446</v>
      </c>
      <c r="L321" s="304">
        <v>1.0184486288223999</v>
      </c>
      <c r="M321" s="304">
        <v>1.0199608610567514</v>
      </c>
      <c r="N321" s="304">
        <v>1.0215901241599998</v>
      </c>
      <c r="O321" s="304">
        <v>1.0228416053037999</v>
      </c>
      <c r="P321" s="304">
        <v>1.0239413210975998</v>
      </c>
      <c r="Q321" s="304">
        <v>1.0249266606434</v>
      </c>
      <c r="R321" s="304">
        <v>1.0263796477495108</v>
      </c>
      <c r="S321" s="305">
        <v>1.0266729980789999</v>
      </c>
      <c r="T321" s="304">
        <v>1.0274792525408001</v>
      </c>
      <c r="U321" s="304">
        <v>1.0282624756906</v>
      </c>
      <c r="V321" s="304">
        <v>1.0290330303744</v>
      </c>
      <c r="W321" s="304">
        <v>1.0294324853228964</v>
      </c>
      <c r="X321" s="304">
        <v>1.0305572138079999</v>
      </c>
      <c r="Y321" s="304">
        <v>1.0313124440177999</v>
      </c>
      <c r="Z321" s="304">
        <v>1.0320590404735999</v>
      </c>
      <c r="AA321" s="304">
        <v>1.0327907371653997</v>
      </c>
      <c r="AB321" s="305">
        <v>1.0335029354207439</v>
      </c>
      <c r="AC321" s="304">
        <v>1.034174392697</v>
      </c>
      <c r="AD321" s="304">
        <v>1.0348050926848</v>
      </c>
      <c r="AE321" s="304">
        <v>1.0353792069965999</v>
      </c>
      <c r="AF321" s="304">
        <v>1.0358842381664</v>
      </c>
      <c r="AG321" s="304">
        <v>1.0363992172211351</v>
      </c>
      <c r="AH321" s="304">
        <v>1.0366374840959995</v>
      </c>
      <c r="AI321" s="304">
        <v>1.0368623744917997</v>
      </c>
      <c r="AJ321" s="304">
        <v>1.0369723648095996</v>
      </c>
      <c r="AK321" s="304">
        <v>1.0369591235273998</v>
      </c>
      <c r="AL321" s="305">
        <v>1.0367906066536206</v>
      </c>
      <c r="AM321" s="305">
        <f t="shared" si="4"/>
        <v>1.0367906066536206</v>
      </c>
      <c r="AN321" s="237"/>
    </row>
    <row r="322" spans="1:40" x14ac:dyDescent="0.2">
      <c r="A322" s="352">
        <v>27</v>
      </c>
      <c r="B322" s="304">
        <v>0.97048923679060684</v>
      </c>
      <c r="C322" s="304">
        <v>0.97962900687499999</v>
      </c>
      <c r="D322" s="304">
        <v>0.98763209393346374</v>
      </c>
      <c r="E322" s="304">
        <v>0.9937984029386</v>
      </c>
      <c r="F322" s="304">
        <v>0.99976516634050883</v>
      </c>
      <c r="G322" s="304">
        <v>1.0040474783718001</v>
      </c>
      <c r="H322" s="304">
        <v>1.00720156555773</v>
      </c>
      <c r="I322" s="304">
        <v>1.0113534357409999</v>
      </c>
      <c r="J322" s="305">
        <v>1.01440313111546</v>
      </c>
      <c r="K322" s="304">
        <v>1.0165220574781999</v>
      </c>
      <c r="L322" s="304">
        <v>1.0185135029887999</v>
      </c>
      <c r="M322" s="304">
        <v>1.0199608610567514</v>
      </c>
      <c r="N322" s="304">
        <v>1.0216489936639999</v>
      </c>
      <c r="O322" s="304">
        <v>1.0229035615766</v>
      </c>
      <c r="P322" s="304">
        <v>1.0240103400192</v>
      </c>
      <c r="Q322" s="304">
        <v>1.0250062658257999</v>
      </c>
      <c r="R322" s="304">
        <v>1.026536203522505</v>
      </c>
      <c r="S322" s="305">
        <v>1.026781357707</v>
      </c>
      <c r="T322" s="304">
        <v>1.0276038582656</v>
      </c>
      <c r="U322" s="304">
        <v>1.0284031151402</v>
      </c>
      <c r="V322" s="304">
        <v>1.0291883459328</v>
      </c>
      <c r="W322" s="304">
        <v>1.0295107632093934</v>
      </c>
      <c r="X322" s="304">
        <v>1.0307334003199999</v>
      </c>
      <c r="Y322" s="304">
        <v>1.0314928697346</v>
      </c>
      <c r="Z322" s="304">
        <v>1.0322385446911999</v>
      </c>
      <c r="AA322" s="304">
        <v>1.0329636733598</v>
      </c>
      <c r="AB322" s="305">
        <v>1.033737769080235</v>
      </c>
      <c r="AC322" s="304">
        <v>1.0343168349530001</v>
      </c>
      <c r="AD322" s="304">
        <v>1.0349243246336</v>
      </c>
      <c r="AE322" s="304">
        <v>1.0354711215222001</v>
      </c>
      <c r="AF322" s="304">
        <v>1.0359462541568001</v>
      </c>
      <c r="AG322" s="304">
        <v>1.0363992172211351</v>
      </c>
      <c r="AH322" s="304">
        <v>1.0366409410559998</v>
      </c>
      <c r="AI322" s="304">
        <v>1.0368432626125998</v>
      </c>
      <c r="AJ322" s="304">
        <v>1.0369403944831999</v>
      </c>
      <c r="AK322" s="304">
        <v>1.0369288953737998</v>
      </c>
      <c r="AL322" s="305">
        <v>1.0367906066536206</v>
      </c>
      <c r="AM322" s="305">
        <f t="shared" si="4"/>
        <v>1.0367906066536206</v>
      </c>
      <c r="AN322" s="237"/>
    </row>
    <row r="323" spans="1:40" x14ac:dyDescent="0.2">
      <c r="A323" s="352">
        <v>28</v>
      </c>
      <c r="B323" s="304">
        <v>0.97041095890410967</v>
      </c>
      <c r="C323" s="304">
        <v>0.97963619437500005</v>
      </c>
      <c r="D323" s="304">
        <v>0.98771037181996091</v>
      </c>
      <c r="E323" s="304">
        <v>0.99389124912740001</v>
      </c>
      <c r="F323" s="304">
        <v>0.99984344422700588</v>
      </c>
      <c r="G323" s="304">
        <v>1.0041572379821999</v>
      </c>
      <c r="H323" s="304">
        <v>1.0072798434442272</v>
      </c>
      <c r="I323" s="304">
        <v>1.0114482477810001</v>
      </c>
      <c r="J323" s="305">
        <v>1.0145596868884541</v>
      </c>
      <c r="K323" s="304">
        <v>1.0165952068118</v>
      </c>
      <c r="L323" s="304">
        <v>1.0185783771552002</v>
      </c>
      <c r="M323" s="304">
        <v>1.0199608610567514</v>
      </c>
      <c r="N323" s="304">
        <v>1.0217078631680001</v>
      </c>
      <c r="O323" s="304">
        <v>1.0229655178493999</v>
      </c>
      <c r="P323" s="304">
        <v>1.0240793589407999</v>
      </c>
      <c r="Q323" s="304">
        <v>1.0250858710082</v>
      </c>
      <c r="R323" s="304">
        <v>1.0266927592954991</v>
      </c>
      <c r="S323" s="305">
        <v>1.026889717335</v>
      </c>
      <c r="T323" s="304">
        <v>1.0277284639904001</v>
      </c>
      <c r="U323" s="304">
        <v>1.0285437545898002</v>
      </c>
      <c r="V323" s="304">
        <v>1.0293436614912002</v>
      </c>
      <c r="W323" s="304">
        <v>1.0295890410958906</v>
      </c>
      <c r="X323" s="304">
        <v>1.0309095868320002</v>
      </c>
      <c r="Y323" s="304">
        <v>1.0316732954513999</v>
      </c>
      <c r="Z323" s="304">
        <v>1.0324180489088</v>
      </c>
      <c r="AA323" s="304">
        <v>1.0331366095542001</v>
      </c>
      <c r="AB323" s="305">
        <v>1.0339726027397262</v>
      </c>
      <c r="AC323" s="304">
        <v>1.034459277209</v>
      </c>
      <c r="AD323" s="304">
        <v>1.0350435565824001</v>
      </c>
      <c r="AE323" s="304">
        <v>1.0355630360478001</v>
      </c>
      <c r="AF323" s="304">
        <v>1.0360082701472</v>
      </c>
      <c r="AG323" s="304">
        <v>1.0363992172211351</v>
      </c>
      <c r="AH323" s="304">
        <v>1.0366443980159998</v>
      </c>
      <c r="AI323" s="304">
        <v>1.0368241507334002</v>
      </c>
      <c r="AJ323" s="304">
        <v>1.0369084241567998</v>
      </c>
      <c r="AK323" s="304">
        <v>1.0368986672202001</v>
      </c>
      <c r="AL323" s="305">
        <v>1.0367906066536206</v>
      </c>
      <c r="AM323" s="305">
        <f t="shared" si="4"/>
        <v>1.0367906066536206</v>
      </c>
      <c r="AN323" s="237"/>
    </row>
    <row r="324" spans="1:40" x14ac:dyDescent="0.2">
      <c r="A324" s="352">
        <v>29</v>
      </c>
      <c r="B324" s="304">
        <v>0.97033268101761261</v>
      </c>
      <c r="C324" s="304">
        <v>0.979643381875</v>
      </c>
      <c r="D324" s="304">
        <v>0.98778864970645797</v>
      </c>
      <c r="E324" s="304">
        <v>0.99398409531620002</v>
      </c>
      <c r="F324" s="304">
        <v>0.99992172211350294</v>
      </c>
      <c r="G324" s="304">
        <v>1.0042669975926</v>
      </c>
      <c r="H324" s="304">
        <v>1.0073581213307241</v>
      </c>
      <c r="I324" s="304">
        <v>1.011543059821</v>
      </c>
      <c r="J324" s="305">
        <v>1.0147162426614482</v>
      </c>
      <c r="K324" s="304">
        <v>1.0166683561454</v>
      </c>
      <c r="L324" s="304">
        <v>1.0186432513216002</v>
      </c>
      <c r="M324" s="304">
        <v>1.0199608610567514</v>
      </c>
      <c r="N324" s="304">
        <v>1.0217667326720001</v>
      </c>
      <c r="O324" s="304">
        <v>1.0230274741222001</v>
      </c>
      <c r="P324" s="304">
        <v>1.0241483778624001</v>
      </c>
      <c r="Q324" s="304">
        <v>1.0251654761905999</v>
      </c>
      <c r="R324" s="304">
        <v>1.0268493150684932</v>
      </c>
      <c r="S324" s="305">
        <v>1.0269980769630001</v>
      </c>
      <c r="T324" s="304">
        <v>1.0278530697152</v>
      </c>
      <c r="U324" s="304">
        <v>1.0286843940394002</v>
      </c>
      <c r="V324" s="304">
        <v>1.0294989770496001</v>
      </c>
      <c r="W324" s="304">
        <v>1.0296673189823875</v>
      </c>
      <c r="X324" s="304">
        <v>1.0310857733440002</v>
      </c>
      <c r="Y324" s="304">
        <v>1.0318537211682</v>
      </c>
      <c r="Z324" s="304">
        <v>1.0325975531264</v>
      </c>
      <c r="AA324" s="304">
        <v>1.0333095457486003</v>
      </c>
      <c r="AB324" s="305">
        <v>1.0342074363992173</v>
      </c>
      <c r="AC324" s="304">
        <v>1.0346017194650001</v>
      </c>
      <c r="AD324" s="304">
        <v>1.0351627885312</v>
      </c>
      <c r="AE324" s="304">
        <v>1.0356549505734003</v>
      </c>
      <c r="AF324" s="304">
        <v>1.0360702861376001</v>
      </c>
      <c r="AG324" s="304">
        <v>1.0363992172211351</v>
      </c>
      <c r="AH324" s="304">
        <v>1.0366478549760001</v>
      </c>
      <c r="AI324" s="304">
        <v>1.0368050388542003</v>
      </c>
      <c r="AJ324" s="304">
        <v>1.0368764538304001</v>
      </c>
      <c r="AK324" s="304">
        <v>1.0368684390666001</v>
      </c>
      <c r="AL324" s="305">
        <v>1.0367906066536206</v>
      </c>
      <c r="AM324" s="305">
        <f t="shared" si="4"/>
        <v>1.0367906066536206</v>
      </c>
      <c r="AN324" s="237"/>
    </row>
    <row r="325" spans="1:40" x14ac:dyDescent="0.2">
      <c r="A325" s="353">
        <v>30</v>
      </c>
      <c r="B325" s="307">
        <v>0.97025440313111555</v>
      </c>
      <c r="C325" s="307">
        <v>0.97965056937500006</v>
      </c>
      <c r="D325" s="307">
        <v>0.98786692759295502</v>
      </c>
      <c r="E325" s="307">
        <v>0.99407694150500003</v>
      </c>
      <c r="F325" s="307">
        <v>1</v>
      </c>
      <c r="G325" s="307">
        <v>1.004376757203</v>
      </c>
      <c r="H325" s="307">
        <v>1.0074363992172213</v>
      </c>
      <c r="I325" s="307">
        <v>1.011637871861</v>
      </c>
      <c r="J325" s="308">
        <v>1.0148727984344423</v>
      </c>
      <c r="K325" s="307">
        <v>1.0167415054790001</v>
      </c>
      <c r="L325" s="307">
        <v>1.0187081254880002</v>
      </c>
      <c r="M325" s="307">
        <v>1.0199608610567514</v>
      </c>
      <c r="N325" s="307">
        <v>1.0218256021760002</v>
      </c>
      <c r="O325" s="307">
        <v>1.023089430395</v>
      </c>
      <c r="P325" s="307">
        <v>1.024217396784</v>
      </c>
      <c r="Q325" s="307">
        <v>1.0252450813730001</v>
      </c>
      <c r="R325" s="307">
        <v>1.0270058708414873</v>
      </c>
      <c r="S325" s="308">
        <v>1.0271064365910001</v>
      </c>
      <c r="T325" s="307">
        <v>1.0279776754400001</v>
      </c>
      <c r="U325" s="307">
        <v>1.0288250334890001</v>
      </c>
      <c r="V325" s="307">
        <v>1.0296542926080003</v>
      </c>
      <c r="W325" s="307">
        <v>1.0297455968688847</v>
      </c>
      <c r="X325" s="307">
        <v>1.0312619598560002</v>
      </c>
      <c r="Y325" s="307">
        <v>1.0320341468850001</v>
      </c>
      <c r="Z325" s="307">
        <v>1.032777057344</v>
      </c>
      <c r="AA325" s="307">
        <v>1.0334824819430004</v>
      </c>
      <c r="AB325" s="308">
        <v>1.0344422700587086</v>
      </c>
      <c r="AC325" s="307">
        <v>1.0347441617210003</v>
      </c>
      <c r="AD325" s="307">
        <v>1.0352820204800002</v>
      </c>
      <c r="AE325" s="307">
        <v>1.0357468650990005</v>
      </c>
      <c r="AF325" s="307">
        <v>1.0361323021280002</v>
      </c>
      <c r="AG325" s="307">
        <v>1.0363992172211351</v>
      </c>
      <c r="AH325" s="307">
        <v>1.0366513119360001</v>
      </c>
      <c r="AI325" s="307">
        <v>1.0367859269750004</v>
      </c>
      <c r="AJ325" s="307">
        <v>1.0368444835040003</v>
      </c>
      <c r="AK325" s="307">
        <v>1.0368382109130003</v>
      </c>
      <c r="AL325" s="308">
        <v>1.0367906066536206</v>
      </c>
      <c r="AM325" s="308">
        <f t="shared" si="4"/>
        <v>1.0367906066536206</v>
      </c>
      <c r="AN325" s="237"/>
    </row>
    <row r="326" spans="1:40" x14ac:dyDescent="0.2">
      <c r="A326" s="352">
        <v>31</v>
      </c>
      <c r="B326" s="304">
        <v>0.97010262301330075</v>
      </c>
      <c r="C326" s="304">
        <v>0.97945472187500005</v>
      </c>
      <c r="D326" s="304">
        <v>0.9875559589691626</v>
      </c>
      <c r="E326" s="304">
        <v>0.99395044118980003</v>
      </c>
      <c r="F326" s="304">
        <v>0.99992178333985138</v>
      </c>
      <c r="G326" s="304">
        <v>1.0043357767701999</v>
      </c>
      <c r="H326" s="304">
        <v>1.0076698858970465</v>
      </c>
      <c r="I326" s="304">
        <v>1.0116735883346</v>
      </c>
      <c r="J326" s="305">
        <v>1.0147140385129039</v>
      </c>
      <c r="K326" s="304">
        <v>1.0168306503790001</v>
      </c>
      <c r="L326" s="304">
        <v>1.0188131883872</v>
      </c>
      <c r="M326" s="304">
        <v>1.0201923884934261</v>
      </c>
      <c r="N326" s="304">
        <v>1.0219407726976002</v>
      </c>
      <c r="O326" s="304">
        <v>1.0231998404678</v>
      </c>
      <c r="P326" s="304">
        <v>1.0243176863200001</v>
      </c>
      <c r="Q326" s="304">
        <v>1.0253310554242001</v>
      </c>
      <c r="R326" s="304">
        <v>1.0270016462234441</v>
      </c>
      <c r="S326" s="305">
        <v>1.0271565755806</v>
      </c>
      <c r="T326" s="304">
        <v>1.0280091772768001</v>
      </c>
      <c r="U326" s="304">
        <v>1.0288393560410001</v>
      </c>
      <c r="V326" s="304">
        <v>1.0296542749312003</v>
      </c>
      <c r="W326" s="304">
        <v>1.0297409436664022</v>
      </c>
      <c r="X326" s="304">
        <v>1.0312466234336002</v>
      </c>
      <c r="Y326" s="304">
        <v>1.0320197460658</v>
      </c>
      <c r="Z326" s="304">
        <v>1.0327701473920001</v>
      </c>
      <c r="AA326" s="304">
        <v>1.0334898149582004</v>
      </c>
      <c r="AB326" s="305">
        <v>1.0345150988001932</v>
      </c>
      <c r="AC326" s="304">
        <v>1.0347989437066003</v>
      </c>
      <c r="AD326" s="304">
        <v>1.0353681534848</v>
      </c>
      <c r="AE326" s="304">
        <v>1.0358672792230004</v>
      </c>
      <c r="AF326" s="304">
        <v>1.0362875395552003</v>
      </c>
      <c r="AG326" s="304">
        <v>1.0365499564910263</v>
      </c>
      <c r="AH326" s="304">
        <v>1.0368647898496</v>
      </c>
      <c r="AI326" s="304">
        <v>1.0370143971838004</v>
      </c>
      <c r="AJ326" s="304">
        <v>1.0370715263840002</v>
      </c>
      <c r="AK326" s="304">
        <v>1.0370410337722002</v>
      </c>
      <c r="AL326" s="305">
        <v>1.0369412846971631</v>
      </c>
      <c r="AM326" s="305">
        <f t="shared" si="4"/>
        <v>1.0369412846971631</v>
      </c>
      <c r="AN326" s="237"/>
    </row>
    <row r="327" spans="1:40" x14ac:dyDescent="0.2">
      <c r="A327" s="352">
        <v>32</v>
      </c>
      <c r="B327" s="304">
        <v>0.96995084289548594</v>
      </c>
      <c r="C327" s="304">
        <v>0.97925887437500003</v>
      </c>
      <c r="D327" s="304">
        <v>0.98724499034537017</v>
      </c>
      <c r="E327" s="304">
        <v>0.99382394087460002</v>
      </c>
      <c r="F327" s="304">
        <v>0.99984356667970276</v>
      </c>
      <c r="G327" s="304">
        <v>1.0042947963374</v>
      </c>
      <c r="H327" s="304">
        <v>1.0079033725768718</v>
      </c>
      <c r="I327" s="304">
        <v>1.0117093048082</v>
      </c>
      <c r="J327" s="305">
        <v>1.0145552785913654</v>
      </c>
      <c r="K327" s="304">
        <v>1.0169197952790001</v>
      </c>
      <c r="L327" s="304">
        <v>1.0189182512864001</v>
      </c>
      <c r="M327" s="304">
        <v>1.020423915930101</v>
      </c>
      <c r="N327" s="304">
        <v>1.0220559432192</v>
      </c>
      <c r="O327" s="304">
        <v>1.0233102505406</v>
      </c>
      <c r="P327" s="304">
        <v>1.0244179758559999</v>
      </c>
      <c r="Q327" s="304">
        <v>1.0254170294754001</v>
      </c>
      <c r="R327" s="304">
        <v>1.0269974216054008</v>
      </c>
      <c r="S327" s="305">
        <v>1.0272067145702</v>
      </c>
      <c r="T327" s="304">
        <v>1.0280406791136001</v>
      </c>
      <c r="U327" s="304">
        <v>1.028853678593</v>
      </c>
      <c r="V327" s="304">
        <v>1.0296542572544003</v>
      </c>
      <c r="W327" s="304">
        <v>1.0297362904639198</v>
      </c>
      <c r="X327" s="304">
        <v>1.0312312870112001</v>
      </c>
      <c r="Y327" s="304">
        <v>1.0320053452466</v>
      </c>
      <c r="Z327" s="304">
        <v>1.03276323744</v>
      </c>
      <c r="AA327" s="304">
        <v>1.0334971479734003</v>
      </c>
      <c r="AB327" s="305">
        <v>1.0345879275416781</v>
      </c>
      <c r="AC327" s="304">
        <v>1.0348537256922001</v>
      </c>
      <c r="AD327" s="304">
        <v>1.0354542864896001</v>
      </c>
      <c r="AE327" s="304">
        <v>1.0359876933470002</v>
      </c>
      <c r="AF327" s="304">
        <v>1.0364427769824001</v>
      </c>
      <c r="AG327" s="304">
        <v>1.0367006957609173</v>
      </c>
      <c r="AH327" s="304">
        <v>1.0370782677632</v>
      </c>
      <c r="AI327" s="304">
        <v>1.0372428673926002</v>
      </c>
      <c r="AJ327" s="304">
        <v>1.0372985692640002</v>
      </c>
      <c r="AK327" s="304">
        <v>1.0372438566314002</v>
      </c>
      <c r="AL327" s="305">
        <v>1.0370919627407058</v>
      </c>
      <c r="AM327" s="305">
        <f t="shared" si="4"/>
        <v>1.0370919627407058</v>
      </c>
      <c r="AN327" s="237"/>
    </row>
    <row r="328" spans="1:40" x14ac:dyDescent="0.2">
      <c r="A328" s="352">
        <v>33</v>
      </c>
      <c r="B328" s="304">
        <v>0.96979906277767103</v>
      </c>
      <c r="C328" s="304">
        <v>0.97906302687500002</v>
      </c>
      <c r="D328" s="304">
        <v>0.98693402172157774</v>
      </c>
      <c r="E328" s="304">
        <v>0.99369744055940001</v>
      </c>
      <c r="F328" s="304">
        <v>0.99976535001955413</v>
      </c>
      <c r="G328" s="304">
        <v>1.0042538159045999</v>
      </c>
      <c r="H328" s="304">
        <v>1.0081368592566968</v>
      </c>
      <c r="I328" s="304">
        <v>1.0117450212818</v>
      </c>
      <c r="J328" s="305">
        <v>1.0143965186698269</v>
      </c>
      <c r="K328" s="304">
        <v>1.0170089401789999</v>
      </c>
      <c r="L328" s="304">
        <v>1.0190233141856</v>
      </c>
      <c r="M328" s="304">
        <v>1.0206554433667756</v>
      </c>
      <c r="N328" s="304">
        <v>1.0221711137408001</v>
      </c>
      <c r="O328" s="304">
        <v>1.0234206606134</v>
      </c>
      <c r="P328" s="304">
        <v>1.024518265392</v>
      </c>
      <c r="Q328" s="304">
        <v>1.0255030035266</v>
      </c>
      <c r="R328" s="304">
        <v>1.0269931969873576</v>
      </c>
      <c r="S328" s="305">
        <v>1.0272568535598001</v>
      </c>
      <c r="T328" s="304">
        <v>1.0280721809503999</v>
      </c>
      <c r="U328" s="304">
        <v>1.028868001145</v>
      </c>
      <c r="V328" s="304">
        <v>1.0296542395776001</v>
      </c>
      <c r="W328" s="304">
        <v>1.0297316372614371</v>
      </c>
      <c r="X328" s="304">
        <v>1.0312159505888001</v>
      </c>
      <c r="Y328" s="304">
        <v>1.0319909444274</v>
      </c>
      <c r="Z328" s="304">
        <v>1.0327563274880001</v>
      </c>
      <c r="AA328" s="304">
        <v>1.0335044809886</v>
      </c>
      <c r="AB328" s="305">
        <v>1.0346607562831627</v>
      </c>
      <c r="AC328" s="304">
        <v>1.0349085076778002</v>
      </c>
      <c r="AD328" s="304">
        <v>1.0355404194944</v>
      </c>
      <c r="AE328" s="304">
        <v>1.0361081074710001</v>
      </c>
      <c r="AF328" s="304">
        <v>1.0365980144096001</v>
      </c>
      <c r="AG328" s="304">
        <v>1.0368514350308085</v>
      </c>
      <c r="AH328" s="304">
        <v>1.0372917456767998</v>
      </c>
      <c r="AI328" s="304">
        <v>1.0374713376014002</v>
      </c>
      <c r="AJ328" s="304">
        <v>1.0375256121440002</v>
      </c>
      <c r="AK328" s="304">
        <v>1.0374466794905999</v>
      </c>
      <c r="AL328" s="305">
        <v>1.0372426407842483</v>
      </c>
      <c r="AM328" s="305">
        <f t="shared" si="4"/>
        <v>1.0372426407842483</v>
      </c>
      <c r="AN328" s="237"/>
    </row>
    <row r="329" spans="1:40" x14ac:dyDescent="0.2">
      <c r="A329" s="352">
        <v>34</v>
      </c>
      <c r="B329" s="304">
        <v>0.96964728265985622</v>
      </c>
      <c r="C329" s="304">
        <v>0.97886717937500001</v>
      </c>
      <c r="D329" s="304">
        <v>0.98662305309778531</v>
      </c>
      <c r="E329" s="304">
        <v>0.99357094024420001</v>
      </c>
      <c r="F329" s="304">
        <v>0.99968713335940551</v>
      </c>
      <c r="G329" s="304">
        <v>1.0042128354718001</v>
      </c>
      <c r="H329" s="304">
        <v>1.0083703459365221</v>
      </c>
      <c r="I329" s="304">
        <v>1.0117807377554</v>
      </c>
      <c r="J329" s="305">
        <v>1.0142377587482885</v>
      </c>
      <c r="K329" s="304">
        <v>1.0170980850789999</v>
      </c>
      <c r="L329" s="304">
        <v>1.0191283770848001</v>
      </c>
      <c r="M329" s="304">
        <v>1.0208869708034505</v>
      </c>
      <c r="N329" s="304">
        <v>1.0222862842623999</v>
      </c>
      <c r="O329" s="304">
        <v>1.0235310706862</v>
      </c>
      <c r="P329" s="304">
        <v>1.0246185549279998</v>
      </c>
      <c r="Q329" s="304">
        <v>1.0255889775778</v>
      </c>
      <c r="R329" s="304">
        <v>1.0269889723693142</v>
      </c>
      <c r="S329" s="305">
        <v>1.0273069925494001</v>
      </c>
      <c r="T329" s="304">
        <v>1.0281036827871999</v>
      </c>
      <c r="U329" s="304">
        <v>1.0288823236969999</v>
      </c>
      <c r="V329" s="304">
        <v>1.0296542219008</v>
      </c>
      <c r="W329" s="304">
        <v>1.0297269840589547</v>
      </c>
      <c r="X329" s="304">
        <v>1.0312006141664001</v>
      </c>
      <c r="Y329" s="304">
        <v>1.0319765436082</v>
      </c>
      <c r="Z329" s="304">
        <v>1.0327494175359999</v>
      </c>
      <c r="AA329" s="304">
        <v>1.0335118140038</v>
      </c>
      <c r="AB329" s="305">
        <v>1.0347335850246475</v>
      </c>
      <c r="AC329" s="304">
        <v>1.0349632896634</v>
      </c>
      <c r="AD329" s="304">
        <v>1.0356265524992001</v>
      </c>
      <c r="AE329" s="304">
        <v>1.036228521595</v>
      </c>
      <c r="AF329" s="304">
        <v>1.0367532518367999</v>
      </c>
      <c r="AG329" s="304">
        <v>1.0370021743006994</v>
      </c>
      <c r="AH329" s="304">
        <v>1.0375052235903999</v>
      </c>
      <c r="AI329" s="304">
        <v>1.0376998078102</v>
      </c>
      <c r="AJ329" s="304">
        <v>1.0377526550240002</v>
      </c>
      <c r="AK329" s="304">
        <v>1.0376495023497998</v>
      </c>
      <c r="AL329" s="305">
        <v>1.0373933188277911</v>
      </c>
      <c r="AM329" s="305">
        <f t="shared" si="4"/>
        <v>1.0373933188277911</v>
      </c>
      <c r="AN329" s="237"/>
    </row>
    <row r="330" spans="1:40" x14ac:dyDescent="0.2">
      <c r="A330" s="353">
        <v>35</v>
      </c>
      <c r="B330" s="307">
        <v>0.96949550254204142</v>
      </c>
      <c r="C330" s="307">
        <v>0.97867133187499999</v>
      </c>
      <c r="D330" s="307">
        <v>0.98631208447399288</v>
      </c>
      <c r="E330" s="307">
        <v>0.993444439929</v>
      </c>
      <c r="F330" s="307">
        <v>0.99960891669925689</v>
      </c>
      <c r="G330" s="307">
        <v>1.004171855039</v>
      </c>
      <c r="H330" s="307">
        <v>1.0086038326163473</v>
      </c>
      <c r="I330" s="307">
        <v>1.011816454229</v>
      </c>
      <c r="J330" s="308">
        <v>1.01407899882675</v>
      </c>
      <c r="K330" s="307">
        <v>1.0171872299789999</v>
      </c>
      <c r="L330" s="307">
        <v>1.019233439984</v>
      </c>
      <c r="M330" s="307">
        <v>1.0211184982401251</v>
      </c>
      <c r="N330" s="307">
        <v>1.0224014547839999</v>
      </c>
      <c r="O330" s="307">
        <v>1.023641480759</v>
      </c>
      <c r="P330" s="307">
        <v>1.0247188444639999</v>
      </c>
      <c r="Q330" s="307">
        <v>1.025674951629</v>
      </c>
      <c r="R330" s="307">
        <v>1.026984747751271</v>
      </c>
      <c r="S330" s="308">
        <v>1.027357131539</v>
      </c>
      <c r="T330" s="307">
        <v>1.0281351846239999</v>
      </c>
      <c r="U330" s="307">
        <v>1.0288966462489999</v>
      </c>
      <c r="V330" s="307">
        <v>1.029654204224</v>
      </c>
      <c r="W330" s="307">
        <v>1.0297223308564722</v>
      </c>
      <c r="X330" s="307">
        <v>1.031185277744</v>
      </c>
      <c r="Y330" s="307">
        <v>1.031962142789</v>
      </c>
      <c r="Z330" s="307">
        <v>1.032742507584</v>
      </c>
      <c r="AA330" s="307">
        <v>1.0335191470189999</v>
      </c>
      <c r="AB330" s="308">
        <v>1.0348064137661321</v>
      </c>
      <c r="AC330" s="307">
        <v>1.0350180716490001</v>
      </c>
      <c r="AD330" s="307">
        <v>1.035712685504</v>
      </c>
      <c r="AE330" s="307">
        <v>1.0363489357189999</v>
      </c>
      <c r="AF330" s="307">
        <v>1.0369084892639999</v>
      </c>
      <c r="AG330" s="307">
        <v>1.0371529135705906</v>
      </c>
      <c r="AH330" s="307">
        <v>1.0377187015039997</v>
      </c>
      <c r="AI330" s="307">
        <v>1.037928278019</v>
      </c>
      <c r="AJ330" s="307">
        <v>1.0379796979040001</v>
      </c>
      <c r="AK330" s="307">
        <v>1.0378523252089997</v>
      </c>
      <c r="AL330" s="308">
        <v>1.0375439968713336</v>
      </c>
      <c r="AM330" s="308">
        <f t="shared" si="4"/>
        <v>1.0375439968713336</v>
      </c>
      <c r="AN330" s="237"/>
    </row>
    <row r="331" spans="1:40" x14ac:dyDescent="0.2">
      <c r="A331" s="352">
        <v>36</v>
      </c>
      <c r="B331" s="304">
        <v>0.96950027073234357</v>
      </c>
      <c r="C331" s="304">
        <v>0.97865108000000001</v>
      </c>
      <c r="D331" s="304">
        <v>0.98623606851706058</v>
      </c>
      <c r="E331" s="304">
        <v>0.99341444457039996</v>
      </c>
      <c r="F331" s="304">
        <v>0.99953082230039814</v>
      </c>
      <c r="G331" s="304">
        <v>1.004111365352</v>
      </c>
      <c r="H331" s="304">
        <v>1.0085243322126558</v>
      </c>
      <c r="I331" s="304">
        <v>1.0117190458136001</v>
      </c>
      <c r="J331" s="305">
        <v>1.0141549536530374</v>
      </c>
      <c r="K331" s="304">
        <v>1.0170562006432</v>
      </c>
      <c r="L331" s="304">
        <v>1.019088774656</v>
      </c>
      <c r="M331" s="304">
        <v>1.0208025750672858</v>
      </c>
      <c r="N331" s="304">
        <v>1.0222378583295999</v>
      </c>
      <c r="O331" s="304">
        <v>1.0234728367663999</v>
      </c>
      <c r="P331" s="304">
        <v>1.0245480052351998</v>
      </c>
      <c r="Q331" s="304">
        <v>1.0255045362999999</v>
      </c>
      <c r="R331" s="304">
        <v>1.0268242186777656</v>
      </c>
      <c r="S331" s="305">
        <v>1.0271939761855999</v>
      </c>
      <c r="T331" s="304">
        <v>1.0279779468543999</v>
      </c>
      <c r="U331" s="304">
        <v>1.0287461484871998</v>
      </c>
      <c r="V331" s="304">
        <v>1.0295107043839999</v>
      </c>
      <c r="W331" s="304">
        <v>1.0296395293979563</v>
      </c>
      <c r="X331" s="304">
        <v>1.0310542802816001</v>
      </c>
      <c r="Y331" s="304">
        <v>1.0318355720023999</v>
      </c>
      <c r="Z331" s="304">
        <v>1.0326185060991999</v>
      </c>
      <c r="AA331" s="304">
        <v>1.0333954650079999</v>
      </c>
      <c r="AB331" s="305">
        <v>1.0346446620797287</v>
      </c>
      <c r="AC331" s="304">
        <v>1.0348872035176</v>
      </c>
      <c r="AD331" s="304">
        <v>1.0355740815104</v>
      </c>
      <c r="AE331" s="304">
        <v>1.0361999257712</v>
      </c>
      <c r="AF331" s="304">
        <v>1.0367466862719998</v>
      </c>
      <c r="AG331" s="304">
        <v>1.0369907951003177</v>
      </c>
      <c r="AH331" s="304">
        <v>1.0375262807935997</v>
      </c>
      <c r="AI331" s="304">
        <v>1.0377196566783999</v>
      </c>
      <c r="AJ331" s="304">
        <v>1.0377557772032002</v>
      </c>
      <c r="AK331" s="304">
        <v>1.0375981891941999</v>
      </c>
      <c r="AL331" s="305">
        <v>1.0373036617409122</v>
      </c>
      <c r="AM331" s="305">
        <f t="shared" si="4"/>
        <v>1.0373036617409122</v>
      </c>
      <c r="AN331" s="237"/>
    </row>
    <row r="332" spans="1:40" x14ac:dyDescent="0.2">
      <c r="A332" s="352">
        <v>37</v>
      </c>
      <c r="B332" s="304">
        <v>0.96950503892264572</v>
      </c>
      <c r="C332" s="304">
        <v>0.97863082812500002</v>
      </c>
      <c r="D332" s="304">
        <v>0.9861600525601284</v>
      </c>
      <c r="E332" s="304">
        <v>0.99338444921180002</v>
      </c>
      <c r="F332" s="304">
        <v>0.99945272790153927</v>
      </c>
      <c r="G332" s="304">
        <v>1.004050875665</v>
      </c>
      <c r="H332" s="304">
        <v>1.0084448318089643</v>
      </c>
      <c r="I332" s="304">
        <v>1.0116216373982001</v>
      </c>
      <c r="J332" s="305">
        <v>1.0142309084793248</v>
      </c>
      <c r="K332" s="304">
        <v>1.0169251713073999</v>
      </c>
      <c r="L332" s="304">
        <v>1.0189441093280001</v>
      </c>
      <c r="M332" s="304">
        <v>1.0204866518944464</v>
      </c>
      <c r="N332" s="304">
        <v>1.0220742618751999</v>
      </c>
      <c r="O332" s="304">
        <v>1.0233041927738</v>
      </c>
      <c r="P332" s="304">
        <v>1.0243771660063998</v>
      </c>
      <c r="Q332" s="304">
        <v>1.0253341209710001</v>
      </c>
      <c r="R332" s="304">
        <v>1.02666368960426</v>
      </c>
      <c r="S332" s="305">
        <v>1.0270308208321999</v>
      </c>
      <c r="T332" s="304">
        <v>1.0278207090847999</v>
      </c>
      <c r="U332" s="304">
        <v>1.0285956507253999</v>
      </c>
      <c r="V332" s="304">
        <v>1.0293672045439999</v>
      </c>
      <c r="W332" s="304">
        <v>1.0295567279394402</v>
      </c>
      <c r="X332" s="304">
        <v>1.0309232828192001</v>
      </c>
      <c r="Y332" s="304">
        <v>1.0317090012157999</v>
      </c>
      <c r="Z332" s="304">
        <v>1.0324945046144001</v>
      </c>
      <c r="AA332" s="304">
        <v>1.033271782997</v>
      </c>
      <c r="AB332" s="305">
        <v>1.0344829103933253</v>
      </c>
      <c r="AC332" s="304">
        <v>1.0347563353861999</v>
      </c>
      <c r="AD332" s="304">
        <v>1.0354354775168</v>
      </c>
      <c r="AE332" s="304">
        <v>1.0360509158233999</v>
      </c>
      <c r="AF332" s="304">
        <v>1.0365848832799998</v>
      </c>
      <c r="AG332" s="304">
        <v>1.0368286766300447</v>
      </c>
      <c r="AH332" s="304">
        <v>1.0373338600831998</v>
      </c>
      <c r="AI332" s="304">
        <v>1.0375110353377999</v>
      </c>
      <c r="AJ332" s="304">
        <v>1.0375318565024001</v>
      </c>
      <c r="AK332" s="304">
        <v>1.0373440531793998</v>
      </c>
      <c r="AL332" s="305">
        <v>1.0370633266104907</v>
      </c>
      <c r="AM332" s="305">
        <f t="shared" si="4"/>
        <v>1.0370633266104907</v>
      </c>
      <c r="AN332" s="237"/>
    </row>
    <row r="333" spans="1:40" x14ac:dyDescent="0.2">
      <c r="A333" s="352">
        <v>38</v>
      </c>
      <c r="B333" s="304">
        <v>0.96950980711294799</v>
      </c>
      <c r="C333" s="304">
        <v>0.97861057625000003</v>
      </c>
      <c r="D333" s="304">
        <v>0.9860840366031961</v>
      </c>
      <c r="E333" s="304">
        <v>0.99335445385319998</v>
      </c>
      <c r="F333" s="304">
        <v>0.99937463350268052</v>
      </c>
      <c r="G333" s="304">
        <v>1.0039903859780002</v>
      </c>
      <c r="H333" s="304">
        <v>1.008365331405273</v>
      </c>
      <c r="I333" s="304">
        <v>1.0115242289827999</v>
      </c>
      <c r="J333" s="305">
        <v>1.014306863305612</v>
      </c>
      <c r="K333" s="304">
        <v>1.0167941419716</v>
      </c>
      <c r="L333" s="304">
        <v>1.0187994439999999</v>
      </c>
      <c r="M333" s="304">
        <v>1.0201707287216069</v>
      </c>
      <c r="N333" s="304">
        <v>1.0219106654208001</v>
      </c>
      <c r="O333" s="304">
        <v>1.0231355487811999</v>
      </c>
      <c r="P333" s="304">
        <v>1.0242063267776</v>
      </c>
      <c r="Q333" s="304">
        <v>1.025163705642</v>
      </c>
      <c r="R333" s="304">
        <v>1.0265031605307546</v>
      </c>
      <c r="S333" s="305">
        <v>1.0268676654788</v>
      </c>
      <c r="T333" s="304">
        <v>1.0276634713152</v>
      </c>
      <c r="U333" s="304">
        <v>1.0284451529635998</v>
      </c>
      <c r="V333" s="304">
        <v>1.029223704704</v>
      </c>
      <c r="W333" s="304">
        <v>1.0294739264809243</v>
      </c>
      <c r="X333" s="304">
        <v>1.0307922853567999</v>
      </c>
      <c r="Y333" s="304">
        <v>1.0315824304292001</v>
      </c>
      <c r="Z333" s="304">
        <v>1.0323705031296</v>
      </c>
      <c r="AA333" s="304">
        <v>1.0331481009860002</v>
      </c>
      <c r="AB333" s="305">
        <v>1.0343211587069219</v>
      </c>
      <c r="AC333" s="304">
        <v>1.0346254672547999</v>
      </c>
      <c r="AD333" s="304">
        <v>1.0352968735232</v>
      </c>
      <c r="AE333" s="304">
        <v>1.0359019058756</v>
      </c>
      <c r="AF333" s="304">
        <v>1.0364230802879999</v>
      </c>
      <c r="AG333" s="304">
        <v>1.036666558159772</v>
      </c>
      <c r="AH333" s="304">
        <v>1.0371414393727998</v>
      </c>
      <c r="AI333" s="304">
        <v>1.0373024139972</v>
      </c>
      <c r="AJ333" s="304">
        <v>1.0373079358016002</v>
      </c>
      <c r="AK333" s="304">
        <v>1.0370899171646</v>
      </c>
      <c r="AL333" s="305">
        <v>1.0368229914800691</v>
      </c>
      <c r="AM333" s="305">
        <f t="shared" si="4"/>
        <v>1.0368229914800691</v>
      </c>
      <c r="AN333" s="237"/>
    </row>
    <row r="334" spans="1:40" x14ac:dyDescent="0.2">
      <c r="A334" s="352">
        <v>39</v>
      </c>
      <c r="B334" s="304">
        <v>0.96951457530325014</v>
      </c>
      <c r="C334" s="304">
        <v>0.97859032437500004</v>
      </c>
      <c r="D334" s="304">
        <v>0.98600802064626392</v>
      </c>
      <c r="E334" s="304">
        <v>0.99332445849460005</v>
      </c>
      <c r="F334" s="304">
        <v>0.99929653910382166</v>
      </c>
      <c r="G334" s="304">
        <v>1.0039298962910002</v>
      </c>
      <c r="H334" s="304">
        <v>1.0082858310015814</v>
      </c>
      <c r="I334" s="304">
        <v>1.0114268205674</v>
      </c>
      <c r="J334" s="305">
        <v>1.0143828181318995</v>
      </c>
      <c r="K334" s="304">
        <v>1.0166631126357999</v>
      </c>
      <c r="L334" s="304">
        <v>1.0186547786719999</v>
      </c>
      <c r="M334" s="304">
        <v>1.0198548055487675</v>
      </c>
      <c r="N334" s="304">
        <v>1.0217470689664001</v>
      </c>
      <c r="O334" s="304">
        <v>1.0229669047886001</v>
      </c>
      <c r="P334" s="304">
        <v>1.0240354875488</v>
      </c>
      <c r="Q334" s="304">
        <v>1.0249932903130001</v>
      </c>
      <c r="R334" s="304">
        <v>1.026342631457249</v>
      </c>
      <c r="S334" s="305">
        <v>1.0267045101254</v>
      </c>
      <c r="T334" s="304">
        <v>1.0275062335456</v>
      </c>
      <c r="U334" s="304">
        <v>1.0282946552018</v>
      </c>
      <c r="V334" s="304">
        <v>1.029080204864</v>
      </c>
      <c r="W334" s="304">
        <v>1.0293911250224081</v>
      </c>
      <c r="X334" s="304">
        <v>1.0306612878943999</v>
      </c>
      <c r="Y334" s="304">
        <v>1.0314558596426</v>
      </c>
      <c r="Z334" s="304">
        <v>1.0322465016448001</v>
      </c>
      <c r="AA334" s="304">
        <v>1.0330244189750002</v>
      </c>
      <c r="AB334" s="305">
        <v>1.0341594070205185</v>
      </c>
      <c r="AC334" s="304">
        <v>1.0344945991233998</v>
      </c>
      <c r="AD334" s="304">
        <v>1.0351582695296</v>
      </c>
      <c r="AE334" s="304">
        <v>1.0357528959278</v>
      </c>
      <c r="AF334" s="304">
        <v>1.0362612772959998</v>
      </c>
      <c r="AG334" s="304">
        <v>1.0365044396894991</v>
      </c>
      <c r="AH334" s="304">
        <v>1.0369490186624</v>
      </c>
      <c r="AI334" s="304">
        <v>1.0370937926566</v>
      </c>
      <c r="AJ334" s="304">
        <v>1.0370840151008001</v>
      </c>
      <c r="AK334" s="304">
        <v>1.0368357811497999</v>
      </c>
      <c r="AL334" s="305">
        <v>1.0365826563496476</v>
      </c>
      <c r="AM334" s="305">
        <f t="shared" si="4"/>
        <v>1.0365826563496476</v>
      </c>
      <c r="AN334" s="237"/>
    </row>
    <row r="335" spans="1:40" ht="13.5" thickBot="1" x14ac:dyDescent="0.25">
      <c r="A335" s="354">
        <v>40</v>
      </c>
      <c r="B335" s="310">
        <v>0.96951934349355229</v>
      </c>
      <c r="C335" s="310">
        <v>0.97857007250000005</v>
      </c>
      <c r="D335" s="310">
        <v>0.98593200468933162</v>
      </c>
      <c r="E335" s="310">
        <v>0.99329446313600001</v>
      </c>
      <c r="F335" s="310">
        <v>0.9992184447049629</v>
      </c>
      <c r="G335" s="310">
        <v>1.0038694066040001</v>
      </c>
      <c r="H335" s="310">
        <v>1.0082063305978899</v>
      </c>
      <c r="I335" s="310">
        <v>1.011329412152</v>
      </c>
      <c r="J335" s="311">
        <v>1.0144587729581869</v>
      </c>
      <c r="K335" s="310">
        <v>1.0165320833</v>
      </c>
      <c r="L335" s="310">
        <v>1.018510113344</v>
      </c>
      <c r="M335" s="310">
        <v>1.0195388823759282</v>
      </c>
      <c r="N335" s="310">
        <v>1.0215834725120001</v>
      </c>
      <c r="O335" s="310">
        <v>1.022798260796</v>
      </c>
      <c r="P335" s="310">
        <v>1.02386464832</v>
      </c>
      <c r="Q335" s="310">
        <v>1.024822874984</v>
      </c>
      <c r="R335" s="310">
        <v>1.0261821023837436</v>
      </c>
      <c r="S335" s="311">
        <v>1.0265413547719999</v>
      </c>
      <c r="T335" s="310">
        <v>1.027348995776</v>
      </c>
      <c r="U335" s="310">
        <v>1.0281441574399999</v>
      </c>
      <c r="V335" s="310">
        <v>1.0289367050239999</v>
      </c>
      <c r="W335" s="310">
        <v>1.0293083235638922</v>
      </c>
      <c r="X335" s="310">
        <v>1.030530290432</v>
      </c>
      <c r="Y335" s="310">
        <v>1.0313292888559999</v>
      </c>
      <c r="Z335" s="310">
        <v>1.0321225001600001</v>
      </c>
      <c r="AA335" s="310">
        <v>1.0329007369640002</v>
      </c>
      <c r="AB335" s="311">
        <v>1.033997655334115</v>
      </c>
      <c r="AC335" s="310">
        <v>1.0343637309919997</v>
      </c>
      <c r="AD335" s="310">
        <v>1.035019665536</v>
      </c>
      <c r="AE335" s="310">
        <v>1.0356038859800001</v>
      </c>
      <c r="AF335" s="310">
        <v>1.0360994743039997</v>
      </c>
      <c r="AG335" s="310">
        <v>1.0363423212192262</v>
      </c>
      <c r="AH335" s="310">
        <v>1.0367565979519999</v>
      </c>
      <c r="AI335" s="310">
        <v>1.0368851713159999</v>
      </c>
      <c r="AJ335" s="310">
        <v>1.0368600944000002</v>
      </c>
      <c r="AK335" s="310">
        <v>1.0365816451350001</v>
      </c>
      <c r="AL335" s="311">
        <v>1.0363423212192262</v>
      </c>
      <c r="AM335" s="311">
        <f t="shared" si="4"/>
        <v>1.0363423212192262</v>
      </c>
      <c r="AN335" s="237"/>
    </row>
    <row r="336" spans="1:40" ht="14.25" thickTop="1" thickBot="1" x14ac:dyDescent="0.25">
      <c r="A336" s="354">
        <f>A335+0.001</f>
        <v>40.000999999999998</v>
      </c>
      <c r="B336" s="310">
        <f>B335</f>
        <v>0.96951934349355229</v>
      </c>
      <c r="C336" s="310">
        <f t="shared" ref="C336:AL336" si="5">C335</f>
        <v>0.97857007250000005</v>
      </c>
      <c r="D336" s="310">
        <f t="shared" si="5"/>
        <v>0.98593200468933162</v>
      </c>
      <c r="E336" s="310">
        <f t="shared" si="5"/>
        <v>0.99329446313600001</v>
      </c>
      <c r="F336" s="310">
        <f t="shared" si="5"/>
        <v>0.9992184447049629</v>
      </c>
      <c r="G336" s="310">
        <f t="shared" si="5"/>
        <v>1.0038694066040001</v>
      </c>
      <c r="H336" s="310">
        <f t="shared" si="5"/>
        <v>1.0082063305978899</v>
      </c>
      <c r="I336" s="310">
        <f t="shared" si="5"/>
        <v>1.011329412152</v>
      </c>
      <c r="J336" s="311">
        <f t="shared" si="5"/>
        <v>1.0144587729581869</v>
      </c>
      <c r="K336" s="310">
        <f t="shared" si="5"/>
        <v>1.0165320833</v>
      </c>
      <c r="L336" s="310">
        <f t="shared" si="5"/>
        <v>1.018510113344</v>
      </c>
      <c r="M336" s="310">
        <f t="shared" si="5"/>
        <v>1.0195388823759282</v>
      </c>
      <c r="N336" s="310">
        <f t="shared" si="5"/>
        <v>1.0215834725120001</v>
      </c>
      <c r="O336" s="310">
        <f t="shared" si="5"/>
        <v>1.022798260796</v>
      </c>
      <c r="P336" s="310">
        <f t="shared" si="5"/>
        <v>1.02386464832</v>
      </c>
      <c r="Q336" s="310">
        <f t="shared" si="5"/>
        <v>1.024822874984</v>
      </c>
      <c r="R336" s="310">
        <f t="shared" si="5"/>
        <v>1.0261821023837436</v>
      </c>
      <c r="S336" s="311">
        <f t="shared" si="5"/>
        <v>1.0265413547719999</v>
      </c>
      <c r="T336" s="310">
        <f t="shared" si="5"/>
        <v>1.027348995776</v>
      </c>
      <c r="U336" s="310">
        <f t="shared" si="5"/>
        <v>1.0281441574399999</v>
      </c>
      <c r="V336" s="310">
        <f t="shared" si="5"/>
        <v>1.0289367050239999</v>
      </c>
      <c r="W336" s="310">
        <f t="shared" si="5"/>
        <v>1.0293083235638922</v>
      </c>
      <c r="X336" s="310">
        <f t="shared" si="5"/>
        <v>1.030530290432</v>
      </c>
      <c r="Y336" s="310">
        <f t="shared" si="5"/>
        <v>1.0313292888559999</v>
      </c>
      <c r="Z336" s="310">
        <f t="shared" si="5"/>
        <v>1.0321225001600001</v>
      </c>
      <c r="AA336" s="310">
        <f t="shared" si="5"/>
        <v>1.0329007369640002</v>
      </c>
      <c r="AB336" s="311">
        <f t="shared" si="5"/>
        <v>1.033997655334115</v>
      </c>
      <c r="AC336" s="310">
        <f t="shared" si="5"/>
        <v>1.0343637309919997</v>
      </c>
      <c r="AD336" s="310">
        <f t="shared" si="5"/>
        <v>1.035019665536</v>
      </c>
      <c r="AE336" s="310">
        <f t="shared" si="5"/>
        <v>1.0356038859800001</v>
      </c>
      <c r="AF336" s="310">
        <f t="shared" si="5"/>
        <v>1.0360994743039997</v>
      </c>
      <c r="AG336" s="310">
        <f t="shared" si="5"/>
        <v>1.0363423212192262</v>
      </c>
      <c r="AH336" s="310">
        <f t="shared" si="5"/>
        <v>1.0367565979519999</v>
      </c>
      <c r="AI336" s="310">
        <f t="shared" si="5"/>
        <v>1.0368851713159999</v>
      </c>
      <c r="AJ336" s="310">
        <f t="shared" si="5"/>
        <v>1.0368600944000002</v>
      </c>
      <c r="AK336" s="310">
        <f t="shared" si="5"/>
        <v>1.0365816451350001</v>
      </c>
      <c r="AL336" s="311">
        <f t="shared" si="5"/>
        <v>1.0363423212192262</v>
      </c>
      <c r="AM336" s="311">
        <f>AL335</f>
        <v>1.0363423212192262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A234:D234"/>
    <mergeCell ref="A296:D296"/>
    <mergeCell ref="B297:J297"/>
    <mergeCell ref="A128:F128"/>
    <mergeCell ref="A27:D27"/>
    <mergeCell ref="B85:J85"/>
    <mergeCell ref="A84:D84"/>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A39" sqref="A39"/>
    </sheetView>
  </sheetViews>
  <sheetFormatPr defaultRowHeight="12.75" x14ac:dyDescent="0.2"/>
  <cols>
    <col min="1" max="1" width="9.42578125" style="65" customWidth="1"/>
    <col min="2" max="2" width="10.7109375" style="65" customWidth="1"/>
    <col min="3" max="6" width="18.7109375" style="65" customWidth="1"/>
    <col min="7" max="7" width="2" style="65" customWidth="1"/>
    <col min="8" max="16384" width="9.140625" style="65"/>
  </cols>
  <sheetData>
    <row r="1" spans="1:13" ht="25.15" customHeight="1" x14ac:dyDescent="0.2">
      <c r="A1" s="583" t="s">
        <v>163</v>
      </c>
      <c r="B1" s="584"/>
      <c r="C1" s="584"/>
      <c r="D1" s="584"/>
      <c r="E1" s="584"/>
      <c r="F1" s="585"/>
      <c r="G1" s="140"/>
      <c r="H1" s="141"/>
      <c r="I1" s="141"/>
      <c r="J1" s="141"/>
      <c r="K1" s="141"/>
      <c r="L1" s="141"/>
      <c r="M1" s="141"/>
    </row>
    <row r="2" spans="1:13" ht="19.149999999999999" customHeight="1" x14ac:dyDescent="0.2">
      <c r="A2" s="586" t="s">
        <v>164</v>
      </c>
      <c r="B2" s="587"/>
      <c r="C2" s="587"/>
      <c r="D2" s="587"/>
      <c r="E2" s="587"/>
      <c r="F2" s="588"/>
      <c r="G2" s="142"/>
      <c r="H2" s="143"/>
      <c r="I2" s="143"/>
      <c r="J2" s="143"/>
      <c r="K2" s="143"/>
      <c r="L2" s="143"/>
      <c r="M2" s="143"/>
    </row>
    <row r="3" spans="1:13" ht="15.75" x14ac:dyDescent="0.25">
      <c r="A3" s="594" t="s">
        <v>0</v>
      </c>
      <c r="B3" s="595"/>
      <c r="C3" s="144">
        <f>'Data Entry'!$C$1</f>
        <v>0</v>
      </c>
      <c r="D3" s="596" t="str">
        <f>IF('Data Calculations'!B83,"Extended Distance","")</f>
        <v/>
      </c>
      <c r="E3" s="596"/>
      <c r="F3" s="146"/>
      <c r="G3" s="147"/>
      <c r="I3" s="34"/>
    </row>
    <row r="4" spans="1:13" ht="15.75" x14ac:dyDescent="0.25">
      <c r="A4" s="594" t="s">
        <v>1</v>
      </c>
      <c r="B4" s="595"/>
      <c r="C4" s="148">
        <f>'Data Entry'!C2</f>
        <v>0</v>
      </c>
      <c r="D4" s="453" t="str">
        <f>IF('Data Calculations'!B179,"Shielding","")</f>
        <v/>
      </c>
      <c r="E4" s="145" t="str">
        <f>IF('Data Calculations'!B94,"Bolus","")</f>
        <v/>
      </c>
      <c r="F4" s="150"/>
      <c r="G4" s="147"/>
      <c r="I4" s="34"/>
    </row>
    <row r="5" spans="1:13" ht="15.75" x14ac:dyDescent="0.25">
      <c r="A5" s="599" t="s">
        <v>2</v>
      </c>
      <c r="B5" s="600"/>
      <c r="C5" s="600"/>
      <c r="D5" s="151" t="str">
        <f>CONCATENATE(TEXT('Data Entry'!C4,"0.#")," / ",TEXT('Data Entry'!C5,0))</f>
        <v>0. / 0</v>
      </c>
      <c r="E5" s="149"/>
      <c r="F5" s="150"/>
      <c r="G5" s="147"/>
      <c r="I5" s="34"/>
    </row>
    <row r="6" spans="1:13" ht="18.75" thickBot="1" x14ac:dyDescent="0.3">
      <c r="A6" s="597" t="s">
        <v>161</v>
      </c>
      <c r="B6" s="598"/>
      <c r="C6" s="152">
        <f>'Data Entry'!C3</f>
        <v>0</v>
      </c>
      <c r="D6" s="590" t="str">
        <f ca="1">IF('Data Calculations'!C229,"","DATA ERROR!!!")</f>
        <v/>
      </c>
      <c r="E6" s="590"/>
      <c r="F6" s="153"/>
      <c r="G6" s="147"/>
      <c r="I6" s="34"/>
    </row>
    <row r="7" spans="1:13" ht="13.5" thickBot="1" x14ac:dyDescent="0.25">
      <c r="A7" s="582" t="s">
        <v>159</v>
      </c>
      <c r="B7" s="582"/>
      <c r="C7" s="415">
        <f>'Data Entry'!C$8</f>
        <v>0</v>
      </c>
      <c r="D7" s="416">
        <f>'Data Entry'!D$8</f>
        <v>0</v>
      </c>
      <c r="E7" s="416">
        <f>'Data Entry'!E$8</f>
        <v>0</v>
      </c>
      <c r="F7" s="417">
        <f>'Data Entry'!F$8</f>
        <v>0</v>
      </c>
      <c r="G7" s="1"/>
    </row>
    <row r="8" spans="1:13" ht="13.5" thickTop="1" x14ac:dyDescent="0.2">
      <c r="A8" s="593" t="s">
        <v>14</v>
      </c>
      <c r="B8" s="593"/>
      <c r="C8" s="418" t="e">
        <f>'Data Entry'!C$9*100</f>
        <v>#VALUE!</v>
      </c>
      <c r="D8" s="419" t="e">
        <f>'Data Entry'!D$9*100</f>
        <v>#VALUE!</v>
      </c>
      <c r="E8" s="419" t="e">
        <f>'Data Entry'!E$9*100</f>
        <v>#VALUE!</v>
      </c>
      <c r="F8" s="420" t="e">
        <f>'Data Entry'!F$9*100</f>
        <v>#VALUE!</v>
      </c>
      <c r="G8" s="1"/>
      <c r="I8" s="34"/>
    </row>
    <row r="9" spans="1:13" x14ac:dyDescent="0.2">
      <c r="A9" s="572" t="s">
        <v>154</v>
      </c>
      <c r="B9" s="572"/>
      <c r="C9" s="421" t="str">
        <f>'Data Entry'!C10</f>
        <v/>
      </c>
      <c r="D9" s="93" t="str">
        <f>'Data Entry'!D10</f>
        <v/>
      </c>
      <c r="E9" s="93" t="str">
        <f>'Data Entry'!E10</f>
        <v/>
      </c>
      <c r="F9" s="422" t="str">
        <f>'Data Entry'!F10</f>
        <v/>
      </c>
      <c r="G9" s="1"/>
    </row>
    <row r="10" spans="1:13" x14ac:dyDescent="0.2">
      <c r="A10" s="572" t="s">
        <v>149</v>
      </c>
      <c r="B10" s="572"/>
      <c r="C10" s="423" t="str">
        <f>'Data Entry'!C11</f>
        <v/>
      </c>
      <c r="D10" s="424" t="str">
        <f>'Data Entry'!D11</f>
        <v/>
      </c>
      <c r="E10" s="424" t="str">
        <f>'Data Entry'!E11</f>
        <v/>
      </c>
      <c r="F10" s="425" t="str">
        <f>'Data Entry'!F11</f>
        <v/>
      </c>
      <c r="G10" s="1"/>
    </row>
    <row r="11" spans="1:13" x14ac:dyDescent="0.2">
      <c r="A11" s="572" t="s">
        <v>3</v>
      </c>
      <c r="B11" s="572"/>
      <c r="C11" s="421" t="str">
        <f>'Data Entry'!C12</f>
        <v/>
      </c>
      <c r="D11" s="93" t="str">
        <f>'Data Entry'!D12</f>
        <v/>
      </c>
      <c r="E11" s="93" t="str">
        <f>'Data Entry'!E12</f>
        <v/>
      </c>
      <c r="F11" s="422" t="str">
        <f>'Data Entry'!F12</f>
        <v/>
      </c>
      <c r="G11" s="1"/>
    </row>
    <row r="12" spans="1:13" x14ac:dyDescent="0.2">
      <c r="A12" s="572" t="s">
        <v>70</v>
      </c>
      <c r="B12" s="572"/>
      <c r="C12" s="426" t="str">
        <f>'Data Entry'!C14</f>
        <v/>
      </c>
      <c r="D12" s="427" t="str">
        <f>'Data Entry'!D14</f>
        <v/>
      </c>
      <c r="E12" s="427" t="str">
        <f>'Data Entry'!E14</f>
        <v/>
      </c>
      <c r="F12" s="428" t="str">
        <f>'Data Entry'!F14</f>
        <v/>
      </c>
      <c r="G12" s="1"/>
    </row>
    <row r="13" spans="1:13" x14ac:dyDescent="0.2">
      <c r="A13" s="572" t="s">
        <v>182</v>
      </c>
      <c r="B13" s="572"/>
      <c r="C13" s="421">
        <f>'Data Entry'!C15</f>
        <v>0</v>
      </c>
      <c r="D13" s="93">
        <f>'Data Entry'!D15</f>
        <v>0</v>
      </c>
      <c r="E13" s="93">
        <f>'Data Entry'!E15</f>
        <v>0</v>
      </c>
      <c r="F13" s="422">
        <f>'Data Entry'!F15</f>
        <v>0</v>
      </c>
      <c r="G13" s="1"/>
    </row>
    <row r="14" spans="1:13" x14ac:dyDescent="0.2">
      <c r="A14" s="591" t="str">
        <f>IF('Data Calculations'!$B$83,"Collimator (cm) X×Y","")</f>
        <v/>
      </c>
      <c r="B14" s="592"/>
      <c r="C14" s="426" t="str">
        <f>'Data Entry'!C31</f>
        <v/>
      </c>
      <c r="D14" s="427" t="str">
        <f>'Data Entry'!D31</f>
        <v/>
      </c>
      <c r="E14" s="427" t="str">
        <f>'Data Entry'!E31</f>
        <v/>
      </c>
      <c r="F14" s="428" t="str">
        <f>'Data Entry'!F31</f>
        <v/>
      </c>
      <c r="G14" s="1"/>
    </row>
    <row r="15" spans="1:13" x14ac:dyDescent="0.2">
      <c r="A15" s="572" t="s">
        <v>140</v>
      </c>
      <c r="B15" s="572"/>
      <c r="C15" s="426" t="str">
        <f>'Data Entry'!C32</f>
        <v/>
      </c>
      <c r="D15" s="427" t="str">
        <f>'Data Entry'!D32</f>
        <v/>
      </c>
      <c r="E15" s="427" t="str">
        <f>'Data Entry'!E32</f>
        <v/>
      </c>
      <c r="F15" s="428" t="str">
        <f>'Data Entry'!F32</f>
        <v/>
      </c>
      <c r="G15" s="1"/>
    </row>
    <row r="16" spans="1:13" ht="14.25" x14ac:dyDescent="0.2">
      <c r="A16" s="572" t="s">
        <v>68</v>
      </c>
      <c r="B16" s="572"/>
      <c r="C16" s="421" t="str">
        <f>'Data Entry'!C33</f>
        <v/>
      </c>
      <c r="D16" s="93" t="str">
        <f>'Data Entry'!D33</f>
        <v/>
      </c>
      <c r="E16" s="93" t="str">
        <f>'Data Entry'!E33</f>
        <v/>
      </c>
      <c r="F16" s="422" t="str">
        <f>'Data Entry'!F33</f>
        <v/>
      </c>
      <c r="G16" s="1"/>
    </row>
    <row r="17" spans="1:7" x14ac:dyDescent="0.2">
      <c r="A17" s="572" t="s">
        <v>5</v>
      </c>
      <c r="B17" s="572"/>
      <c r="C17" s="421" t="str">
        <f>'Data Entry'!C19</f>
        <v/>
      </c>
      <c r="D17" s="93" t="str">
        <f>'Data Entry'!D19</f>
        <v/>
      </c>
      <c r="E17" s="93" t="str">
        <f>'Data Entry'!E19</f>
        <v/>
      </c>
      <c r="F17" s="422" t="str">
        <f>'Data Entry'!F19</f>
        <v/>
      </c>
      <c r="G17" s="1"/>
    </row>
    <row r="18" spans="1:7" x14ac:dyDescent="0.2">
      <c r="A18" s="572" t="str">
        <f>IF('Data Calculations'!B94,"Bolus Thickness (cm)","")</f>
        <v/>
      </c>
      <c r="B18" s="572"/>
      <c r="C18" s="421" t="str">
        <f>'Data Entry'!C22</f>
        <v/>
      </c>
      <c r="D18" s="93" t="str">
        <f>'Data Entry'!D22</f>
        <v/>
      </c>
      <c r="E18" s="93" t="str">
        <f>'Data Entry'!E22</f>
        <v/>
      </c>
      <c r="F18" s="422" t="str">
        <f>'Data Entry'!F22</f>
        <v/>
      </c>
      <c r="G18" s="1"/>
    </row>
    <row r="19" spans="1:7" x14ac:dyDescent="0.2">
      <c r="A19" s="589" t="str">
        <f>IF('Data Calculations'!B103,'Data Entry'!B23,"")</f>
        <v/>
      </c>
      <c r="B19" s="589"/>
      <c r="C19" s="421">
        <f>'Data Entry'!C23</f>
        <v>0</v>
      </c>
      <c r="D19" s="93">
        <f>'Data Entry'!D23</f>
        <v>0</v>
      </c>
      <c r="E19" s="93">
        <f>'Data Entry'!E23</f>
        <v>0</v>
      </c>
      <c r="F19" s="422">
        <f>'Data Entry'!F23</f>
        <v>0</v>
      </c>
      <c r="G19" s="1"/>
    </row>
    <row r="20" spans="1:7" ht="13.5" thickBot="1" x14ac:dyDescent="0.25">
      <c r="A20" s="572" t="s">
        <v>6</v>
      </c>
      <c r="B20" s="572"/>
      <c r="C20" s="429" t="str">
        <f>'Data Entry'!C24</f>
        <v/>
      </c>
      <c r="D20" s="430" t="str">
        <f>'Data Entry'!D24</f>
        <v/>
      </c>
      <c r="E20" s="430" t="str">
        <f>'Data Entry'!E24</f>
        <v/>
      </c>
      <c r="F20" s="431" t="str">
        <f>'Data Entry'!F24</f>
        <v/>
      </c>
      <c r="G20" s="1"/>
    </row>
    <row r="21" spans="1:7" ht="15" customHeight="1" x14ac:dyDescent="0.2">
      <c r="A21" s="573" t="s">
        <v>7</v>
      </c>
      <c r="B21" s="573"/>
      <c r="C21" s="432">
        <v>1</v>
      </c>
      <c r="D21" s="433">
        <v>1</v>
      </c>
      <c r="E21" s="433">
        <v>1</v>
      </c>
      <c r="F21" s="434">
        <v>1</v>
      </c>
      <c r="G21" s="1"/>
    </row>
    <row r="22" spans="1:7" x14ac:dyDescent="0.2">
      <c r="A22" s="574" t="s">
        <v>8</v>
      </c>
      <c r="B22" s="574"/>
      <c r="C22" s="435" t="str">
        <f>'Data Entry'!C36</f>
        <v/>
      </c>
      <c r="D22" s="436" t="str">
        <f>'Data Entry'!D36</f>
        <v/>
      </c>
      <c r="E22" s="436" t="str">
        <f>'Data Entry'!E36</f>
        <v/>
      </c>
      <c r="F22" s="437" t="str">
        <f>'Data Entry'!F36</f>
        <v/>
      </c>
      <c r="G22" s="1"/>
    </row>
    <row r="23" spans="1:7" x14ac:dyDescent="0.2">
      <c r="A23" s="575" t="str">
        <f>'Data Entry'!B37</f>
        <v>RDF</v>
      </c>
      <c r="B23" s="576"/>
      <c r="C23" s="435" t="str">
        <f>'Data Entry'!C37</f>
        <v/>
      </c>
      <c r="D23" s="436" t="str">
        <f>'Data Entry'!D37</f>
        <v/>
      </c>
      <c r="E23" s="436" t="str">
        <f>'Data Entry'!E37</f>
        <v/>
      </c>
      <c r="F23" s="437" t="str">
        <f>'Data Entry'!F37</f>
        <v/>
      </c>
      <c r="G23" s="1"/>
    </row>
    <row r="24" spans="1:7" x14ac:dyDescent="0.2">
      <c r="A24" s="575" t="str">
        <f>'Data Entry'!B38</f>
        <v/>
      </c>
      <c r="B24" s="576"/>
      <c r="C24" s="435" t="str">
        <f>'Data Entry'!C38</f>
        <v/>
      </c>
      <c r="D24" s="436" t="str">
        <f>'Data Entry'!D38</f>
        <v/>
      </c>
      <c r="E24" s="436" t="str">
        <f>'Data Entry'!E38</f>
        <v/>
      </c>
      <c r="F24" s="437" t="str">
        <f>'Data Entry'!F38</f>
        <v/>
      </c>
      <c r="G24" s="1"/>
    </row>
    <row r="25" spans="1:7" x14ac:dyDescent="0.2">
      <c r="A25" s="575" t="str">
        <f>'Data Entry'!B39</f>
        <v/>
      </c>
      <c r="B25" s="576"/>
      <c r="C25" s="435" t="str">
        <f>'Data Entry'!C39</f>
        <v/>
      </c>
      <c r="D25" s="436" t="str">
        <f>'Data Entry'!D39</f>
        <v/>
      </c>
      <c r="E25" s="436" t="str">
        <f>'Data Entry'!E39</f>
        <v/>
      </c>
      <c r="F25" s="437" t="str">
        <f>'Data Entry'!F39</f>
        <v/>
      </c>
      <c r="G25" s="1"/>
    </row>
    <row r="26" spans="1:7" x14ac:dyDescent="0.2">
      <c r="A26" s="575" t="str">
        <f>'Data Entry'!B40</f>
        <v/>
      </c>
      <c r="B26" s="576"/>
      <c r="C26" s="435" t="str">
        <f>'Data Entry'!C40</f>
        <v/>
      </c>
      <c r="D26" s="436" t="str">
        <f>'Data Entry'!D40</f>
        <v/>
      </c>
      <c r="E26" s="436" t="str">
        <f>'Data Entry'!E40</f>
        <v/>
      </c>
      <c r="F26" s="437" t="str">
        <f>'Data Entry'!F40</f>
        <v/>
      </c>
      <c r="G26" s="1"/>
    </row>
    <row r="27" spans="1:7" ht="13.15" customHeight="1" x14ac:dyDescent="0.2">
      <c r="A27" s="578" t="s">
        <v>10</v>
      </c>
      <c r="B27" s="578"/>
      <c r="C27" s="426"/>
      <c r="D27" s="427"/>
      <c r="E27" s="427"/>
      <c r="F27" s="428"/>
      <c r="G27" s="1"/>
    </row>
    <row r="28" spans="1:7" x14ac:dyDescent="0.2">
      <c r="A28" s="578" t="s">
        <v>11</v>
      </c>
      <c r="B28" s="578"/>
      <c r="C28" s="435"/>
      <c r="D28" s="436"/>
      <c r="E28" s="436"/>
      <c r="F28" s="437"/>
      <c r="G28" s="1"/>
    </row>
    <row r="29" spans="1:7" x14ac:dyDescent="0.2">
      <c r="A29" s="579" t="str">
        <f>'Data Entry'!B35</f>
        <v/>
      </c>
      <c r="B29" s="579"/>
      <c r="C29" s="435" t="str">
        <f>'Data Entry'!C35</f>
        <v/>
      </c>
      <c r="D29" s="436" t="str">
        <f>'Data Entry'!D35</f>
        <v/>
      </c>
      <c r="E29" s="436" t="str">
        <f>'Data Entry'!E35</f>
        <v/>
      </c>
      <c r="F29" s="437" t="str">
        <f>'Data Entry'!F35</f>
        <v/>
      </c>
      <c r="G29" s="1"/>
    </row>
    <row r="30" spans="1:7" x14ac:dyDescent="0.2">
      <c r="A30" s="579" t="str">
        <f>'Data Entry'!B41</f>
        <v/>
      </c>
      <c r="B30" s="579"/>
      <c r="C30" s="435" t="str">
        <f>'Data Entry'!C41</f>
        <v/>
      </c>
      <c r="D30" s="436" t="str">
        <f>'Data Entry'!D41</f>
        <v/>
      </c>
      <c r="E30" s="436" t="str">
        <f>'Data Entry'!E41</f>
        <v/>
      </c>
      <c r="F30" s="437" t="str">
        <f>'Data Entry'!F41</f>
        <v/>
      </c>
      <c r="G30" s="1"/>
    </row>
    <row r="31" spans="1:7" x14ac:dyDescent="0.2">
      <c r="A31" s="580" t="s">
        <v>252</v>
      </c>
      <c r="B31" s="581"/>
      <c r="C31" s="435"/>
      <c r="D31" s="436"/>
      <c r="E31" s="436"/>
      <c r="F31" s="437"/>
      <c r="G31" s="1"/>
    </row>
    <row r="32" spans="1:7" ht="33.75" customHeight="1" x14ac:dyDescent="0.2">
      <c r="A32" s="577" t="s">
        <v>12</v>
      </c>
      <c r="B32" s="577"/>
      <c r="C32" s="435" t="str">
        <f>'Data Entry'!C44</f>
        <v/>
      </c>
      <c r="D32" s="436" t="str">
        <f>'Data Entry'!D44</f>
        <v/>
      </c>
      <c r="E32" s="436" t="str">
        <f>'Data Entry'!E44</f>
        <v/>
      </c>
      <c r="F32" s="437" t="str">
        <f>'Data Entry'!F44</f>
        <v/>
      </c>
      <c r="G32" s="1"/>
    </row>
    <row r="33" spans="1:7" ht="13.15" customHeight="1" thickBot="1" x14ac:dyDescent="0.3">
      <c r="A33" s="571" t="s">
        <v>13</v>
      </c>
      <c r="B33" s="571"/>
      <c r="C33" s="438" t="str">
        <f>'Data Entry'!C46</f>
        <v/>
      </c>
      <c r="D33" s="439" t="str">
        <f>'Data Entry'!D46</f>
        <v/>
      </c>
      <c r="E33" s="439" t="str">
        <f>'Data Entry'!E46</f>
        <v/>
      </c>
      <c r="F33" s="440" t="str">
        <f>'Data Entry'!F46</f>
        <v/>
      </c>
      <c r="G33" s="1"/>
    </row>
    <row r="34" spans="1:7" ht="15" x14ac:dyDescent="0.25">
      <c r="A34" s="154" t="s">
        <v>360</v>
      </c>
      <c r="F34" s="452">
        <f ca="1">TODAY()</f>
        <v>43418</v>
      </c>
    </row>
  </sheetData>
  <sheetProtection sheet="1" objects="1" scenarios="1"/>
  <mergeCells count="35">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 ref="A7:B7"/>
    <mergeCell ref="A13:B13"/>
    <mergeCell ref="A15:B15"/>
    <mergeCell ref="A16:B16"/>
    <mergeCell ref="A17:B17"/>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s>
  <phoneticPr fontId="0" type="noConversion"/>
  <printOptions horizontalCentered="1" verticalCentered="1"/>
  <pageMargins left="0.39370078740157483" right="0.39370078740157483" top="0.39370078740157483" bottom="0.39370078740157483" header="0.39370078740157483" footer="0.39370078740157483"/>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3" stopIfTrue="1" id="{967E3C0A-14FE-47BF-A659-1A417EA8385D}">
            <xm:f>NOT('Data Calculations'!$D$24)</xm:f>
            <x14:dxf>
              <font>
                <b/>
                <i val="0"/>
                <u/>
                <color theme="9"/>
              </font>
            </x14:dxf>
          </x14:cfRule>
          <xm:sqref>C3</xm:sqref>
        </x14:conditionalFormatting>
        <x14:conditionalFormatting xmlns:xm="http://schemas.microsoft.com/office/excel/2006/main">
          <x14:cfRule type="expression" priority="14" stopIfTrue="1" id="{62242C07-4DBA-448A-AC00-9561CF6A48AA}">
            <xm:f>NOT('Data Calculations'!$D$25)</xm:f>
            <x14:dxf>
              <font>
                <b/>
                <i val="0"/>
                <u/>
                <color theme="9"/>
              </font>
            </x14:dxf>
          </x14:cfRule>
          <xm:sqref>C4</xm:sqref>
        </x14:conditionalFormatting>
        <x14:conditionalFormatting xmlns:xm="http://schemas.microsoft.com/office/excel/2006/main">
          <x14:cfRule type="expression" priority="17" stopIfTrue="1" id="{28F65F69-F9D5-43A6-9326-AB7BF27F599C}">
            <xm:f>NOT('Data Calculations'!C$100)</xm:f>
            <x14:dxf>
              <font>
                <b/>
                <i val="0"/>
                <u/>
                <color theme="9"/>
              </font>
            </x14:dxf>
          </x14:cfRule>
          <xm:sqref>C18:F18</xm:sqref>
        </x14:conditionalFormatting>
        <x14:conditionalFormatting xmlns:xm="http://schemas.microsoft.com/office/excel/2006/main">
          <x14:cfRule type="expression" priority="18" stopIfTrue="1" id="{25890460-B997-42DD-98C0-D8BD06C4A837}">
            <xm:f>NOT('Data Calculations'!C$108)</xm:f>
            <x14:dxf>
              <font>
                <b/>
                <i val="0"/>
                <u/>
                <color theme="9"/>
              </font>
            </x14:dxf>
          </x14:cfRule>
          <xm:sqref>C19:F19</xm:sqref>
        </x14:conditionalFormatting>
        <x14:conditionalFormatting xmlns:xm="http://schemas.microsoft.com/office/excel/2006/main">
          <x14:cfRule type="expression" priority="16" stopIfTrue="1" id="{532BC946-21BB-4208-AC8B-4EFFCA40C3B3}">
            <xm:f>NOT(AND('Data Calculations'!$C$202,'Data Calculations'!$C$206))</xm:f>
            <x14:dxf>
              <font>
                <b/>
                <i val="0"/>
                <u/>
                <color theme="9"/>
              </font>
            </x14:dxf>
          </x14:cfRule>
          <xm:sqref>D5</xm:sqref>
        </x14:conditionalFormatting>
        <x14:conditionalFormatting xmlns:xm="http://schemas.microsoft.com/office/excel/2006/main">
          <x14:cfRule type="expression" priority="19" stopIfTrue="1" id="{1F8D0C02-D218-440A-8B82-E5958D129B6F}">
            <xm:f>NOT('Data Calculations'!C$234)</xm:f>
            <x14:dxf>
              <font>
                <b/>
                <i val="0"/>
                <u/>
                <color theme="9"/>
              </font>
            </x14:dxf>
          </x14:cfRule>
          <xm:sqref>C32:F32</xm:sqref>
        </x14:conditionalFormatting>
        <x14:conditionalFormatting xmlns:xm="http://schemas.microsoft.com/office/excel/2006/main">
          <x14:cfRule type="expression" priority="20" stopIfTrue="1" id="{3BF21DB0-B015-41EA-B84C-84FFB1D3133D}">
            <xm:f>NOT('Data Calculations'!C$238)</xm:f>
            <x14:dxf>
              <font>
                <b/>
                <i val="0"/>
                <u/>
                <color theme="9"/>
              </font>
            </x14:dxf>
          </x14:cfRule>
          <xm:sqref>C33:F33</xm:sqref>
        </x14:conditionalFormatting>
        <x14:conditionalFormatting xmlns:xm="http://schemas.microsoft.com/office/excel/2006/main">
          <x14:cfRule type="expression" priority="1" stopIfTrue="1" id="{02AB4D66-12FF-419C-A0CB-6EC9FF32B019}">
            <xm:f>NOT('Data Calculations'!$D$26)</xm:f>
            <x14:dxf>
              <font>
                <b/>
                <i val="0"/>
                <u/>
                <color theme="9"/>
              </font>
            </x14:dxf>
          </x14:cfRule>
          <xm:sqref>F4</xm:sqref>
        </x14:conditionalFormatting>
        <x14:conditionalFormatting xmlns:xm="http://schemas.microsoft.com/office/excel/2006/main">
          <x14:cfRule type="expression" priority="1653" stopIfTrue="1" id="{84806D45-9B25-4BDA-B1FB-6081B70275E0}">
            <xm:f>NOT(AND('Data Calculations'!C$34,'Data Calculations'!C$230))</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654" id="{E03E9BFE-E7AB-4E31-8111-CBE04D80E7F1}">
            <xm:f>AND('Data Calculations'!C$34,'Data Calculations'!C$230)</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657" id="{BD7314CE-A80A-4BD1-A443-7A4047E7F301}">
            <xm:f>AND('Data Calculations'!C$34,'Data Calculations'!C$230)</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zoomScale="75" zoomScaleNormal="75" workbookViewId="0">
      <selection sqref="A1:A2"/>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0" t="s">
        <v>17</v>
      </c>
      <c r="B1" s="11" t="s">
        <v>0</v>
      </c>
      <c r="C1" s="607" t="str">
        <f>IF('Data Calculations'!D24,"","Patient Name not text")</f>
        <v>Patient Name not text</v>
      </c>
      <c r="D1" s="607"/>
      <c r="E1" s="607"/>
      <c r="F1" s="607"/>
      <c r="H1" s="47"/>
      <c r="I1" s="4" t="s">
        <v>260</v>
      </c>
    </row>
    <row r="2" spans="1:10" ht="17.100000000000001" customHeight="1" x14ac:dyDescent="0.2">
      <c r="A2" s="551"/>
      <c r="B2" s="5" t="s">
        <v>1</v>
      </c>
      <c r="C2" s="608" t="str">
        <f>IF('Data Calculations'!D25,"","Chart number should be 7 digits")</f>
        <v>Chart number should be 7 digits</v>
      </c>
      <c r="D2" s="608"/>
      <c r="E2" s="608"/>
      <c r="F2" s="608"/>
      <c r="H2" s="6"/>
      <c r="I2" s="7" t="s">
        <v>262</v>
      </c>
    </row>
    <row r="3" spans="1:10" ht="17.100000000000001" customHeight="1" thickBot="1" x14ac:dyDescent="0.25">
      <c r="A3" s="22" t="s">
        <v>160</v>
      </c>
      <c r="B3" s="10" t="s">
        <v>161</v>
      </c>
      <c r="C3" s="559" t="str">
        <f>IF('Data Calculations'!D26,"","Plan ID not text")</f>
        <v>Plan ID not text</v>
      </c>
      <c r="D3" s="559"/>
      <c r="E3" s="559"/>
      <c r="F3" s="559"/>
      <c r="H3" s="26"/>
      <c r="I3" s="4" t="s">
        <v>263</v>
      </c>
    </row>
    <row r="4" spans="1:10" ht="17.100000000000001" customHeight="1" thickTop="1" x14ac:dyDescent="0.2">
      <c r="A4" s="563" t="s">
        <v>16</v>
      </c>
      <c r="B4" s="564"/>
      <c r="C4" s="609" t="str">
        <f>IF('Data Calculations'!C202:F202,"","Total Dose out of expected range")</f>
        <v>Total Dose out of expected range</v>
      </c>
      <c r="D4" s="609"/>
      <c r="E4" s="609"/>
      <c r="F4" s="609"/>
      <c r="H4" s="55"/>
      <c r="I4" s="7" t="s">
        <v>181</v>
      </c>
    </row>
    <row r="5" spans="1:10" ht="17.100000000000001" customHeight="1" thickBot="1" x14ac:dyDescent="0.3">
      <c r="A5" s="567" t="s">
        <v>15</v>
      </c>
      <c r="B5" s="568"/>
      <c r="C5" s="602" t="str">
        <f>IF('Data Calculations'!C206:F206,"","# Fractions out of expected range")</f>
        <v># Fractions out of expected range</v>
      </c>
      <c r="D5" s="602"/>
      <c r="E5" s="602"/>
      <c r="F5" s="602"/>
      <c r="H5" s="361">
        <v>0</v>
      </c>
      <c r="I5" s="4" t="s">
        <v>221</v>
      </c>
    </row>
    <row r="6" spans="1:10" ht="17.100000000000001" customHeight="1" thickTop="1" x14ac:dyDescent="0.2">
      <c r="A6" s="402"/>
      <c r="B6" s="402"/>
      <c r="C6" s="403"/>
      <c r="D6" s="403"/>
      <c r="E6" s="403"/>
      <c r="F6" s="403"/>
      <c r="H6" s="13"/>
      <c r="I6" s="4" t="s">
        <v>261</v>
      </c>
    </row>
    <row r="7" spans="1:10" ht="17.100000000000001" customHeight="1" thickBot="1" x14ac:dyDescent="0.3">
      <c r="A7" s="404"/>
      <c r="B7" s="404"/>
      <c r="C7" s="404"/>
      <c r="D7" s="601"/>
      <c r="E7" s="601"/>
      <c r="F7" s="601"/>
      <c r="H7" s="390">
        <v>0</v>
      </c>
      <c r="I7" s="4" t="s">
        <v>336</v>
      </c>
    </row>
    <row r="8" spans="1:10" ht="33" customHeight="1" thickTop="1" x14ac:dyDescent="0.25">
      <c r="A8" s="553" t="s">
        <v>148</v>
      </c>
      <c r="B8" s="365" t="s">
        <v>19</v>
      </c>
      <c r="C8" s="369" t="str">
        <f>IF(ISBLANK('Data Entry'!C$8 ),
          "",
          IF('Data Calculations'!C$34,
                    "",
                    "Field Names must be unique and not all spaces"))</f>
        <v/>
      </c>
      <c r="D8" s="369" t="str">
        <f>IF(ISBLANK('Data Entry'!D$8 ),
          "",
          IF('Data Calculations'!D$34,
                    "",
                    "Field Names must be unique and not all spaces"))</f>
        <v/>
      </c>
      <c r="E8" s="369" t="str">
        <f>IF(ISBLANK('Data Entry'!E$8 ),
          "",
          IF('Data Calculations'!E$34,
                    "",
                    "Field Names must be unique and not all spaces"))</f>
        <v/>
      </c>
      <c r="F8" s="369" t="str">
        <f>IF(ISBLANK('Data Entry'!F$8 ),
          "",
          IF('Data Calculations'!F$34,
                    "",
                    "Field Names must be unique and not all spaces"))</f>
        <v/>
      </c>
      <c r="H8" s="364">
        <v>0</v>
      </c>
      <c r="I8" s="4" t="s">
        <v>335</v>
      </c>
    </row>
    <row r="9" spans="1:10" ht="33" customHeight="1" x14ac:dyDescent="0.25">
      <c r="A9" s="554"/>
      <c r="B9" s="366" t="s">
        <v>165</v>
      </c>
      <c r="C9" s="392" t="str">
        <f>IF('Data Calculations'!C$34,
          IF('Data Calculations'!C$211,
                    IF('Data Calculations'!$C$213,
                              IF('Data Calculations'!C$210,
                                        "",
                                        "Manual Beam Weight"),
                              "Beam Weight Total does not add up to 1"),
                    "Beam Weight must be between 0 and 1"),
          "Not Used")</f>
        <v>Not Used</v>
      </c>
      <c r="D9" s="392" t="str">
        <f>IF('Data Calculations'!D$34,
          IF('Data Calculations'!D$211,
                    IF('Data Calculations'!$C$213,
                              IF('Data Calculations'!D$210,
                                        "",
                                        "Manual Beam Weight"),
                              "Beam Weight Total does not add up to 1"),
                    "Beam Weight must be between 0 and 1"),
          "Not Used")</f>
        <v>Not Used</v>
      </c>
      <c r="E9" s="392" t="str">
        <f>IF('Data Calculations'!E$34,
          IF('Data Calculations'!E$211,
                    IF('Data Calculations'!$C$213,
                              IF('Data Calculations'!E$210,
                                        "",
                                        "Manual Beam Weight"),
                              "Beam Weight Total does not add up to 1"),
                    "Beam Weight must be between 0 and 1"),
          "Not Used")</f>
        <v>Not Used</v>
      </c>
      <c r="F9" s="392" t="str">
        <f>IF('Data Calculations'!F$34,
          IF('Data Calculations'!F$211,
                    IF('Data Calculations'!$C$213,
                              IF('Data Calculations'!F$210,
                                        "",
                                        "Manual Beam Weight"),
                              "Beam Weight Total does not add up to 1"),
                    "Beam Weight must be between 0 and 1"),
          "Not Used")</f>
        <v>Not Used</v>
      </c>
      <c r="H9" s="391">
        <v>0</v>
      </c>
      <c r="I9" s="4" t="s">
        <v>334</v>
      </c>
      <c r="J9" s="8"/>
    </row>
    <row r="10" spans="1:10" ht="33" customHeight="1" x14ac:dyDescent="0.2">
      <c r="A10" s="554"/>
      <c r="B10" s="366" t="s">
        <v>113</v>
      </c>
      <c r="C10" s="393" t="str">
        <f>IF('Data Calculations'!C34,"","Not Used")</f>
        <v>Not Used</v>
      </c>
      <c r="D10" s="393" t="str">
        <f>IF('Data Calculations'!D34,"","Not Used")</f>
        <v>Not Used</v>
      </c>
      <c r="E10" s="393" t="str">
        <f>IF('Data Calculations'!E34,"","Not Used")</f>
        <v>Not Used</v>
      </c>
      <c r="F10" s="393" t="str">
        <f>IF('Data Calculations'!F34,"","Not Used")</f>
        <v>Not Used</v>
      </c>
    </row>
    <row r="11" spans="1:10" ht="33" customHeight="1" x14ac:dyDescent="0.2">
      <c r="A11" s="554"/>
      <c r="B11" s="366" t="s">
        <v>179</v>
      </c>
      <c r="C11" s="393" t="str">
        <f>IF('Data Calculations'!C34,"","Not Used")</f>
        <v>Not Used</v>
      </c>
      <c r="D11" s="393" t="str">
        <f>IF('Data Calculations'!D34,"","Not Used")</f>
        <v>Not Used</v>
      </c>
      <c r="E11" s="393" t="str">
        <f>IF('Data Calculations'!E34,"","Not Used")</f>
        <v>Not Used</v>
      </c>
      <c r="F11" s="393" t="str">
        <f>IF('Data Calculations'!F34,"","Not Used")</f>
        <v>Not Used</v>
      </c>
    </row>
    <row r="12" spans="1:10" ht="12" customHeight="1" x14ac:dyDescent="0.2">
      <c r="A12" s="605"/>
      <c r="B12" s="413"/>
      <c r="C12" s="414"/>
      <c r="D12" s="414"/>
      <c r="E12" s="414"/>
      <c r="F12" s="414"/>
    </row>
    <row r="13" spans="1:10" ht="33" customHeight="1" thickBot="1" x14ac:dyDescent="0.25">
      <c r="A13" s="555"/>
      <c r="B13" s="367" t="s">
        <v>70</v>
      </c>
      <c r="C13" s="370" t="str">
        <f>IF('Data Calculations'!C$34,
          IF('Data Calculations'!C$72,
                    "",
                    "Beam Energy not valid"),
          "Not Used")</f>
        <v>Not Used</v>
      </c>
      <c r="D13" s="370" t="str">
        <f>IF('Data Calculations'!D$34,
          IF('Data Calculations'!D$72,
                    "",
                    "Beam Energy not valid"),
          "Not Used")</f>
        <v>Not Used</v>
      </c>
      <c r="E13" s="370" t="str">
        <f>IF('Data Calculations'!E$34,
          IF('Data Calculations'!E$72,
                    "",
                    "Beam Energy not valid"),
          "Not Used")</f>
        <v>Not Used</v>
      </c>
      <c r="F13" s="370" t="str">
        <f>IF('Data Calculations'!F$34,
          IF('Data Calculations'!F$72,
                    "",
                    "Beam Energy not valid"),
          "Not Used")</f>
        <v>Not Used</v>
      </c>
    </row>
    <row r="14" spans="1:10" ht="65.25" customHeight="1" thickTop="1" x14ac:dyDescent="0.2">
      <c r="A14" s="554" t="s">
        <v>333</v>
      </c>
      <c r="B14" s="382" t="s">
        <v>182</v>
      </c>
      <c r="C14" s="383" t="str">
        <f>IF('Data Calculations'!C$34,
          IF('Data Calculations'!C$86,
                    IF('Data Calculations'!C$115,
                              "",
                              "Depth not in valid range"),
                    "SSD must be less than 100, or Extended distance must be enabled"),
           "Not Used")</f>
        <v>Not Used</v>
      </c>
      <c r="D14" s="383" t="str">
        <f>IF('Data Calculations'!D$34,
          IF('Data Calculations'!D$86,
                    IF('Data Calculations'!D$115,
                              "",
                              "Depth not in valid range"),
                    "SSD must be less than 100, or Extended distance must be enabled"),
           "Not Used")</f>
        <v>Not Used</v>
      </c>
      <c r="E14" s="383" t="str">
        <f>IF('Data Calculations'!E$34,
          IF('Data Calculations'!E$86,
                    IF('Data Calculations'!E$115,
                              "",
                              "Depth not in valid range"),
                    "SSD must be less than 100, or Extended distance must be enabled"),
           "Not Used")</f>
        <v>Not Used</v>
      </c>
      <c r="F14" s="383" t="str">
        <f>IF('Data Calculations'!F$34,
          IF('Data Calculations'!F$86,
                    IF('Data Calculations'!F$115,
                              "",
                              "Depth not in valid range"),
                    "SSD must be less than 100, or Extended distance must be enabled"),
           "Not Used")</f>
        <v>Not Used</v>
      </c>
    </row>
    <row r="15" spans="1:10" ht="33" customHeight="1" x14ac:dyDescent="0.2">
      <c r="A15" s="554"/>
      <c r="B15" s="366" t="s">
        <v>324</v>
      </c>
      <c r="C15" s="371" t="str">
        <f>IF('Data Calculations'!C$34,
          IF('Data Calculations'!C$87,
                    IF('Data Calculations'!C$115,
                                 "",
                              "Depth not in valid range"),
                      "Not Used"),
          "Not Used")</f>
        <v>Not Used</v>
      </c>
      <c r="D15" s="371" t="str">
        <f>IF('Data Calculations'!D$34,
          IF('Data Calculations'!D$87,
                    IF('Data Calculations'!D$115,
                                 "",
                              "Depth not in valid range"),
                      "Not Used"),
          "Not Used")</f>
        <v>Not Used</v>
      </c>
      <c r="E15" s="371" t="str">
        <f>IF('Data Calculations'!E$34,
          IF('Data Calculations'!E$87,
                    IF('Data Calculations'!E$115,
                                 "",
                              "Depth not in valid range"),
                      "Not Used"),
          "Not Used")</f>
        <v>Not Used</v>
      </c>
      <c r="F15" s="371" t="str">
        <f>IF('Data Calculations'!F$34,
          IF('Data Calculations'!F$87,
                    IF('Data Calculations'!F$115,
                                 "",
                              "Depth not in valid range"),
                      "Not Used"),
          "Not Used")</f>
        <v>Not Used</v>
      </c>
    </row>
    <row r="16" spans="1:10" ht="33" customHeight="1" x14ac:dyDescent="0.2">
      <c r="A16" s="554"/>
      <c r="B16" s="366" t="s">
        <v>219</v>
      </c>
      <c r="C16" s="394" t="str">
        <f>IF('Data Calculations'!C$34,
          IF('Data Calculations'!C$87,
                    "",
                    "Not Used"),
          "Not Used")</f>
        <v>Not Used</v>
      </c>
      <c r="D16" s="395" t="str">
        <f>IF('Data Calculations'!D$34,
          IF('Data Calculations'!D$87,
                    "",
                    "Not Used"),
          "Not Used")</f>
        <v>Not Used</v>
      </c>
      <c r="E16" s="395" t="str">
        <f>IF('Data Calculations'!E$34,
          IF('Data Calculations'!E$87,
                    "",
                    "Not Used"),
          "Not Used")</f>
        <v>Not Used</v>
      </c>
      <c r="F16" s="395" t="str">
        <f>IF('Data Calculations'!F$34,
          IF('Data Calculations'!F$87,
                    "",
                    "Not Used"),
          "Not Used")</f>
        <v>Not Used</v>
      </c>
    </row>
    <row r="17" spans="1:6" ht="33" customHeight="1" x14ac:dyDescent="0.2">
      <c r="A17" s="554"/>
      <c r="B17" s="366" t="s">
        <v>138</v>
      </c>
      <c r="C17" s="372" t="str">
        <f>IF('Data Calculations'!C$34,
          IF('Data Calculations'!C$87,
                    "",
                    "Not Used"),
          "Not Used")</f>
        <v>Not Used</v>
      </c>
      <c r="D17" s="372" t="str">
        <f>IF('Data Calculations'!D$34,
          IF('Data Calculations'!D$87,
                    "",
                    "Not Used"),
          "Not Used")</f>
        <v>Not Used</v>
      </c>
      <c r="E17" s="372" t="str">
        <f>IF('Data Calculations'!E$34,
          IF('Data Calculations'!E$87,
                    "",
                    "Not Used"),
          "Not Used")</f>
        <v>Not Used</v>
      </c>
      <c r="F17" s="372" t="str">
        <f>IF('Data Calculations'!F$34,
          IF('Data Calculations'!F$87,
                    "",
                    "Not Used"),
          "Not Used")</f>
        <v>Not Used</v>
      </c>
    </row>
    <row r="18" spans="1:6" ht="33" customHeight="1" thickBot="1" x14ac:dyDescent="0.25">
      <c r="A18" s="555"/>
      <c r="B18" s="367" t="s">
        <v>5</v>
      </c>
      <c r="C18" s="396" t="str">
        <f>IF('Data Calculations'!C$34,
          IF('Data Calculations'!C$115,
                    "",
                    "Depth not in valid range"),
          "Not Used")</f>
        <v>Not Used</v>
      </c>
      <c r="D18" s="396" t="str">
        <f>IF('Data Calculations'!D$34,
          IF('Data Calculations'!D$115,
                    "",
                    "Depth not in valid range"),
          "Not Used")</f>
        <v>Not Used</v>
      </c>
      <c r="E18" s="396" t="str">
        <f>IF('Data Calculations'!E$34,
          IF('Data Calculations'!E$115,
                    "",
                    "Depth not in valid range"),
          "Not Used")</f>
        <v>Not Used</v>
      </c>
      <c r="F18" s="396" t="str">
        <f>IF('Data Calculations'!F$34,
          IF('Data Calculations'!F$115,
                    "",
                    "Depth not in valid range"),
          "Not Used")</f>
        <v>Not Used</v>
      </c>
    </row>
    <row r="19" spans="1:6" ht="51.75" customHeight="1" thickTop="1" x14ac:dyDescent="0.2">
      <c r="A19" s="553" t="s">
        <v>69</v>
      </c>
      <c r="B19" s="365" t="s">
        <v>186</v>
      </c>
      <c r="C19" s="373" t="str">
        <f>IF('Data Calculations'!C$34,
          IF('Data Calculations'!C$96,
                    IF('Data Calculations'!C$101,
                               IF('Data Calculations'!C$100,
                                        "",
                                        "Effective Thickness larger than expected"),
                              "Effective Thickness less than Nominal Thickness"),
                    "Not Used"),
          "Not Used")</f>
        <v>Not Used</v>
      </c>
      <c r="D19" s="373" t="str">
        <f>IF('Data Calculations'!D$34,
          IF('Data Calculations'!D$96,
                    IF('Data Calculations'!D$101,
                               IF('Data Calculations'!D$100,
                                        "",
                                        "Effective Thickness larger than expected"),
                              "Effective Thickness less than Nominal Thickness"),
                    "Not Used"),
          "Not Used")</f>
        <v>Not Used</v>
      </c>
      <c r="E19" s="373" t="str">
        <f>IF('Data Calculations'!E$34,
          IF('Data Calculations'!E$96,
                    IF('Data Calculations'!E$101,
                               IF('Data Calculations'!E$100,
                                        "",
                                        "Effective Thickness larger than expected"),
                              "Effective Thickness less than Nominal Thickness"),
                    "Not Used"),
          "Not Used")</f>
        <v>Not Used</v>
      </c>
      <c r="F19" s="373"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54"/>
      <c r="B20" s="18" t="s">
        <v>325</v>
      </c>
      <c r="C20" s="371"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71"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71"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71"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55"/>
      <c r="B21" s="366" t="s">
        <v>282</v>
      </c>
      <c r="C21" s="397"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97"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97"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97"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363" t="s">
        <v>20</v>
      </c>
      <c r="B22" s="380"/>
      <c r="C22" s="374" t="str">
        <f>IF('Data Calculations'!C$34,
          IF('Data Calculations'!$B$103,
                    IF('Data Calculations'!C$108,
                              IF('Data Calculations'!C$115,
                                        "",
                                        "Depth not in valid range"),
                              "Other Depth larger than expected"),
                     "Not Used"),
          "Not Used")</f>
        <v>Not Used</v>
      </c>
      <c r="D22" s="374" t="str">
        <f>IF('Data Calculations'!D$34,
          IF('Data Calculations'!$B$103,
                    IF('Data Calculations'!D$108,
                              IF('Data Calculations'!D$115,
                                        "",
                                        "Depth not in valid range"),
                              "Other Depth larger than expected"),
                     "Not Used"),
          "Not Used")</f>
        <v>Not Used</v>
      </c>
      <c r="E22" s="374" t="str">
        <f>IF('Data Calculations'!E$34,
          IF('Data Calculations'!$B$103,
                    IF('Data Calculations'!E$108,
                              IF('Data Calculations'!E$115,
                                        "",
                                        "Depth not in valid range"),
                              "Other Depth larger than expected"),
                     "Not Used"),
          "Not Used")</f>
        <v>Not Used</v>
      </c>
      <c r="F22" s="374" t="str">
        <f>IF('Data Calculations'!F$34,
          IF('Data Calculations'!$B$103,
                    IF('Data Calculations'!F$108,
                              IF('Data Calculations'!F$115,
                                        "",
                                        "Depth not in valid range"),
                              "Other Depth larger than expected"),
                     "Not Used"),
          "Not Used")</f>
        <v>Not Used</v>
      </c>
    </row>
    <row r="23" spans="1:6" ht="33" customHeight="1" thickTop="1" thickBot="1" x14ac:dyDescent="0.25">
      <c r="A23" s="565" t="s">
        <v>185</v>
      </c>
      <c r="B23" s="566"/>
      <c r="C23" s="398" t="str">
        <f>IF('Data Calculations'!C$34,
          IF('Data Calculations'!C$115,
                    IF('Data Calculations'!C$116,
                              "",
                              "Depth not valid"),
                     CONCATENATE(
                              "Depth must be between ",
                              VALUE('Data Calculations'!C$79),
                              " and ",
                              VALUE('Data Calculations'!C$80))),
          "Not Used")</f>
        <v>Not Used</v>
      </c>
      <c r="D23" s="398" t="str">
        <f>IF('Data Calculations'!D$34,
          IF('Data Calculations'!D$115,
                    IF('Data Calculations'!D$116,
                              "",
                              "Depth not valid"),
                     CONCATENATE(
                              "Depth must be between ",
                              VALUE('Data Calculations'!D$79),
                              " and ",
                              VALUE('Data Calculations'!D$80))),
          "Not Used")</f>
        <v>Not Used</v>
      </c>
      <c r="E23" s="398" t="str">
        <f>IF('Data Calculations'!E$34,
          IF('Data Calculations'!E$115,
                    IF('Data Calculations'!E$116,
                              "",
                              "Depth not valid"),
                     CONCATENATE(
                              "Depth must be between ",
                              VALUE('Data Calculations'!E$79),
                              " and ",
                              VALUE('Data Calculations'!E$80))),
          "Not Used")</f>
        <v>Not Used</v>
      </c>
      <c r="F23" s="398"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603" t="s">
        <v>332</v>
      </c>
      <c r="B24" s="405"/>
      <c r="C24" s="406"/>
      <c r="D24" s="406"/>
      <c r="E24" s="406"/>
      <c r="F24" s="406"/>
    </row>
    <row r="25" spans="1:6" ht="33" customHeight="1" x14ac:dyDescent="0.2">
      <c r="A25" s="551"/>
      <c r="B25" s="366" t="s">
        <v>329</v>
      </c>
      <c r="C25" s="375" t="str">
        <f>IF('Data Calculations'!C$34,
          IF('Data Calculations'!C$151,
                    IF('Data Calculations'!C$155,
                              IF('Data Calculations'!C$169,
                                         "",
                                         "Field size not in valid range"),
                              "X collimator not in valid range"),
                     "X1 not valid"),
          "Not Used")</f>
        <v>Not Used</v>
      </c>
      <c r="D25" s="375" t="str">
        <f>IF('Data Calculations'!D$34,
          IF('Data Calculations'!D$151,
                    IF('Data Calculations'!D$155,
                              IF('Data Calculations'!D$169,
                                         "",
                                         "Field size not in valid range"),
                              "X collimator not in valid range"),
                     "X1 not valid"),
          "Not Used")</f>
        <v>Not Used</v>
      </c>
      <c r="E25" s="375" t="str">
        <f>IF('Data Calculations'!E$34,
          IF('Data Calculations'!E$151,
                    IF('Data Calculations'!E$155,
                              IF('Data Calculations'!E$169,
                                         "",
                                         "Field size not in valid range"),
                              "X collimator not in valid range"),
                     "X1 not valid"),
          "Not Used")</f>
        <v>Not Used</v>
      </c>
      <c r="F25" s="375" t="str">
        <f>IF('Data Calculations'!F$34,
          IF('Data Calculations'!F$151,
                    IF('Data Calculations'!F$155,
                              IF('Data Calculations'!F$169,
                                         "",
                                         "Field size not in valid range"),
                              "X collimator not in valid range"),
                     "X1 not valid"),
          "Not Used")</f>
        <v>Not Used</v>
      </c>
    </row>
    <row r="26" spans="1:6" ht="33" customHeight="1" x14ac:dyDescent="0.2">
      <c r="A26" s="551"/>
      <c r="B26" s="366" t="s">
        <v>199</v>
      </c>
      <c r="C26" s="375" t="str">
        <f>IF('Data Calculations'!C$34,
          IF(NOT('Data Calculations'!C$139),
                    IF('Data Calculations'!C$152,
                              IF('Data Calculations'!C$155,
                                        IF('Data Calculations'!C$169,
                                                   "",
                                                   "Field size not in valid range"),
                                        "X collimator not in valid range"),
                               "X2 not valid"),
                    "Not Used"),
          "Not Used")</f>
        <v>Not Used</v>
      </c>
      <c r="D26" s="375" t="str">
        <f>IF('Data Calculations'!D$34,
          IF(NOT('Data Calculations'!D$139),
                    IF('Data Calculations'!D$152,
                              IF('Data Calculations'!D$155,
                                        IF('Data Calculations'!D$169,
                                                   "",
                                                   "Field size not in valid range"),
                                        "X collimator not in valid range"),
                               "X2 not valid"),
                    "Not Used"),
          "Not Used")</f>
        <v>Not Used</v>
      </c>
      <c r="E26" s="375" t="str">
        <f>IF('Data Calculations'!E$34,
          IF(NOT('Data Calculations'!E$139),
                    IF('Data Calculations'!E$152,
                              IF('Data Calculations'!E$155,
                                        IF('Data Calculations'!E$169,
                                                   "",
                                                   "Field size not in valid range"),
                                        "X collimator not in valid range"),
                               "X2 not valid"),
                    "Not Used"),
          "Not Used")</f>
        <v>Not Used</v>
      </c>
      <c r="F26" s="375"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51"/>
      <c r="B27" s="368"/>
      <c r="C27" s="381"/>
      <c r="D27" s="381"/>
      <c r="E27" s="381"/>
      <c r="F27" s="381"/>
    </row>
    <row r="28" spans="1:6" ht="33" customHeight="1" x14ac:dyDescent="0.2">
      <c r="A28" s="551"/>
      <c r="B28" s="366" t="s">
        <v>330</v>
      </c>
      <c r="C28" s="375" t="str">
        <f>IF('Data Calculations'!C$34,
          IF('Data Calculations'!C$153,
                    IF('Data Calculations'!C$156,
                              IF('Data Calculations'!C$169,
                                         "",
                                         "Field size not in valid range"),
                              "Y collimator not in valid range"),
                     "Y1 not valid"),
          "Not Used")</f>
        <v>Not Used</v>
      </c>
      <c r="D28" s="375" t="str">
        <f>IF('Data Calculations'!D$34,
          IF('Data Calculations'!D$153,
                    IF('Data Calculations'!D$156,
                              IF('Data Calculations'!D$169,
                                         "",
                                         "Field size not in valid range"),
                              "Y collimator not in valid range"),
                     "Y1 not valid"),
          "Not Used")</f>
        <v>Not Used</v>
      </c>
      <c r="E28" s="375" t="str">
        <f>IF('Data Calculations'!E$34,
          IF('Data Calculations'!E$153,
                    IF('Data Calculations'!E$156,
                              IF('Data Calculations'!E$169,
                                         "",
                                         "Field size not in valid range"),
                              "Y collimator not in valid range"),
                     "Y1 not valid"),
          "Not Used")</f>
        <v>Not Used</v>
      </c>
      <c r="F28" s="375" t="str">
        <f>IF('Data Calculations'!F$34,
          IF('Data Calculations'!F$153,
                    IF('Data Calculations'!F$156,
                              IF('Data Calculations'!F$169,
                                         "",
                                         "Field size not in valid range"),
                              "Y collimator not in valid range"),
                     "Y1 not valid"),
          "Not Used")</f>
        <v>Not Used</v>
      </c>
    </row>
    <row r="29" spans="1:6" ht="33" customHeight="1" x14ac:dyDescent="0.2">
      <c r="A29" s="551"/>
      <c r="B29" s="366" t="s">
        <v>201</v>
      </c>
      <c r="C29" s="375" t="str">
        <f>IF('Data Calculations'!C$34,
          IF(NOT('Data Calculations'!C$142),
                    IF('Data Calculations'!C$154,
                              IF('Data Calculations'!C$156,
                                        IF('Data Calculations'!C$169,
                                                   "",
                                                   "Field size not in valid range"),
                                        "Y collimator not in valid range"),
                               "Y2 not valid"),
                    "Not Used"),
          "Not Used")</f>
        <v>Not Used</v>
      </c>
      <c r="D29" s="375" t="str">
        <f>IF('Data Calculations'!D$34,
          IF(NOT('Data Calculations'!D$142),
                    IF('Data Calculations'!D$154,
                              IF('Data Calculations'!D$156,
                                        IF('Data Calculations'!D$169,
                                                   "",
                                                   "Field size not in valid range"),
                                        "Y collimator not in valid range"),
                               "Y2 not valid"),
                    "Not Used"),
          "Not Used")</f>
        <v>Not Used</v>
      </c>
      <c r="E29" s="375" t="str">
        <f>IF('Data Calculations'!E$34,
          IF(NOT('Data Calculations'!E$142),
                    IF('Data Calculations'!E$154,
                              IF('Data Calculations'!E$156,
                                        IF('Data Calculations'!E$169,
                                                   "",
                                                   "Field size not in valid range"),
                                        "Y collimator not in valid range"),
                               "Y2 not valid"),
                    "Not Used"),
          "Not Used")</f>
        <v>Not Used</v>
      </c>
      <c r="F29" s="375"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51"/>
      <c r="B30" s="18" t="s">
        <v>326</v>
      </c>
      <c r="C30" s="376" t="str">
        <f>IF('Data Calculations'!C$34,
          IF('Data Calculations'!C$87,
                    IF('Data Calculations'!C$157,
                              IF('Data Calculations'!C$173,
                                         "",
                                         "collimator settings not valid"),
                              "Y collimator not in valid range"),
                    "Not Used"),
          "Not Used")</f>
        <v>Not Used</v>
      </c>
      <c r="D30" s="376" t="str">
        <f>IF('Data Calculations'!D$34,
          IF('Data Calculations'!D$87,
                    IF('Data Calculations'!D$157,
                              IF('Data Calculations'!D$173,
                                         "",
                                         "collimator settings not valid"),
                              "Y collimator not in valid range"),
                    "Not Used"),
          "Not Used")</f>
        <v>Not Used</v>
      </c>
      <c r="E30" s="376" t="str">
        <f>IF('Data Calculations'!E$34,
          IF('Data Calculations'!E$87,
                    IF('Data Calculations'!E$157,
                              IF('Data Calculations'!E$173,
                                         "",
                                         "collimator settings not valid"),
                              "Y collimator not in valid range"),
                    "Not Used"),
          "Not Used")</f>
        <v>Not Used</v>
      </c>
      <c r="F30" s="376" t="str">
        <f>IF('Data Calculations'!F$34,
          IF('Data Calculations'!F$87,
                    IF('Data Calculations'!F$157,
                              IF('Data Calculations'!F$173,
                                         "",
                                         "collimator settings not valid"),
                              "Y collimator not in valid range"),
                    "Not Used"),
          "Not Used")</f>
        <v>Not Used</v>
      </c>
    </row>
    <row r="31" spans="1:6" ht="33" customHeight="1" x14ac:dyDescent="0.2">
      <c r="A31" s="551"/>
      <c r="B31" s="18" t="s">
        <v>4</v>
      </c>
      <c r="C31" s="376" t="str">
        <f>IF('Data Calculations'!C$34,
          IF('Data Calculations'!C$173,
                    "",
                    "Field Size not valid"),
          "Not Used")</f>
        <v>Not Used</v>
      </c>
      <c r="D31" s="376" t="str">
        <f>IF('Data Calculations'!D$34,
          IF('Data Calculations'!D$173,
                    "",
                    "Field Size not valid"),
          "Not Used")</f>
        <v>Not Used</v>
      </c>
      <c r="E31" s="376" t="str">
        <f>IF('Data Calculations'!E$34,
          IF('Data Calculations'!E$173,
                    "",
                    "Field Size not valid"),
          "Not Used")</f>
        <v>Not Used</v>
      </c>
      <c r="F31" s="376" t="str">
        <f>IF('Data Calculations'!F$34,
          IF('Data Calculations'!F$173,
                    "",
                    "Field Size not valid"),
          "Not Used")</f>
        <v>Not Used</v>
      </c>
    </row>
    <row r="32" spans="1:6" ht="33" customHeight="1" thickBot="1" x14ac:dyDescent="0.25">
      <c r="A32" s="552"/>
      <c r="B32" s="367" t="s">
        <v>162</v>
      </c>
      <c r="C32" s="396" t="str">
        <f>IF('Data Calculations'!C$34,
          IF('Data Calculations'!C$169,
                    "",
                    CONCATENATE(
                              "Field Size must be between ",
                              VALUE('Data Calculations'!C$135),
                              " and ",
                              VALUE('Data Calculations'!C$136))),
          "Not Used")</f>
        <v>Not Used</v>
      </c>
      <c r="D32" s="396" t="str">
        <f>IF('Data Calculations'!D$34,
          IF('Data Calculations'!D$169,
                    "",
                    CONCATENATE(
                              "Field Size must be between ",
                              VALUE('Data Calculations'!D$135),
                              " and ",
                              VALUE('Data Calculations'!D$136))),
          "Not Used")</f>
        <v>Not Used</v>
      </c>
      <c r="E32" s="396" t="str">
        <f>IF('Data Calculations'!E$34,
          IF('Data Calculations'!E$169,
                    "",
                    CONCATENATE(
                              "Field Size must be between ",
                              VALUE('Data Calculations'!E$135),
                              " and ",
                              VALUE('Data Calculations'!E$136))),
          "Not Used")</f>
        <v>Not Used</v>
      </c>
      <c r="F32" s="396" t="str">
        <f>IF('Data Calculations'!F$34,
          IF('Data Calculations'!F$169,
                    "",
                    CONCATENATE(
                              "Field Size must be between ",
                              VALUE('Data Calculations'!F$135),
                              " and ",
                              VALUE('Data Calculations'!F$136))),
          "Not Used")</f>
        <v>Not Used</v>
      </c>
    </row>
    <row r="33" spans="1:6" ht="12" customHeight="1" thickTop="1" x14ac:dyDescent="0.2">
      <c r="A33" s="604" t="s">
        <v>342</v>
      </c>
      <c r="B33" s="407"/>
      <c r="C33" s="408"/>
      <c r="D33" s="408"/>
      <c r="E33" s="408"/>
      <c r="F33" s="408"/>
    </row>
    <row r="34" spans="1:6" ht="45.95" customHeight="1" thickBot="1" x14ac:dyDescent="0.25">
      <c r="A34" s="555"/>
      <c r="B34" s="367" t="s">
        <v>343</v>
      </c>
      <c r="C34" s="370" t="str">
        <f>IF('Data Calculations'!C$34,
          IF('Data Calculations'!$B$179,
                    IF('Data Calculations'!C$189,
                              "",
                              "No Tray Factor for selected unit and energy"),
                     "Not Used"),
          "Not Used")</f>
        <v>Not Used</v>
      </c>
      <c r="D34" s="370" t="str">
        <f>IF('Data Calculations'!D$34,
          IF('Data Calculations'!$B$179,
                    IF('Data Calculations'!D$189,
                              "",
                              "No Tray Factor for selected unit and energy"),
                     "Not Used"),
          "Not Used")</f>
        <v>Not Used</v>
      </c>
      <c r="E34" s="370" t="str">
        <f>IF('Data Calculations'!E$34,
          IF('Data Calculations'!$B$179,
                    IF('Data Calculations'!E$189,
                              "",
                              "No Tray Factor for selected unit and energy"),
                     "Not Used"),
          "Not Used")</f>
        <v>Not Used</v>
      </c>
      <c r="F34" s="370" t="str">
        <f>IF('Data Calculations'!F$34,
          IF('Data Calculations'!$B$179,
                    IF('Data Calculations'!F$189,
                              "",
                              "No Tray Factor for selected unit and energy"),
                     "Not Used"),
          "Not Used")</f>
        <v>Not Used</v>
      </c>
    </row>
    <row r="35" spans="1:6" ht="33" customHeight="1" thickTop="1" x14ac:dyDescent="0.2">
      <c r="A35" s="553" t="s">
        <v>18</v>
      </c>
      <c r="B35" s="365" t="s">
        <v>8</v>
      </c>
      <c r="C35" s="377" t="str">
        <f>IF('Data Calculations'!C$34,
          IF('Data Calculations'!C$115,
                    IF('Data Calculations'!C$169,
                              "",
                              "Depth not in valid range"),
                    "Eq. Sq. Field Size not in valid range"),
          "Not Used")</f>
        <v>Not Used</v>
      </c>
      <c r="D35" s="377" t="str">
        <f>IF('Data Calculations'!D$34,
          IF('Data Calculations'!D$115,
                    IF('Data Calculations'!D$169,
                              "",
                              "Depth not in valid range"),
                    "Eq. Sq. Field Size not in valid range"),
          "Not Used")</f>
        <v>Not Used</v>
      </c>
      <c r="E35" s="377" t="str">
        <f>IF('Data Calculations'!E$34,
          IF('Data Calculations'!E$115,
                    IF('Data Calculations'!E$169,
                              "",
                              "Depth not in valid range"),
                    "Eq. Sq. Field Size not in valid range"),
          "Not Used")</f>
        <v>Not Used</v>
      </c>
      <c r="F35" s="377" t="str">
        <f>IF('Data Calculations'!F$34,
          IF('Data Calculations'!F$115,
                    IF('Data Calculations'!F$169,
                              "",
                              "Depth not in valid range"),
                    "Eq. Sq. Field Size not in valid range"),
          "Not Used")</f>
        <v>Not Used</v>
      </c>
    </row>
    <row r="36" spans="1:6" ht="33" customHeight="1" x14ac:dyDescent="0.2">
      <c r="A36" s="554"/>
      <c r="B36" s="366" t="s">
        <v>9</v>
      </c>
      <c r="C36" s="378" t="str">
        <f>IF('Data Calculations'!C$34,
          IF(NOT('Data Calculations'!C$87),
                    IF('Data Calculations'!C$157,
                              "",
                              "collimator settings not in valid range"),
                    "Not Used"),
          "Not Used")</f>
        <v>Not Used</v>
      </c>
      <c r="D36" s="378" t="str">
        <f>IF('Data Calculations'!D$34,
          IF(NOT('Data Calculations'!D$87),
                    IF('Data Calculations'!D$157,
                              "",
                              "collimator settings not in valid range"),
                    "Not Used"),
          "Not Used")</f>
        <v>Not Used</v>
      </c>
      <c r="E36" s="378" t="str">
        <f>IF('Data Calculations'!E$34,
          IF(NOT('Data Calculations'!E$87),
                    IF('Data Calculations'!E$157,
                              "",
                              "collimator settings not in valid range"),
                    "Not Used"),
          "Not Used")</f>
        <v>Not Used</v>
      </c>
      <c r="F36" s="378" t="str">
        <f>IF('Data Calculations'!F$34,
          IF(NOT('Data Calculations'!F$87),
                    IF('Data Calculations'!F$157,
                              "",
                              "collimator settings not in valid range"),
                    "Not Used"),
          "Not Used")</f>
        <v>Not Used</v>
      </c>
    </row>
    <row r="37" spans="1:6" ht="33" customHeight="1" x14ac:dyDescent="0.2">
      <c r="A37" s="554"/>
      <c r="B37" s="366" t="s">
        <v>91</v>
      </c>
      <c r="C37" s="378" t="str">
        <f>IF('Data Calculations'!C$34,
          IF('Data Calculations'!C$87,
                    IF('Data Calculations'!C$157,
                              "",
                              "collimator settings not in valid range"),
                    "Not Used"),
          "Not Used")</f>
        <v>Not Used</v>
      </c>
      <c r="D37" s="378" t="str">
        <f>IF('Data Calculations'!D$34,
          IF('Data Calculations'!D$87,
                    IF('Data Calculations'!D$157,
                              "",
                              "collimator settings not in valid range"),
                    "Not Used"),
          "Not Used")</f>
        <v>Not Used</v>
      </c>
      <c r="E37" s="378" t="str">
        <f>IF('Data Calculations'!E$34,
          IF('Data Calculations'!E$87,
                    IF('Data Calculations'!E$157,
                              "",
                              "collimator settings not in valid range"),
                    "Not Used"),
          "Not Used")</f>
        <v>Not Used</v>
      </c>
      <c r="F37" s="378" t="str">
        <f>IF('Data Calculations'!F$34,
          IF('Data Calculations'!F$87,
                    IF('Data Calculations'!F$157,
                              "",
                              "collimator settings not in valid range"),
                    "Not Used"),
          "Not Used")</f>
        <v>Not Used</v>
      </c>
    </row>
    <row r="38" spans="1:6" ht="33" customHeight="1" x14ac:dyDescent="0.2">
      <c r="A38" s="554"/>
      <c r="B38" s="366" t="s">
        <v>99</v>
      </c>
      <c r="C38" s="378" t="str">
        <f>IF('Data Calculations'!C$34,
          IF('Data Calculations'!C$87,
                    IF('Data Calculations'!C$169,
                              "",
                              "Eq. Sq. Field Size not in valid range"),
                    "Not Used"),
          "Not Used")</f>
        <v>Not Used</v>
      </c>
      <c r="D38" s="378" t="str">
        <f>IF('Data Calculations'!D$34,
          IF('Data Calculations'!D$87,
                    IF('Data Calculations'!D$169,
                              "",
                              "Eq. Sq. Field Size not in valid range"),
                    "Not Used"),
          "Not Used")</f>
        <v>Not Used</v>
      </c>
      <c r="E38" s="378" t="str">
        <f>IF('Data Calculations'!E$34,
          IF('Data Calculations'!E$87,
                    IF('Data Calculations'!E$169,
                              "",
                              "Eq. Sq. Field Size not in valid range"),
                    "Not Used"),
          "Not Used")</f>
        <v>Not Used</v>
      </c>
      <c r="F38" s="378" t="str">
        <f>IF('Data Calculations'!F$34,
          IF('Data Calculations'!F$87,
                    IF('Data Calculations'!F$169,
                              "",
                              "Eq. Sq. Field Size not in valid range"),
                    "Not Used"),
          "Not Used")</f>
        <v>Not Used</v>
      </c>
    </row>
    <row r="39" spans="1:6" ht="33" customHeight="1" x14ac:dyDescent="0.2">
      <c r="A39" s="554"/>
      <c r="B39" s="366" t="s">
        <v>327</v>
      </c>
      <c r="C39" s="393" t="str">
        <f>IF('Data Calculations'!C$34,
          IF('Data Calculations'!C$87,
                    "",
                    "Not Used"),
          "Not Used")</f>
        <v>Not Used</v>
      </c>
      <c r="D39" s="393" t="str">
        <f>IF('Data Calculations'!D$34,
          IF('Data Calculations'!D$87,
                    "",
                    "Not Used"),
          "Not Used")</f>
        <v>Not Used</v>
      </c>
      <c r="E39" s="393" t="str">
        <f>IF('Data Calculations'!E$34,
          IF('Data Calculations'!E$87,
                    "",
                    "Not Used"),
          "Not Used")</f>
        <v>Not Used</v>
      </c>
      <c r="F39" s="393" t="str">
        <f>IF('Data Calculations'!F$34,
          IF('Data Calculations'!F$87,
                    "",
                    "Not Used"),
          "Not Used")</f>
        <v>Not Used</v>
      </c>
    </row>
    <row r="40" spans="1:6" ht="45.95" customHeight="1" thickBot="1" x14ac:dyDescent="0.25">
      <c r="A40" s="554"/>
      <c r="B40" s="367" t="s">
        <v>344</v>
      </c>
      <c r="C40" s="379" t="str">
        <f>IF('Data Calculations'!C$34,
          IF('Data Calculations'!$B$179,
                    IF('Data Calculations'!C$189,
                              "",
                              "No Tray Factor for selected unit and energy"),
                     "Not Used"),
          "Not Used")</f>
        <v>Not Used</v>
      </c>
      <c r="D40" s="379" t="str">
        <f>IF('Data Calculations'!D$34,
          IF('Data Calculations'!$B$179,
                    IF('Data Calculations'!D$189,
                              "",
                              "No Tray Factor for selected unit and energy"),
                     "Not Used"),
          "Not Used")</f>
        <v>Not Used</v>
      </c>
      <c r="E40" s="379" t="str">
        <f>IF('Data Calculations'!E$34,
          IF('Data Calculations'!$B$179,
                    IF('Data Calculations'!E$189,
                              "",
                              "No Tray Factor for selected unit and energy"),
                     "Not Used"),
          "Not Used")</f>
        <v>Not Used</v>
      </c>
      <c r="F40" s="379" t="str">
        <f>IF('Data Calculations'!F$34,
          IF('Data Calculations'!$B$179,
                    IF('Data Calculations'!F$189,
                              "",
                              "No Tray Factor for selected unit and energy"),
                     "Not Used"),
          "Not Used")</f>
        <v>Not Used</v>
      </c>
    </row>
    <row r="41" spans="1:6" ht="12" customHeight="1" thickTop="1" x14ac:dyDescent="0.2">
      <c r="A41" s="605"/>
      <c r="B41" s="409"/>
      <c r="C41" s="410"/>
      <c r="D41" s="410"/>
      <c r="E41" s="410"/>
      <c r="F41" s="410"/>
    </row>
    <row r="42" spans="1:6" ht="12" customHeight="1" thickBot="1" x14ac:dyDescent="0.25">
      <c r="A42" s="606"/>
      <c r="B42" s="411"/>
      <c r="C42" s="412"/>
      <c r="D42" s="412"/>
      <c r="E42" s="412"/>
      <c r="F42" s="412"/>
    </row>
    <row r="43" spans="1:6" ht="33" customHeight="1" thickTop="1" x14ac:dyDescent="0.2">
      <c r="A43" s="553" t="s">
        <v>253</v>
      </c>
      <c r="B43" s="365" t="s">
        <v>254</v>
      </c>
      <c r="C43" s="399" t="str">
        <f>IF('Data Calculations'!C$34,
          IF('Data Calculations'!C$234,
                    IF('Data Calculations'!C$230,
                              "",
                              "Beam data not valid"),
                     "Dose rate at Depth outside expected range"),
          "Not Used")</f>
        <v>Not Used</v>
      </c>
      <c r="D43" s="399" t="str">
        <f>IF('Data Calculations'!D$34,
          IF('Data Calculations'!D$234,
                    IF('Data Calculations'!D$230,
                              "",
                              "Beam data not valid"),
                     "Dose rate at Depth outside expected range"),
          "Not Used")</f>
        <v>Not Used</v>
      </c>
      <c r="E43" s="399" t="str">
        <f>IF('Data Calculations'!E$34,
          IF('Data Calculations'!E$234,
                    IF('Data Calculations'!E$230,
                              "",
                              "Beam data not valid"),
                     "Dose rate at Depth outside expected range"),
          "Not Used")</f>
        <v>Not Used</v>
      </c>
      <c r="F43" s="399" t="str">
        <f>IF('Data Calculations'!F$34,
          IF('Data Calculations'!F$234,
                    IF('Data Calculations'!F$230,
                              "",
                              "Beam data not valid"),
                     "Dose rate at Depth outside expected range"),
          "Not Used")</f>
        <v>Not Used</v>
      </c>
    </row>
    <row r="44" spans="1:6" ht="33" customHeight="1" x14ac:dyDescent="0.2">
      <c r="A44" s="554"/>
      <c r="B44" s="366" t="s">
        <v>179</v>
      </c>
      <c r="C44" s="400" t="str">
        <f>IF('Data Calculations'!C$34,
          IF('Data Calculations'!C$230,
                     "",
                     "Beam data not valid"),
          "Not Used")</f>
        <v>Not Used</v>
      </c>
      <c r="D44" s="400" t="str">
        <f>IF('Data Calculations'!D$34,
          IF('Data Calculations'!D$230,
                     "",
                     "Beam data not valid"),
          "Not Used")</f>
        <v>Not Used</v>
      </c>
      <c r="E44" s="400" t="str">
        <f>IF('Data Calculations'!E$34,
          IF('Data Calculations'!E$230,
                     "",
                     "Beam data not valid"),
          "Not Used")</f>
        <v>Not Used</v>
      </c>
      <c r="F44" s="400" t="str">
        <f>IF('Data Calculations'!F$34,
          IF('Data Calculations'!F$230,
                     "",
                     "Beam data not valid"),
          "Not Used")</f>
        <v>Not Used</v>
      </c>
    </row>
    <row r="45" spans="1:6" ht="33" customHeight="1" thickBot="1" x14ac:dyDescent="0.25">
      <c r="A45" s="555"/>
      <c r="B45" s="367" t="s">
        <v>255</v>
      </c>
      <c r="C45" s="401" t="str">
        <f>IF('Data Calculations'!C$34,
          IF('Data Calculations'!C$238,
                    IF('Data Calculations'!C$230,
                              "",
                              "Beam data not valid"),
                     "MUs outside expected range"),
          "Not Used")</f>
        <v>Not Used</v>
      </c>
      <c r="D45" s="401" t="str">
        <f>IF('Data Calculations'!D$34,
          IF('Data Calculations'!D$238,
                    IF('Data Calculations'!D$230,
                              "",
                              "Beam data not valid"),
                     "MUs outside expected range"),
          "Not Used")</f>
        <v>Not Used</v>
      </c>
      <c r="E45" s="401" t="str">
        <f>IF('Data Calculations'!E$34,
          IF('Data Calculations'!E$238,
                    IF('Data Calculations'!E$230,
                              "",
                              "Beam data not valid"),
                     "MUs outside expected range"),
          "Not Used")</f>
        <v>Not Used</v>
      </c>
      <c r="F45" s="401" t="str">
        <f>IF('Data Calculations'!F$34,
          IF('Data Calculations'!F$238,
                    IF('Data Calculations'!F$230,
                              "",
                              "Beam data not valid"),
                     "MUs outside expected range"),
          "Not Used")</f>
        <v>Not Used</v>
      </c>
    </row>
    <row r="46" spans="1:6" ht="17.100000000000001" customHeight="1" thickTop="1" x14ac:dyDescent="0.2"/>
    <row r="51" spans="2:2" ht="17.100000000000001" customHeight="1" x14ac:dyDescent="0.2">
      <c r="B51" s="12"/>
    </row>
  </sheetData>
  <sheetProtection sheet="1" objects="1" scenarios="1"/>
  <mergeCells count="17">
    <mergeCell ref="A1:A2"/>
    <mergeCell ref="C1:F1"/>
    <mergeCell ref="C2:F2"/>
    <mergeCell ref="C3:F3"/>
    <mergeCell ref="A4:B4"/>
    <mergeCell ref="C4:F4"/>
    <mergeCell ref="D7:F7"/>
    <mergeCell ref="A43:A45"/>
    <mergeCell ref="A5:B5"/>
    <mergeCell ref="C5:F5"/>
    <mergeCell ref="A19:A21"/>
    <mergeCell ref="A23:B23"/>
    <mergeCell ref="A24:A32"/>
    <mergeCell ref="A33:A34"/>
    <mergeCell ref="A35:A42"/>
    <mergeCell ref="A8:A13"/>
    <mergeCell ref="A14:A18"/>
  </mergeCells>
  <conditionalFormatting sqref="C8:F8">
    <cfRule type="expression" dxfId="87"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Calculations'!C$139</xm:f>
            <x14:dxf>
              <font>
                <color theme="0" tint="-0.14996795556505021"/>
              </font>
              <fill>
                <patternFill>
                  <bgColor theme="0"/>
                </patternFill>
              </fill>
            </x14:dxf>
          </x14:cfRule>
          <x14:cfRule type="expression" priority="37" stopIfTrue="1" id="{9D3E5BB1-CB0A-43F4-9FEA-525AF301524C}">
            <xm:f>NOT('Data Calculations'!C$152)</xm:f>
            <x14:dxf>
              <font>
                <b/>
                <i val="0"/>
                <color rgb="FFFF0000"/>
              </font>
            </x14:dxf>
          </x14:cfRule>
          <xm:sqref>C26:F26</xm:sqref>
        </x14:conditionalFormatting>
        <x14:conditionalFormatting xmlns:xm="http://schemas.microsoft.com/office/excel/2006/main">
          <x14:cfRule type="expression" priority="13" stopIfTrue="1" id="{61CE2956-7A1A-4D85-8795-802E83FBE837}">
            <xm:f>'Data Calculations'!C142</xm:f>
            <x14:dxf>
              <font>
                <color theme="0" tint="-0.14996795556505021"/>
              </font>
              <fill>
                <patternFill>
                  <bgColor theme="0"/>
                </patternFill>
              </fill>
            </x14:dxf>
          </x14:cfRule>
          <x14:cfRule type="expression" priority="39" stopIfTrue="1" id="{23ED1875-D7C9-4B61-BCC9-C360B8FF20B0}">
            <xm:f>NOT('Data Calculations'!C$154)</xm:f>
            <x14:dxf>
              <font>
                <b/>
                <i val="0"/>
                <color rgb="FFFF0000"/>
              </font>
            </x14:dxf>
          </x14:cfRule>
          <xm:sqref>C29:F29</xm:sqref>
        </x14:conditionalFormatting>
        <x14:conditionalFormatting xmlns:xm="http://schemas.microsoft.com/office/excel/2006/main">
          <x14:cfRule type="expression" priority="6" stopIfTrue="1" id="{C7A43E06-EB21-4AA1-825D-556453E2C3DD}">
            <xm:f>'Data Calculations'!C$87</xm:f>
            <x14:dxf>
              <font>
                <color theme="0" tint="-0.14996795556505021"/>
              </font>
              <fill>
                <patternFill>
                  <bgColor theme="0"/>
                </patternFill>
              </fill>
            </x14:dxf>
          </x14:cfRule>
          <xm:sqref>C36:F36</xm:sqref>
        </x14:conditionalFormatting>
        <x14:conditionalFormatting xmlns:xm="http://schemas.microsoft.com/office/excel/2006/main">
          <x14:cfRule type="expression" priority="31" stopIfTrue="1" id="{DA6151AD-89B6-489C-A5D2-FF57F3255F60}">
            <xm:f>NOT('Data Calculations'!C$34)</xm:f>
            <x14:dxf>
              <font>
                <b/>
                <i val="0"/>
                <color rgb="FFFF0000"/>
              </font>
            </x14:dxf>
          </x14:cfRule>
          <xm:sqref>C8:F8</xm:sqref>
        </x14:conditionalFormatting>
        <x14:conditionalFormatting xmlns:xm="http://schemas.microsoft.com/office/excel/2006/main">
          <x14:cfRule type="expression" priority="11" stopIfTrue="1" id="{0085D9D2-654C-40D7-843E-418EAD0EA743}">
            <xm:f>NOT('Data Calculations'!$B$103)</xm:f>
            <x14:dxf>
              <font>
                <color theme="0" tint="-0.14996795556505021"/>
              </font>
              <fill>
                <patternFill>
                  <bgColor theme="0"/>
                </patternFill>
              </fill>
            </x14:dxf>
          </x14:cfRule>
          <x14:cfRule type="expression" priority="47" id="{A787D442-E48D-4F99-A114-B3D074D6EB46}">
            <xm:f>NOT('Data Calculations'!C$108)</xm:f>
            <x14:dxf>
              <font>
                <b/>
                <i val="0"/>
                <u/>
                <color theme="9"/>
              </font>
            </x14:dxf>
          </x14:cfRule>
          <xm:sqref>C22:F22</xm:sqref>
        </x14:conditionalFormatting>
        <x14:conditionalFormatting xmlns:xm="http://schemas.microsoft.com/office/excel/2006/main">
          <x14:cfRule type="expression" priority="7" stopIfTrue="1" id="{8F1F0021-30FC-40B4-BB5E-A32041465297}">
            <xm:f>NOT('Data Calculations'!$B$179)</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4" id="{39B6454D-9727-4EF8-981F-97298D85BAF6}">
            <xm:f>NOT('Data Calculations'!$C$213)</xm:f>
            <x14:dxf>
              <font>
                <b/>
                <i val="0"/>
              </font>
              <fill>
                <patternFill>
                  <bgColor rgb="FFFFFF00"/>
                </patternFill>
              </fill>
            </x14:dxf>
          </x14:cfRule>
          <x14:cfRule type="expression" priority="32" stopIfTrue="1" id="{F208E469-2A3D-4D91-B020-FD07572FBD0C}">
            <xm:f>NOT('Data Calculations'!C$211)</xm:f>
            <x14:dxf>
              <font>
                <b/>
                <i val="0"/>
                <color rgb="FFFF0000"/>
              </font>
            </x14:dxf>
          </x14:cfRule>
          <x14:cfRule type="expression" priority="45" id="{080193C4-7CDA-4B7E-9CA0-C4CBE8C8BDD9}">
            <xm:f>NOT('Data Calculations'!C$210)</xm:f>
            <x14:dxf>
              <font>
                <b/>
                <i val="0"/>
                <u/>
                <color theme="9"/>
              </font>
            </x14:dxf>
          </x14:cfRule>
          <xm:sqref>C9:F9</xm:sqref>
        </x14:conditionalFormatting>
        <x14:conditionalFormatting xmlns:xm="http://schemas.microsoft.com/office/excel/2006/main">
          <x14:cfRule type="expression" priority="5" stopIfTrue="1" id="{B9AE22CC-A242-455E-A89F-215761C5970D}">
            <xm:f>NOT('Data Calculations'!C$96)</xm:f>
            <x14:dxf>
              <font>
                <color theme="0"/>
              </font>
              <fill>
                <patternFill>
                  <bgColor theme="0"/>
                </patternFill>
              </fill>
            </x14:dxf>
          </x14:cfRule>
          <xm:sqref>C21:F21</xm:sqref>
        </x14:conditionalFormatting>
        <x14:conditionalFormatting xmlns:xm="http://schemas.microsoft.com/office/excel/2006/main">
          <x14:cfRule type="expression" priority="8" stopIfTrue="1" id="{BCFE6310-EB7F-4A6A-B197-8BFB8B55B251}">
            <xm:f>NOT('Data Calculations'!C$96)</xm:f>
            <x14:dxf>
              <font>
                <color theme="0" tint="-0.14996795556505021"/>
              </font>
              <fill>
                <patternFill>
                  <bgColor theme="0"/>
                </patternFill>
              </fill>
            </x14:dxf>
          </x14:cfRule>
          <xm:sqref>C19:F20</xm:sqref>
        </x14:conditionalFormatting>
        <x14:conditionalFormatting xmlns:xm="http://schemas.microsoft.com/office/excel/2006/main">
          <x14:cfRule type="expression" priority="17" stopIfTrue="1" id="{0ABCCEFE-591D-4354-A0B2-3145A6E8D58E}">
            <xm:f>NOT('Data Calculations'!C$101)</xm:f>
            <x14:dxf>
              <font>
                <b/>
                <i val="0"/>
                <color rgb="FFFF0000"/>
              </font>
            </x14:dxf>
          </x14:cfRule>
          <x14:cfRule type="expression" priority="46" id="{D6AF3946-F341-4B7C-B84A-75298FD74A2F}">
            <xm:f>NOT('Data Calculations'!C$100)</xm:f>
            <x14:dxf>
              <font>
                <b/>
                <i val="0"/>
                <u/>
                <color theme="9"/>
              </font>
            </x14:dxf>
          </x14:cfRule>
          <xm:sqref>C20:F20</xm:sqref>
        </x14:conditionalFormatting>
        <x14:conditionalFormatting xmlns:xm="http://schemas.microsoft.com/office/excel/2006/main">
          <x14:cfRule type="expression" priority="18" id="{D465DF73-6933-4D85-83AF-D056B67049BD}">
            <xm:f>NOT('Data Calculations'!C$101)</xm:f>
            <x14:dxf>
              <font>
                <b/>
                <i val="0"/>
              </font>
              <fill>
                <patternFill>
                  <bgColor rgb="FFFFFF00"/>
                </patternFill>
              </fill>
            </x14:dxf>
          </x14:cfRule>
          <x14:cfRule type="expression" priority="19" id="{F36E3E19-E0FA-4027-98DD-F23DC8D20C86}">
            <xm:f>NOT('Data Calculations'!C$100)</xm:f>
            <x14:dxf>
              <font>
                <b/>
                <i val="0"/>
              </font>
              <fill>
                <patternFill>
                  <bgColor rgb="FFFFFF00"/>
                </patternFill>
              </fill>
            </x14:dxf>
          </x14:cfRule>
          <xm:sqref>C19:F19 C21:F21</xm:sqref>
        </x14:conditionalFormatting>
        <x14:conditionalFormatting xmlns:xm="http://schemas.microsoft.com/office/excel/2006/main">
          <x14:cfRule type="expression" priority="21" id="{6E2C5B85-D2E9-408E-A4DC-CA25FC7A63E3}">
            <xm:f>NOT('Data Calculations'!C$116)</xm:f>
            <x14:dxf>
              <font>
                <b/>
                <i val="0"/>
              </font>
              <fill>
                <patternFill>
                  <bgColor rgb="FFFFFF00"/>
                </patternFill>
              </fill>
            </x14:dxf>
          </x14:cfRule>
          <x14:cfRule type="expression" priority="35" stopIfTrue="1" id="{B4F19A63-A800-40D3-AF1D-DD97E7692C91}">
            <xm:f>NOT('Data Calculations'!C$115)</xm:f>
            <x14:dxf>
              <font>
                <b/>
                <i val="0"/>
                <color rgb="FFFF0000"/>
              </font>
            </x14:dxf>
          </x14:cfRule>
          <xm:sqref>C23:F23</xm:sqref>
        </x14:conditionalFormatting>
        <x14:conditionalFormatting xmlns:xm="http://schemas.microsoft.com/office/excel/2006/main">
          <x14:cfRule type="expression" priority="10" id="{B683F4D3-5AED-469D-91D4-C228A6241CEE}">
            <xm:f>NOT('Data Calculations'!C$115)</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7CF777E9-F1B1-48B3-A236-57BCF53D87C0}">
            <xm:f>NOT('Data Calculations'!C$151)</xm:f>
            <x14:dxf>
              <font>
                <b/>
                <i val="0"/>
                <color rgb="FFFF0000"/>
              </font>
            </x14:dxf>
          </x14:cfRule>
          <xm:sqref>C25:F25</xm:sqref>
        </x14:conditionalFormatting>
        <x14:conditionalFormatting xmlns:xm="http://schemas.microsoft.com/office/excel/2006/main">
          <x14:cfRule type="expression" priority="38" stopIfTrue="1" id="{A4FA5396-858C-40B2-9F1C-2B12F7D25A34}">
            <xm:f>NOT('Data Calculations'!C$153)</xm:f>
            <x14:dxf>
              <font>
                <b/>
                <i val="0"/>
                <color rgb="FFFF0000"/>
              </font>
            </x14:dxf>
          </x14:cfRule>
          <xm:sqref>C28:F28</xm:sqref>
        </x14:conditionalFormatting>
        <x14:conditionalFormatting xmlns:xm="http://schemas.microsoft.com/office/excel/2006/main">
          <x14:cfRule type="expression" priority="22" id="{BFC05EC8-1E15-482C-9AEC-6B7504F6D8BF}">
            <xm:f>NOT('Data Calculations'!C$155)</xm:f>
            <x14:dxf>
              <font>
                <b/>
                <i val="0"/>
              </font>
              <fill>
                <patternFill>
                  <bgColor rgb="FFFFFF00"/>
                </patternFill>
              </fill>
            </x14:dxf>
          </x14:cfRule>
          <xm:sqref>C25:F26</xm:sqref>
        </x14:conditionalFormatting>
        <x14:conditionalFormatting xmlns:xm="http://schemas.microsoft.com/office/excel/2006/main">
          <x14:cfRule type="expression" priority="23" id="{DBD8776E-02DD-4C41-99C7-EDC805F7CDAB}">
            <xm:f>NOT('Data Calculations'!C$156)</xm:f>
            <x14:dxf>
              <font>
                <b/>
                <i val="0"/>
              </font>
              <fill>
                <patternFill>
                  <bgColor rgb="FFFFFF00"/>
                </patternFill>
              </fill>
            </x14:dxf>
          </x14:cfRule>
          <xm:sqref>C28:F29</xm:sqref>
        </x14:conditionalFormatting>
        <x14:conditionalFormatting xmlns:xm="http://schemas.microsoft.com/office/excel/2006/main">
          <x14:cfRule type="expression" priority="40" stopIfTrue="1" id="{16DC0B98-E1F6-4B63-8CAE-A04EE2C6605E}">
            <xm:f>NOT('Data Calculations'!C$157)</xm:f>
            <x14:dxf>
              <font>
                <b/>
                <i val="0"/>
                <color rgb="FFFF0000"/>
              </font>
            </x14:dxf>
          </x14:cfRule>
          <xm:sqref>C30:F30</xm:sqref>
        </x14:conditionalFormatting>
        <x14:conditionalFormatting xmlns:xm="http://schemas.microsoft.com/office/excel/2006/main">
          <x14:cfRule type="expression" priority="25" id="{DD812D65-9B3B-4570-B967-D3C1A5A67595}">
            <xm:f>NOT('Data Calculations'!C$157)</xm:f>
            <x14:dxf>
              <font>
                <b/>
                <i val="0"/>
              </font>
              <fill>
                <patternFill>
                  <bgColor rgb="FFFFFF00"/>
                </patternFill>
              </fill>
            </x14:dxf>
          </x14:cfRule>
          <xm:sqref>C36:F37</xm:sqref>
        </x14:conditionalFormatting>
        <x14:conditionalFormatting xmlns:xm="http://schemas.microsoft.com/office/excel/2006/main">
          <x14:cfRule type="expression" priority="41" stopIfTrue="1" id="{AEE30F07-F4E9-4A71-95C7-E7B0B84A3197}">
            <xm:f>NOT('Data Calculations'!C$169)</xm:f>
            <x14:dxf>
              <font>
                <b/>
                <i val="0"/>
                <color rgb="FFFF0000"/>
              </font>
            </x14:dxf>
          </x14:cfRule>
          <xm:sqref>C32:F32</xm:sqref>
        </x14:conditionalFormatting>
        <x14:conditionalFormatting xmlns:xm="http://schemas.microsoft.com/office/excel/2006/main">
          <x14:cfRule type="expression" priority="20" id="{DE889148-0BEC-435D-AAF2-1124611DA0CE}">
            <xm:f>NOT('Data Calculations'!C$169)</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2CE96F6C-97E9-4214-9127-5DFCE4E809BC}">
            <xm:f>NOT('Data Calculations'!C$173)</xm:f>
            <x14:dxf>
              <font>
                <b/>
                <i val="0"/>
              </font>
              <fill>
                <patternFill>
                  <bgColor rgb="FFFFFF00"/>
                </patternFill>
              </fill>
            </x14:dxf>
          </x14:cfRule>
          <xm:sqref>C30:F31</xm:sqref>
        </x14:conditionalFormatting>
        <x14:conditionalFormatting xmlns:xm="http://schemas.microsoft.com/office/excel/2006/main">
          <x14:cfRule type="expression" priority="42" stopIfTrue="1" id="{03C8E8A7-783D-45D4-8DA2-ED5C0CFE1820}">
            <xm:f>NOT('Data Calculations'!C$189)</xm:f>
            <x14:dxf>
              <font>
                <b/>
                <i val="0"/>
                <color rgb="FFFF0000"/>
              </font>
            </x14:dxf>
          </x14:cfRule>
          <xm:sqref>C34:F34</xm:sqref>
        </x14:conditionalFormatting>
        <x14:conditionalFormatting xmlns:xm="http://schemas.microsoft.com/office/excel/2006/main">
          <x14:cfRule type="expression" priority="26" id="{42E5ED1B-9449-4AB2-BE20-55D4797275D8}">
            <xm:f>NOT('Data Calculations'!C$189)</xm:f>
            <x14:dxf>
              <font>
                <b/>
                <i val="0"/>
              </font>
              <fill>
                <patternFill>
                  <bgColor rgb="FFFFFF00"/>
                </patternFill>
              </fill>
            </x14:dxf>
          </x14:cfRule>
          <xm:sqref>C40:F40</xm:sqref>
        </x14:conditionalFormatting>
        <x14:conditionalFormatting xmlns:xm="http://schemas.microsoft.com/office/excel/2006/main">
          <x14:cfRule type="expression" priority="27" id="{545A3BF0-813C-452B-A55B-83855EA788AD}">
            <xm:f>NOT('Data Calculations'!C$230)</xm:f>
            <x14:dxf>
              <font>
                <b/>
                <i val="0"/>
                <strike/>
              </font>
              <fill>
                <patternFill>
                  <bgColor rgb="FFFFFF00"/>
                </patternFill>
              </fill>
            </x14:dxf>
          </x14:cfRule>
          <xm:sqref>C43:F45</xm:sqref>
        </x14:conditionalFormatting>
        <x14:conditionalFormatting xmlns:xm="http://schemas.microsoft.com/office/excel/2006/main">
          <x14:cfRule type="expression" priority="48" id="{21DCF943-D69E-4866-9316-776053E24F59}">
            <xm:f>NOT('Data Calculations'!C$234)</xm:f>
            <x14:dxf>
              <font>
                <b/>
                <i val="0"/>
                <u/>
                <color theme="9"/>
              </font>
            </x14:dxf>
          </x14:cfRule>
          <xm:sqref>C43:F43</xm:sqref>
        </x14:conditionalFormatting>
        <x14:conditionalFormatting xmlns:xm="http://schemas.microsoft.com/office/excel/2006/main">
          <x14:cfRule type="expression" priority="49" id="{B40637E5-2D7D-4821-8074-ABC849021060}">
            <xm:f>NOT('Data Calculations'!C$238)</xm:f>
            <x14:dxf>
              <font>
                <b/>
                <i val="0"/>
                <u/>
                <color theme="9"/>
              </font>
            </x14:dxf>
          </x14:cfRule>
          <xm:sqref>C45:F45</xm:sqref>
        </x14:conditionalFormatting>
        <x14:conditionalFormatting xmlns:xm="http://schemas.microsoft.com/office/excel/2006/main">
          <x14:cfRule type="expression" priority="3" stopIfTrue="1" id="{C259D8A7-7872-45E0-9116-22FEB22817DF}">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6BAF1CA-EDE8-4426-ADAE-85C901B9F31B}">
            <xm:f>NOT('Data Calculations'!C$34)</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5" id="{9FE47208-1DBA-47A2-AE44-82382AC5E086}">
            <xm:f>NOT('Data Calculations'!C$72)</xm:f>
            <x14:dxf>
              <font>
                <b/>
                <i val="0"/>
              </font>
              <fill>
                <patternFill>
                  <bgColor rgb="FFFFFF00"/>
                </patternFill>
              </fill>
            </x14:dxf>
          </x14:cfRule>
          <xm:sqref>C13:F13</xm:sqref>
        </x14:conditionalFormatting>
        <x14:conditionalFormatting xmlns:xm="http://schemas.microsoft.com/office/excel/2006/main">
          <x14:cfRule type="expression" priority="33" stopIfTrue="1" id="{DD4663F5-50E9-4798-AE0C-2FA0EC6419D3}">
            <xm:f>NOT('Data Calculations'!C$86)</xm:f>
            <x14:dxf>
              <font>
                <b/>
                <i val="0"/>
                <color rgb="FFFF0000"/>
              </font>
            </x14:dxf>
          </x14:cfRule>
          <xm:sqref>C14:F14</xm:sqref>
        </x14:conditionalFormatting>
        <x14:conditionalFormatting xmlns:xm="http://schemas.microsoft.com/office/excel/2006/main">
          <x14:cfRule type="expression" priority="4" stopIfTrue="1" id="{6C993AE0-4F8D-47D6-9FA7-E0D226502BB1}">
            <xm:f>NOT('Data Calculations'!C$87)</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43" id="{C82ECA9F-C0EB-4D56-88E8-4C354270B37C}">
            <xm:f>NOT('Data Calculations'!C202)</xm:f>
            <x14:dxf>
              <font>
                <b/>
                <i val="0"/>
                <u/>
                <color theme="9"/>
              </font>
            </x14:dxf>
          </x14:cfRule>
          <xm:sqref>C4:F4</xm:sqref>
        </x14:conditionalFormatting>
        <x14:conditionalFormatting xmlns:xm="http://schemas.microsoft.com/office/excel/2006/main">
          <x14:cfRule type="expression" priority="44" id="{8C88B19C-F1C8-417F-B287-80CC68E84F9C}">
            <xm:f>NOT('Data Calculations'!C206)</xm:f>
            <x14:dxf>
              <font>
                <b/>
                <i val="0"/>
                <u/>
                <color theme="9"/>
              </font>
            </x14:dxf>
          </x14:cfRule>
          <xm:sqref>C5:F5</xm:sqref>
        </x14:conditionalFormatting>
        <x14:conditionalFormatting xmlns:xm="http://schemas.microsoft.com/office/excel/2006/main">
          <x14:cfRule type="expression" priority="29" stopIfTrue="1" id="{56CCB3ED-A803-4F6B-AA09-758DCA16BE2E}">
            <xm:f>NOT('Data Calculations'!D24)</xm:f>
            <x14:dxf>
              <font>
                <b/>
                <i val="0"/>
                <color rgb="FFFF0000"/>
              </font>
            </x14:dxf>
          </x14:cfRule>
          <xm:sqref>C1:E2</xm:sqref>
        </x14:conditionalFormatting>
        <x14:conditionalFormatting xmlns:xm="http://schemas.microsoft.com/office/excel/2006/main">
          <x14:cfRule type="expression" priority="28" id="{7388600F-9C4D-40BD-9638-EC17DD174518}">
            <xm:f>NOT('Data Calculations'!D26)</xm:f>
            <x14:dxf>
              <font>
                <b/>
                <i val="0"/>
                <color rgb="FFFF0000"/>
              </font>
            </x14:dxf>
          </x14:cfRule>
          <xm:sqref>C3:E3</xm:sqref>
        </x14:conditionalFormatting>
        <x14:conditionalFormatting xmlns:xm="http://schemas.microsoft.com/office/excel/2006/main">
          <x14:cfRule type="expression" priority="635" stopIfTrue="1" id="{56CCB3ED-A803-4F6B-AA09-758DCA16BE2E}">
            <xm:f>NOT('Data Calculations'!#REF!)</xm:f>
            <x14:dxf>
              <font>
                <b/>
                <i val="0"/>
                <color rgb="FFFF0000"/>
              </font>
            </x14:dxf>
          </x14:cfRule>
          <xm:sqref>F1:F2</xm:sqref>
        </x14:conditionalFormatting>
        <x14:conditionalFormatting xmlns:xm="http://schemas.microsoft.com/office/excel/2006/main">
          <x14:cfRule type="expression" priority="637" id="{7388600F-9C4D-40BD-9638-EC17DD174518}">
            <xm:f>NOT('Data Calculations'!#REF!)</xm:f>
            <x14:dxf>
              <font>
                <b/>
                <i val="0"/>
                <color rgb="FFFF0000"/>
              </font>
            </x14:dxf>
          </x14:cfRule>
          <xm:sqref>F3</xm:sqref>
        </x14:conditionalFormatting>
        <x14:conditionalFormatting xmlns:xm="http://schemas.microsoft.com/office/excel/2006/main">
          <x14:cfRule type="expression" priority="1229" stopIfTrue="1" id="{6E727A4C-5A04-41BE-92F6-5A33F4F1594B}">
            <xm:f>NOT('Data Calculations'!C$87)</xm:f>
            <x14:dxf>
              <font>
                <color theme="0" tint="-0.14996795556505021"/>
              </font>
              <fill>
                <patternFill>
                  <bgColor theme="0"/>
                </patternFill>
              </fill>
            </x14:dxf>
          </x14:cfRule>
          <x14:cfRule type="expression" priority="1230" stopIfTrue="1" id="{57511500-0910-4EDE-A697-DAB6D66CF0B1}">
            <xm:f>NOT('Data Calculations'!C$115)</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zoomScale="80" zoomScaleNormal="80" workbookViewId="0">
      <selection activeCell="B2" sqref="B2"/>
    </sheetView>
  </sheetViews>
  <sheetFormatPr defaultRowHeight="12.75" outlineLevelRow="1" x14ac:dyDescent="0.2"/>
  <cols>
    <col min="1" max="1" width="15" style="65" customWidth="1"/>
    <col min="2" max="2" width="37.85546875" style="65" customWidth="1"/>
    <col min="3" max="3" width="24.85546875" style="65" customWidth="1"/>
    <col min="4" max="4" width="22.7109375" style="65" customWidth="1"/>
    <col min="5" max="5" width="24.5703125" style="65" customWidth="1"/>
    <col min="6" max="6" width="22.7109375" style="65" customWidth="1"/>
    <col min="7" max="7" width="12.7109375" style="65" customWidth="1"/>
    <col min="8" max="8" width="41.7109375" style="65" customWidth="1"/>
    <col min="9" max="16384" width="9.140625" style="65"/>
  </cols>
  <sheetData>
    <row r="1" spans="2:6" ht="12.95" customHeight="1" x14ac:dyDescent="0.2"/>
    <row r="2" spans="2:6" ht="20.25" thickBot="1" x14ac:dyDescent="0.35">
      <c r="B2" s="66" t="s">
        <v>269</v>
      </c>
    </row>
    <row r="3" spans="2:6" ht="12.95" customHeight="1" outlineLevel="1" thickTop="1" thickBot="1" x14ac:dyDescent="0.25"/>
    <row r="4" spans="2:6" ht="15" outlineLevel="1" x14ac:dyDescent="0.2">
      <c r="B4" s="477" t="s">
        <v>281</v>
      </c>
      <c r="C4" s="625"/>
      <c r="D4" s="626"/>
    </row>
    <row r="5" spans="2:6" ht="15" outlineLevel="1" x14ac:dyDescent="0.2">
      <c r="B5" s="478" t="s">
        <v>129</v>
      </c>
      <c r="C5" s="627"/>
      <c r="D5" s="628"/>
    </row>
    <row r="6" spans="2:6" ht="15" outlineLevel="1" x14ac:dyDescent="0.2">
      <c r="B6" s="478" t="s">
        <v>130</v>
      </c>
      <c r="C6" s="629"/>
      <c r="D6" s="630"/>
    </row>
    <row r="7" spans="2:6" ht="15" outlineLevel="1" x14ac:dyDescent="0.2">
      <c r="B7" s="478" t="s">
        <v>131</v>
      </c>
      <c r="C7" s="631"/>
      <c r="D7" s="632"/>
    </row>
    <row r="8" spans="2:6" ht="15" outlineLevel="1" x14ac:dyDescent="0.2">
      <c r="B8" s="478" t="s">
        <v>132</v>
      </c>
      <c r="C8" s="388"/>
      <c r="D8" s="387"/>
      <c r="F8" s="34"/>
    </row>
    <row r="9" spans="2:6" ht="15" outlineLevel="1" x14ac:dyDescent="0.2">
      <c r="B9" s="478" t="s">
        <v>133</v>
      </c>
      <c r="C9" s="633"/>
      <c r="D9" s="634"/>
    </row>
    <row r="10" spans="2:6" ht="15" outlineLevel="1" x14ac:dyDescent="0.2">
      <c r="B10" s="478" t="s">
        <v>273</v>
      </c>
      <c r="C10" s="643"/>
      <c r="D10" s="644"/>
    </row>
    <row r="11" spans="2:6" ht="15" outlineLevel="1" x14ac:dyDescent="0.2">
      <c r="B11" s="478" t="s">
        <v>134</v>
      </c>
      <c r="C11" s="635"/>
      <c r="D11" s="636"/>
    </row>
    <row r="12" spans="2:6" ht="15.75" outlineLevel="1" x14ac:dyDescent="0.25">
      <c r="B12" s="478" t="s">
        <v>176</v>
      </c>
      <c r="C12" s="639"/>
      <c r="D12" s="640"/>
    </row>
    <row r="13" spans="2:6" ht="15.75" outlineLevel="1" x14ac:dyDescent="0.25">
      <c r="B13" s="478" t="s">
        <v>136</v>
      </c>
      <c r="C13" s="637" t="s">
        <v>135</v>
      </c>
      <c r="D13" s="638"/>
    </row>
    <row r="14" spans="2:6" ht="15.75" outlineLevel="1" x14ac:dyDescent="0.25">
      <c r="B14" s="478" t="s">
        <v>193</v>
      </c>
      <c r="C14" s="67"/>
      <c r="D14" s="68"/>
    </row>
    <row r="15" spans="2:6" ht="15.75" outlineLevel="1" x14ac:dyDescent="0.25">
      <c r="B15" s="478" t="s">
        <v>297</v>
      </c>
      <c r="C15" s="647"/>
      <c r="D15" s="648"/>
    </row>
    <row r="16" spans="2:6" ht="15.75" outlineLevel="1" x14ac:dyDescent="0.25">
      <c r="B16" s="478" t="s">
        <v>298</v>
      </c>
      <c r="C16" s="645"/>
      <c r="D16" s="646"/>
    </row>
    <row r="17" spans="1:8" ht="16.5" outlineLevel="1" thickBot="1" x14ac:dyDescent="0.3">
      <c r="B17" s="479" t="s">
        <v>217</v>
      </c>
      <c r="C17" s="641"/>
      <c r="D17" s="642"/>
    </row>
    <row r="18" spans="1:8" ht="12.95" customHeight="1" x14ac:dyDescent="0.2"/>
    <row r="19" spans="1:8" ht="12.95" customHeight="1" x14ac:dyDescent="0.2"/>
    <row r="20" spans="1:8" ht="12.95" customHeight="1" x14ac:dyDescent="0.2"/>
    <row r="21" spans="1:8" ht="20.25" thickBot="1" x14ac:dyDescent="0.35">
      <c r="B21" s="66" t="s">
        <v>270</v>
      </c>
    </row>
    <row r="22" spans="1:8" s="34" customFormat="1" ht="14.25" outlineLevel="1" thickTop="1" thickBot="1" x14ac:dyDescent="0.25"/>
    <row r="23" spans="1:8" s="34" customFormat="1" ht="15.75" outlineLevel="1" x14ac:dyDescent="0.25">
      <c r="A23" s="31"/>
      <c r="B23" s="610" t="s">
        <v>267</v>
      </c>
      <c r="C23" s="611"/>
      <c r="D23" s="612"/>
      <c r="E23" s="31"/>
      <c r="G23" s="31"/>
      <c r="H23" s="31"/>
    </row>
    <row r="24" spans="1:8" s="34" customFormat="1" ht="15" outlineLevel="1" x14ac:dyDescent="0.2">
      <c r="A24" s="31"/>
      <c r="B24" s="500" t="s">
        <v>0</v>
      </c>
      <c r="C24" s="501">
        <f>'Data Entry'!C1</f>
        <v>0</v>
      </c>
      <c r="D24" s="502" t="b">
        <f>AND(TYPE(C24)=2,C24&lt;&gt;"")</f>
        <v>0</v>
      </c>
      <c r="E24" s="31" t="s">
        <v>321</v>
      </c>
      <c r="G24" s="31"/>
      <c r="H24" s="31"/>
    </row>
    <row r="25" spans="1:8" s="34" customFormat="1" ht="15" outlineLevel="1" x14ac:dyDescent="0.2">
      <c r="A25" s="31"/>
      <c r="B25" s="500" t="s">
        <v>1</v>
      </c>
      <c r="C25" s="501">
        <f>'Data Entry'!C2</f>
        <v>0</v>
      </c>
      <c r="D25" s="502" t="b">
        <f>LEN(TRIM(C25))=7</f>
        <v>0</v>
      </c>
      <c r="E25" s="31" t="s">
        <v>321</v>
      </c>
      <c r="G25" s="31"/>
      <c r="H25" s="31"/>
    </row>
    <row r="26" spans="1:8" s="34" customFormat="1" ht="15.75" outlineLevel="1" thickBot="1" x14ac:dyDescent="0.25">
      <c r="A26" s="31"/>
      <c r="B26" s="503" t="s">
        <v>161</v>
      </c>
      <c r="C26" s="504">
        <f>'Data Entry'!C3</f>
        <v>0</v>
      </c>
      <c r="D26" s="505" t="b">
        <f>AND(TYPE(C26)=2,C26&lt;&gt;"")</f>
        <v>0</v>
      </c>
      <c r="E26" s="31" t="s">
        <v>321</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6" t="s">
        <v>353</v>
      </c>
      <c r="G30" s="34"/>
    </row>
    <row r="31" spans="1:8" ht="12.75" customHeight="1" outlineLevel="1" thickTop="1" thickBot="1" x14ac:dyDescent="0.25">
      <c r="G31" s="34"/>
    </row>
    <row r="32" spans="1:8" s="34" customFormat="1" ht="15.75" outlineLevel="1" x14ac:dyDescent="0.25">
      <c r="B32" s="610" t="s">
        <v>351</v>
      </c>
      <c r="C32" s="611"/>
      <c r="D32" s="611"/>
      <c r="E32" s="611"/>
      <c r="F32" s="612"/>
    </row>
    <row r="33" spans="1:8" s="34" customFormat="1" ht="15" outlineLevel="1" x14ac:dyDescent="0.2">
      <c r="B33" s="500" t="s">
        <v>19</v>
      </c>
      <c r="C33" s="501" t="str">
        <f>IF(ISBLANK('Data Entry'!C8 ), "",IF(ISTEXT('Data Entry'!C8 ),TRIM('Data Entry'!C8),""))</f>
        <v/>
      </c>
      <c r="D33" s="501" t="str">
        <f>IF(ISBLANK('Data Entry'!D8 ), "",IF(ISTEXT('Data Entry'!D8 ),TRIM('Data Entry'!D8),""))</f>
        <v/>
      </c>
      <c r="E33" s="501" t="str">
        <f>IF(ISBLANK('Data Entry'!E8 ), "",IF(ISTEXT('Data Entry'!E8 ),TRIM('Data Entry'!E8),""))</f>
        <v/>
      </c>
      <c r="F33" s="507" t="str">
        <f>IF(ISBLANK('Data Entry'!F8 ), "",IF(ISTEXT('Data Entry'!F8 ),TRIM('Data Entry'!F8),""))</f>
        <v/>
      </c>
    </row>
    <row r="34" spans="1:8" s="34" customFormat="1" ht="15.75" outlineLevel="1" thickBot="1" x14ac:dyDescent="0.25">
      <c r="B34" s="503" t="s">
        <v>279</v>
      </c>
      <c r="C34" s="508" t="b">
        <f>AND(NOT(EXACT(C33,"")),ISNA(MATCH(C33,D33:F33,0)))</f>
        <v>0</v>
      </c>
      <c r="D34" s="508" t="b">
        <f>AND(NOT(EXACT(D33,"")),ISNA(MATCH(D33,E33:G33,0)))</f>
        <v>0</v>
      </c>
      <c r="E34" s="508" t="b">
        <f>AND(NOT(EXACT(E33,"")),ISNA(MATCH(E33,F33:H33,0)))</f>
        <v>0</v>
      </c>
      <c r="F34" s="509" t="b">
        <f>AND(NOT(EXACT(F33,"")),ISNA(MATCH(F33,G33:I33,0)))</f>
        <v>0</v>
      </c>
      <c r="G34" s="34" t="s">
        <v>257</v>
      </c>
    </row>
    <row r="35" spans="1:8" s="34" customFormat="1" ht="13.5" outlineLevel="1" thickBot="1" x14ac:dyDescent="0.25"/>
    <row r="36" spans="1:8" s="34" customFormat="1" ht="15.75" outlineLevel="1" x14ac:dyDescent="0.25">
      <c r="B36" s="610" t="s">
        <v>352</v>
      </c>
      <c r="C36" s="611"/>
      <c r="D36" s="611"/>
      <c r="E36" s="611"/>
      <c r="F36" s="612"/>
    </row>
    <row r="37" spans="1:8" s="34" customFormat="1" ht="15.75" outlineLevel="1" x14ac:dyDescent="0.25">
      <c r="B37" s="500" t="s">
        <v>274</v>
      </c>
      <c r="C37" s="506">
        <f>IF(C34,1,0)</f>
        <v>0</v>
      </c>
      <c r="D37" s="506">
        <f>IF(D33="",0,1)</f>
        <v>0</v>
      </c>
      <c r="E37" s="506">
        <f>IF(E33="",0,1)</f>
        <v>0</v>
      </c>
      <c r="F37" s="510">
        <f>IF(F33="",0,1)</f>
        <v>0</v>
      </c>
    </row>
    <row r="38" spans="1:8" s="34" customFormat="1" ht="16.5" outlineLevel="1" thickBot="1" x14ac:dyDescent="0.3">
      <c r="B38" s="503" t="s">
        <v>178</v>
      </c>
      <c r="C38" s="622">
        <f>SUM($C$37:$F$37)</f>
        <v>0</v>
      </c>
      <c r="D38" s="622"/>
      <c r="E38" s="622"/>
      <c r="F38" s="623"/>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2"/>
      <c r="B42" s="73" t="s">
        <v>268</v>
      </c>
      <c r="C42" s="72"/>
      <c r="D42" s="30"/>
      <c r="E42" s="72"/>
      <c r="F42" s="72"/>
      <c r="G42" s="72"/>
      <c r="H42" s="72"/>
    </row>
    <row r="43" spans="1:8" s="34" customFormat="1" ht="12.95" customHeight="1" thickTop="1" thickBot="1" x14ac:dyDescent="0.25">
      <c r="A43" s="31"/>
      <c r="B43" s="31"/>
      <c r="C43" s="31"/>
      <c r="D43" s="31"/>
      <c r="E43" s="31"/>
      <c r="F43" s="31"/>
      <c r="G43" s="31"/>
      <c r="H43" s="31"/>
    </row>
    <row r="44" spans="1:8" s="34" customFormat="1" ht="15.75" x14ac:dyDescent="0.25">
      <c r="B44" s="511" t="s">
        <v>168</v>
      </c>
    </row>
    <row r="45" spans="1:8" s="34" customFormat="1" ht="15" x14ac:dyDescent="0.2">
      <c r="B45" s="512" t="s">
        <v>265</v>
      </c>
    </row>
    <row r="46" spans="1:8" s="34" customFormat="1" ht="15" x14ac:dyDescent="0.2">
      <c r="B46" s="512" t="str">
        <f>C57</f>
        <v>CL6</v>
      </c>
    </row>
    <row r="47" spans="1:8" s="34" customFormat="1" ht="15" x14ac:dyDescent="0.2">
      <c r="B47" s="512" t="str">
        <f>D57</f>
        <v>21D</v>
      </c>
    </row>
    <row r="48" spans="1:8" s="34" customFormat="1" ht="15" x14ac:dyDescent="0.2">
      <c r="B48" s="512" t="str">
        <f>E57</f>
        <v>TR1</v>
      </c>
    </row>
    <row r="49" spans="2:7" s="34" customFormat="1" ht="15" x14ac:dyDescent="0.2">
      <c r="B49" s="512" t="str">
        <f>F57</f>
        <v>TR2</v>
      </c>
    </row>
    <row r="50" spans="2:7" s="34" customFormat="1" ht="16.5" customHeight="1" thickBot="1" x14ac:dyDescent="0.25">
      <c r="B50" s="513" t="str">
        <f>G57</f>
        <v>TR3</v>
      </c>
    </row>
    <row r="51" spans="2:7" s="34" customFormat="1" ht="12.95" customHeight="1" thickBot="1" x14ac:dyDescent="0.25"/>
    <row r="52" spans="2:7" s="34" customFormat="1" ht="15.75" x14ac:dyDescent="0.25">
      <c r="B52" s="610" t="s">
        <v>271</v>
      </c>
      <c r="C52" s="612"/>
    </row>
    <row r="53" spans="2:7" s="34" customFormat="1" ht="15" x14ac:dyDescent="0.2">
      <c r="B53" s="514" t="s">
        <v>168</v>
      </c>
      <c r="C53" s="515" t="str">
        <f>IF(ISBLANK(C54),"",INDEX(B45:B50,C54,0))</f>
        <v>Select Treatment Unit</v>
      </c>
    </row>
    <row r="54" spans="2:7" s="34" customFormat="1" ht="15.75" thickBot="1" x14ac:dyDescent="0.25">
      <c r="B54" s="516" t="s">
        <v>137</v>
      </c>
      <c r="C54" s="517">
        <v>1</v>
      </c>
    </row>
    <row r="55" spans="2:7" s="34" customFormat="1" ht="12.75" customHeight="1" thickBot="1" x14ac:dyDescent="0.25"/>
    <row r="56" spans="2:7" s="34" customFormat="1" ht="15.75" x14ac:dyDescent="0.25">
      <c r="B56" s="651" t="s">
        <v>133</v>
      </c>
      <c r="C56" s="652"/>
      <c r="D56" s="652"/>
      <c r="E56" s="652"/>
      <c r="F56" s="652"/>
      <c r="G56" s="653"/>
    </row>
    <row r="57" spans="2:7" s="34" customFormat="1" ht="15.75" x14ac:dyDescent="0.25">
      <c r="B57" s="518" t="s">
        <v>22</v>
      </c>
      <c r="C57" s="519" t="s">
        <v>169</v>
      </c>
      <c r="D57" s="519" t="s">
        <v>170</v>
      </c>
      <c r="E57" s="519" t="s">
        <v>350</v>
      </c>
      <c r="F57" s="519" t="s">
        <v>359</v>
      </c>
      <c r="G57" s="520" t="s">
        <v>361</v>
      </c>
    </row>
    <row r="58" spans="2:7" s="34" customFormat="1" ht="15.75" x14ac:dyDescent="0.25">
      <c r="B58" s="518" t="s">
        <v>172</v>
      </c>
      <c r="C58" s="521" t="str">
        <f>'Table References'!D2</f>
        <v>CL6 6MV</v>
      </c>
      <c r="D58" s="521" t="str">
        <f>'Table References'!E2</f>
        <v>6MV</v>
      </c>
      <c r="E58" s="521" t="str">
        <f>'Table References'!E2</f>
        <v>6MV</v>
      </c>
      <c r="F58" s="521" t="str">
        <f>'Table References'!E2</f>
        <v>6MV</v>
      </c>
      <c r="G58" s="522" t="str">
        <f>'Table References'!E2</f>
        <v>6MV</v>
      </c>
    </row>
    <row r="59" spans="2:7" s="34" customFormat="1" ht="15.75" x14ac:dyDescent="0.25">
      <c r="B59" s="518" t="s">
        <v>167</v>
      </c>
      <c r="C59" s="521"/>
      <c r="D59" s="521"/>
      <c r="E59" s="521" t="str">
        <f>'Table References'!F2</f>
        <v>10MV</v>
      </c>
      <c r="F59" s="521" t="str">
        <f>'Table References'!F2</f>
        <v>10MV</v>
      </c>
      <c r="G59" s="522" t="str">
        <f>'Table References'!F2</f>
        <v>10MV</v>
      </c>
    </row>
    <row r="60" spans="2:7" s="34" customFormat="1" ht="16.5" thickBot="1" x14ac:dyDescent="0.3">
      <c r="B60" s="523" t="s">
        <v>173</v>
      </c>
      <c r="C60" s="524"/>
      <c r="D60" s="524" t="str">
        <f>'Table References'!G2</f>
        <v>15MV</v>
      </c>
      <c r="E60" s="524" t="str">
        <f>'Table References'!G2</f>
        <v>15MV</v>
      </c>
      <c r="F60" s="524" t="str">
        <f>'Table References'!G2</f>
        <v>15MV</v>
      </c>
      <c r="G60" s="525" t="str">
        <f>'Table References'!G2</f>
        <v>15MV</v>
      </c>
    </row>
    <row r="61" spans="2:7" s="34" customFormat="1" ht="12.95" customHeight="1" thickBot="1" x14ac:dyDescent="0.25"/>
    <row r="62" spans="2:7" s="34" customFormat="1" ht="15.75" x14ac:dyDescent="0.25">
      <c r="B62" s="511" t="s">
        <v>177</v>
      </c>
    </row>
    <row r="63" spans="2:7" s="34" customFormat="1" ht="15" x14ac:dyDescent="0.2">
      <c r="B63" s="526" t="str">
        <f>IF(C54=1,"","Select Energy")</f>
        <v/>
      </c>
    </row>
    <row r="64" spans="2:7" s="34" customFormat="1" ht="15" x14ac:dyDescent="0.2">
      <c r="B64" s="526" t="str">
        <f>IF(C54=1,"",IF(ISBLANK(INDEX(B58:G58,0,$C$54)),"",B58))</f>
        <v/>
      </c>
    </row>
    <row r="65" spans="2:7" s="34" customFormat="1" ht="15" x14ac:dyDescent="0.2">
      <c r="B65" s="526" t="str">
        <f>IF(C54=1,"",IF(ISBLANK(INDEX(B59:G59,0,$C$54)),"",B59))</f>
        <v/>
      </c>
    </row>
    <row r="66" spans="2:7" s="34" customFormat="1" ht="15.75" thickBot="1" x14ac:dyDescent="0.25">
      <c r="B66" s="527" t="str">
        <f>IF(C54=1,"",IF(ISBLANK(INDEX(B60:G60,0,$C$54)),"",B60))</f>
        <v/>
      </c>
    </row>
    <row r="67" spans="2:7" s="34" customFormat="1" ht="12.95" customHeight="1" thickBot="1" x14ac:dyDescent="0.25"/>
    <row r="68" spans="2:7" s="34" customFormat="1" ht="15.75" x14ac:dyDescent="0.25">
      <c r="B68" s="610" t="s">
        <v>272</v>
      </c>
      <c r="C68" s="611"/>
      <c r="D68" s="611"/>
      <c r="E68" s="611"/>
      <c r="F68" s="612"/>
    </row>
    <row r="69" spans="2:7" s="34" customFormat="1" ht="15.75" x14ac:dyDescent="0.25">
      <c r="B69" s="514" t="s">
        <v>70</v>
      </c>
      <c r="C69" s="528" t="str">
        <f>INDEX($B$63:$B$66,C70,0)</f>
        <v/>
      </c>
      <c r="D69" s="528" t="str">
        <f t="shared" ref="D69:F69" si="0">INDEX($B$63:$B$66,D70,0)</f>
        <v/>
      </c>
      <c r="E69" s="528" t="str">
        <f t="shared" si="0"/>
        <v/>
      </c>
      <c r="F69" s="539" t="str">
        <f t="shared" si="0"/>
        <v/>
      </c>
    </row>
    <row r="70" spans="2:7" s="34" customFormat="1" ht="15" x14ac:dyDescent="0.2">
      <c r="B70" s="514" t="s">
        <v>137</v>
      </c>
      <c r="C70" s="529">
        <v>1</v>
      </c>
      <c r="D70" s="529">
        <v>1</v>
      </c>
      <c r="E70" s="529">
        <v>1</v>
      </c>
      <c r="F70" s="540">
        <v>1</v>
      </c>
    </row>
    <row r="71" spans="2:7" s="34" customFormat="1" ht="15" x14ac:dyDescent="0.2">
      <c r="B71" s="514" t="s">
        <v>174</v>
      </c>
      <c r="C71" s="530" t="e">
        <f>VLOOKUP(C69,$B$58:$G$60,$C$54,FALSE)</f>
        <v>#N/A</v>
      </c>
      <c r="D71" s="530" t="e">
        <f>VLOOKUP(D69,$B$58:$G$60,$C$54,FALSE)</f>
        <v>#N/A</v>
      </c>
      <c r="E71" s="530" t="e">
        <f>VLOOKUP(E69,$B$58:$G$60,$C$54,FALSE)</f>
        <v>#N/A</v>
      </c>
      <c r="F71" s="541" t="e">
        <f>VLOOKUP(F69,$B$58:$G$60,$C$54,FALSE)</f>
        <v>#N/A</v>
      </c>
    </row>
    <row r="72" spans="2:7" s="34" customFormat="1" ht="15.75" thickBot="1" x14ac:dyDescent="0.25">
      <c r="B72" s="516" t="s">
        <v>258</v>
      </c>
      <c r="C72" s="508" t="b">
        <f>NOT(ISNA(C71))</f>
        <v>0</v>
      </c>
      <c r="D72" s="508" t="b">
        <f t="shared" ref="D72:F72" si="1">NOT(ISNA(D71))</f>
        <v>0</v>
      </c>
      <c r="E72" s="508" t="b">
        <f t="shared" si="1"/>
        <v>0</v>
      </c>
      <c r="F72" s="509" t="b">
        <f t="shared" si="1"/>
        <v>0</v>
      </c>
      <c r="G72" s="34" t="s">
        <v>257</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6" t="s">
        <v>189</v>
      </c>
    </row>
    <row r="77" spans="2:7" s="34" customFormat="1" ht="12.95" customHeight="1" thickTop="1" thickBot="1" x14ac:dyDescent="0.25"/>
    <row r="78" spans="2:7" s="34" customFormat="1" ht="12.95" customHeight="1" x14ac:dyDescent="0.2">
      <c r="B78" s="617" t="s">
        <v>276</v>
      </c>
      <c r="C78" s="618"/>
      <c r="D78" s="618"/>
      <c r="E78" s="618"/>
      <c r="F78" s="619"/>
    </row>
    <row r="79" spans="2:7" s="34" customFormat="1" ht="12.95" customHeight="1" x14ac:dyDescent="0.2">
      <c r="B79" s="78" t="str">
        <f>Parameters!B53</f>
        <v>Depth Min</v>
      </c>
      <c r="C79" s="79" t="e">
        <f ca="1">Parameters!C53</f>
        <v>#N/A</v>
      </c>
      <c r="D79" s="80" t="e">
        <f ca="1">Parameters!D53</f>
        <v>#N/A</v>
      </c>
      <c r="E79" s="80" t="e">
        <f ca="1">Parameters!E53</f>
        <v>#N/A</v>
      </c>
      <c r="F79" s="533" t="e">
        <f ca="1">Parameters!F53</f>
        <v>#N/A</v>
      </c>
    </row>
    <row r="80" spans="2:7" s="34" customFormat="1" ht="12.95" customHeight="1" thickBot="1" x14ac:dyDescent="0.25">
      <c r="B80" s="81" t="str">
        <f>Parameters!B54</f>
        <v>Depth Max</v>
      </c>
      <c r="C80" s="82" t="e">
        <f ca="1">Parameters!C54</f>
        <v>#N/A</v>
      </c>
      <c r="D80" s="83" t="e">
        <f ca="1">Parameters!D54</f>
        <v>#N/A</v>
      </c>
      <c r="E80" s="83" t="e">
        <f ca="1">Parameters!E54</f>
        <v>#N/A</v>
      </c>
      <c r="F80" s="542" t="e">
        <f ca="1">Parameters!F54</f>
        <v>#N/A</v>
      </c>
    </row>
    <row r="81" spans="2:6" s="34" customFormat="1" ht="12.95" customHeight="1" thickBot="1" x14ac:dyDescent="0.25"/>
    <row r="82" spans="2:6" s="34" customFormat="1" ht="12.95" customHeight="1" x14ac:dyDescent="0.2">
      <c r="B82" s="654" t="s">
        <v>354</v>
      </c>
      <c r="C82" s="655"/>
      <c r="D82" s="655"/>
      <c r="E82" s="655"/>
      <c r="F82" s="656"/>
    </row>
    <row r="83" spans="2:6" s="34" customFormat="1" ht="12.95" customHeight="1" x14ac:dyDescent="0.2">
      <c r="B83" s="532" t="b">
        <v>0</v>
      </c>
      <c r="C83" s="614" t="s">
        <v>112</v>
      </c>
      <c r="D83" s="614"/>
      <c r="E83" s="614"/>
      <c r="F83" s="615"/>
    </row>
    <row r="84" spans="2:6" s="34" customFormat="1" ht="12.95" customHeight="1" x14ac:dyDescent="0.2">
      <c r="B84" s="35" t="s">
        <v>138</v>
      </c>
      <c r="C84" s="80" t="e">
        <f ca="1">Parameters!C139</f>
        <v>#N/A</v>
      </c>
      <c r="D84" s="80" t="e">
        <f ca="1">Parameters!D139</f>
        <v>#N/A</v>
      </c>
      <c r="E84" s="80" t="e">
        <f ca="1">Parameters!E139</f>
        <v>#N/A</v>
      </c>
      <c r="F84" s="533" t="e">
        <f ca="1">Parameters!F139</f>
        <v>#N/A</v>
      </c>
    </row>
    <row r="85" spans="2:6" s="34" customFormat="1" ht="12.95" customHeight="1" x14ac:dyDescent="0.2">
      <c r="B85" s="35" t="s">
        <v>183</v>
      </c>
      <c r="C85" s="531">
        <f>'Data Entry'!C15</f>
        <v>0</v>
      </c>
      <c r="D85" s="531">
        <f>'Data Entry'!D15</f>
        <v>0</v>
      </c>
      <c r="E85" s="531">
        <f>'Data Entry'!E15</f>
        <v>0</v>
      </c>
      <c r="F85" s="534">
        <f>'Data Entry'!F15</f>
        <v>0</v>
      </c>
    </row>
    <row r="86" spans="2:6" s="34" customFormat="1" ht="12.95" customHeight="1" x14ac:dyDescent="0.2">
      <c r="B86" s="35" t="s">
        <v>192</v>
      </c>
      <c r="C86" s="71" t="b">
        <f>AND(ISNUMBER(C85),OR($B$83,C85&lt;=100))</f>
        <v>1</v>
      </c>
      <c r="D86" s="71" t="b">
        <f t="shared" ref="D86:F86" si="2">AND(ISNUMBER(D85),OR($B$83,D85&lt;=100))</f>
        <v>1</v>
      </c>
      <c r="E86" s="71" t="b">
        <f t="shared" si="2"/>
        <v>1</v>
      </c>
      <c r="F86" s="535" t="b">
        <f t="shared" si="2"/>
        <v>1</v>
      </c>
    </row>
    <row r="87" spans="2:6" s="34" customFormat="1" ht="12.95" customHeight="1" x14ac:dyDescent="0.2">
      <c r="B87" s="35" t="s">
        <v>222</v>
      </c>
      <c r="C87" s="71" t="b">
        <f>AND($B$83,C85&gt;100)</f>
        <v>0</v>
      </c>
      <c r="D87" s="71" t="b">
        <f>AND($B$83,D85&gt;100)</f>
        <v>0</v>
      </c>
      <c r="E87" s="71" t="b">
        <f>AND($B$83,E85&gt;100)</f>
        <v>0</v>
      </c>
      <c r="F87" s="535" t="b">
        <f>AND($B$83,F85&gt;100)</f>
        <v>0</v>
      </c>
    </row>
    <row r="88" spans="2:6" s="34" customFormat="1" ht="12.95" customHeight="1" x14ac:dyDescent="0.2">
      <c r="B88" s="35" t="s">
        <v>188</v>
      </c>
      <c r="C88" s="531" t="e">
        <f>IF(ISBLANK('Data Entry'!C16),#N/A,'Data Entry'!C16)</f>
        <v>#N/A</v>
      </c>
      <c r="D88" s="531" t="e">
        <f>IF(ISBLANK('Data Entry'!D16),#N/A,'Data Entry'!D16)</f>
        <v>#N/A</v>
      </c>
      <c r="E88" s="531" t="e">
        <f>IF(ISBLANK('Data Entry'!E16),#N/A,'Data Entry'!E16)</f>
        <v>#N/A</v>
      </c>
      <c r="F88" s="534" t="e">
        <f>IF(ISBLANK('Data Entry'!F16),#N/A,'Data Entry'!F16)</f>
        <v>#N/A</v>
      </c>
    </row>
    <row r="89" spans="2:6" s="34" customFormat="1" ht="12.95" customHeight="1" x14ac:dyDescent="0.2">
      <c r="B89" s="74" t="s">
        <v>284</v>
      </c>
      <c r="C89" s="71" t="b">
        <f>IF(C87,ISNUMBER(C88),TRUE)</f>
        <v>1</v>
      </c>
      <c r="D89" s="71" t="b">
        <f t="shared" ref="D89:F89" si="3">IF(D87,ISNUMBER(D88),TRUE)</f>
        <v>1</v>
      </c>
      <c r="E89" s="71" t="b">
        <f t="shared" si="3"/>
        <v>1</v>
      </c>
      <c r="F89" s="535" t="b">
        <f t="shared" si="3"/>
        <v>1</v>
      </c>
    </row>
    <row r="90" spans="2:6" s="34" customFormat="1" ht="12.95" customHeight="1" x14ac:dyDescent="0.2">
      <c r="B90" s="35" t="s">
        <v>219</v>
      </c>
      <c r="C90" s="84">
        <f>IF(C87,C85+C88,100)</f>
        <v>100</v>
      </c>
      <c r="D90" s="84">
        <f>IF(D87,D85+D88,100)</f>
        <v>100</v>
      </c>
      <c r="E90" s="84">
        <f>IF(E87,E85+E88,100)</f>
        <v>100</v>
      </c>
      <c r="F90" s="536">
        <f>IF(F87,F85+F88,100)</f>
        <v>100</v>
      </c>
    </row>
    <row r="91" spans="2:6" s="34" customFormat="1" ht="12.95" customHeight="1" x14ac:dyDescent="0.2">
      <c r="B91" s="35" t="s">
        <v>184</v>
      </c>
      <c r="C91" s="85">
        <f>IF(C87,(C84/(C90-(100-C84)))^2,1)</f>
        <v>1</v>
      </c>
      <c r="D91" s="85">
        <f t="shared" ref="D91:F91" si="4">IF(D87,(D84/(D90-(100-D84)))^2,1)</f>
        <v>1</v>
      </c>
      <c r="E91" s="85">
        <f t="shared" si="4"/>
        <v>1</v>
      </c>
      <c r="F91" s="537">
        <f t="shared" si="4"/>
        <v>1</v>
      </c>
    </row>
    <row r="92" spans="2:6" s="34" customFormat="1" ht="12.95" customHeight="1" thickBot="1" x14ac:dyDescent="0.25">
      <c r="B92" s="70" t="s">
        <v>333</v>
      </c>
      <c r="C92" s="86">
        <f>IF(C87,C88,100-C85)</f>
        <v>100</v>
      </c>
      <c r="D92" s="86">
        <f>IF(D87,D88,100-D85)</f>
        <v>100</v>
      </c>
      <c r="E92" s="86">
        <f>IF(E87,E88,100-E85)</f>
        <v>100</v>
      </c>
      <c r="F92" s="538">
        <f>IF(F87,F88,100-F85)</f>
        <v>100</v>
      </c>
    </row>
    <row r="93" spans="2:6" s="34" customFormat="1" ht="12.95" customHeight="1" thickBot="1" x14ac:dyDescent="0.25">
      <c r="B93" s="87"/>
      <c r="C93" s="87"/>
      <c r="D93" s="87"/>
      <c r="E93" s="87"/>
      <c r="F93" s="87"/>
    </row>
    <row r="94" spans="2:6" s="34" customFormat="1" ht="12.95" customHeight="1" x14ac:dyDescent="0.2">
      <c r="B94" s="33" t="b">
        <v>0</v>
      </c>
      <c r="C94" s="618" t="s">
        <v>69</v>
      </c>
      <c r="D94" s="618"/>
      <c r="E94" s="618"/>
      <c r="F94" s="618"/>
    </row>
    <row r="95" spans="2:6" s="34" customFormat="1" ht="12.95" customHeight="1" x14ac:dyDescent="0.2">
      <c r="B95" s="74" t="s">
        <v>186</v>
      </c>
      <c r="C95" s="88">
        <f>'Data Entry'!C20</f>
        <v>0</v>
      </c>
      <c r="D95" s="88">
        <f>'Data Entry'!D20</f>
        <v>0</v>
      </c>
      <c r="E95" s="88">
        <f>'Data Entry'!E20</f>
        <v>0</v>
      </c>
      <c r="F95" s="88">
        <f>'Data Entry'!F20</f>
        <v>0</v>
      </c>
    </row>
    <row r="96" spans="2:6" s="34" customFormat="1" ht="12.95" customHeight="1" x14ac:dyDescent="0.2">
      <c r="B96" s="74" t="s">
        <v>223</v>
      </c>
      <c r="C96" s="71" t="b">
        <f>AND($B$94,ISNUMBER(C95),C95&gt;0)</f>
        <v>0</v>
      </c>
      <c r="D96" s="71" t="b">
        <f t="shared" ref="D96:F96" si="5">AND($B$94,ISNUMBER(D95),D95&gt;0)</f>
        <v>0</v>
      </c>
      <c r="E96" s="71" t="b">
        <f t="shared" si="5"/>
        <v>0</v>
      </c>
      <c r="F96" s="71" t="b">
        <f t="shared" si="5"/>
        <v>0</v>
      </c>
    </row>
    <row r="97" spans="2:8" s="34" customFormat="1" ht="12.95" customHeight="1" x14ac:dyDescent="0.2">
      <c r="B97" s="74" t="s">
        <v>266</v>
      </c>
      <c r="C97" s="69">
        <f>'Data Entry'!C21</f>
        <v>0</v>
      </c>
      <c r="D97" s="69">
        <f>'Data Entry'!D21</f>
        <v>0</v>
      </c>
      <c r="E97" s="69">
        <f>'Data Entry'!E21</f>
        <v>0</v>
      </c>
      <c r="F97" s="69">
        <f>'Data Entry'!F21</f>
        <v>0</v>
      </c>
    </row>
    <row r="98" spans="2:8" s="34" customFormat="1" ht="12.95" customHeight="1" x14ac:dyDescent="0.2">
      <c r="B98" s="74" t="s">
        <v>282</v>
      </c>
      <c r="C98" s="89">
        <f>C85-C97</f>
        <v>0</v>
      </c>
      <c r="D98" s="89">
        <f>D85-D97</f>
        <v>0</v>
      </c>
      <c r="E98" s="89">
        <f>E85-E97</f>
        <v>0</v>
      </c>
      <c r="F98" s="89">
        <f>F85-F97</f>
        <v>0</v>
      </c>
    </row>
    <row r="99" spans="2:8" s="34" customFormat="1" ht="12.95" customHeight="1" x14ac:dyDescent="0.2">
      <c r="B99" s="74" t="s">
        <v>259</v>
      </c>
      <c r="C99" s="90">
        <f>C95/COS(70*PI()/180)</f>
        <v>0</v>
      </c>
      <c r="D99" s="90">
        <f t="shared" ref="D99:F99" si="6">D95/COS(70*PI()/180)</f>
        <v>0</v>
      </c>
      <c r="E99" s="90">
        <f t="shared" si="6"/>
        <v>0</v>
      </c>
      <c r="F99" s="90">
        <f t="shared" si="6"/>
        <v>0</v>
      </c>
    </row>
    <row r="100" spans="2:8" s="34" customFormat="1" ht="12.95" customHeight="1" x14ac:dyDescent="0.2">
      <c r="B100" s="74" t="s">
        <v>299</v>
      </c>
      <c r="C100" s="91" t="b">
        <f>IF(C96,C98&lt;=C99,TRUE)</f>
        <v>1</v>
      </c>
      <c r="D100" s="91" t="b">
        <f t="shared" ref="D100:F100" si="7">IF(D96,D98&lt;=D99,TRUE)</f>
        <v>1</v>
      </c>
      <c r="E100" s="91" t="b">
        <f t="shared" si="7"/>
        <v>1</v>
      </c>
      <c r="F100" s="91" t="b">
        <f t="shared" si="7"/>
        <v>1</v>
      </c>
      <c r="G100" s="34" t="s">
        <v>321</v>
      </c>
    </row>
    <row r="101" spans="2:8" s="34" customFormat="1" ht="12.95" customHeight="1" thickBot="1" x14ac:dyDescent="0.25">
      <c r="B101" s="75" t="s">
        <v>300</v>
      </c>
      <c r="C101" s="77" t="b">
        <f>IF(C96,C98&gt;=C95,TRUE)</f>
        <v>1</v>
      </c>
      <c r="D101" s="77" t="b">
        <f t="shared" ref="D101:F101" si="8">IF(D96,D98&gt;=D95,TRUE)</f>
        <v>1</v>
      </c>
      <c r="E101" s="77" t="b">
        <f t="shared" si="8"/>
        <v>1</v>
      </c>
      <c r="F101" s="77" t="b">
        <f t="shared" si="8"/>
        <v>1</v>
      </c>
    </row>
    <row r="102" spans="2:8" s="34" customFormat="1" ht="12.95" customHeight="1" thickBot="1" x14ac:dyDescent="0.25">
      <c r="B102" s="92"/>
      <c r="C102" s="93"/>
      <c r="D102" s="93"/>
      <c r="E102" s="93"/>
      <c r="F102" s="93"/>
    </row>
    <row r="103" spans="2:8" s="34" customFormat="1" ht="12.95" customHeight="1" x14ac:dyDescent="0.2">
      <c r="B103" s="94" t="b">
        <f>NOT(EXACT(C104,$C$105))</f>
        <v>0</v>
      </c>
      <c r="C103" s="618" t="s">
        <v>20</v>
      </c>
      <c r="D103" s="618"/>
      <c r="E103" s="618"/>
      <c r="F103" s="618"/>
    </row>
    <row r="104" spans="2:8" s="34" customFormat="1" ht="12.95" customHeight="1" x14ac:dyDescent="0.2">
      <c r="B104" s="74" t="s">
        <v>190</v>
      </c>
      <c r="C104" s="650" t="str">
        <f>'Data Entry'!B23</f>
        <v>Type</v>
      </c>
      <c r="D104" s="650"/>
      <c r="E104" s="650"/>
      <c r="F104" s="650"/>
    </row>
    <row r="105" spans="2:8" s="34" customFormat="1" ht="12.95" customHeight="1" x14ac:dyDescent="0.2">
      <c r="B105" s="74" t="s">
        <v>191</v>
      </c>
      <c r="C105" s="621" t="s">
        <v>21</v>
      </c>
      <c r="D105" s="621"/>
      <c r="E105" s="621"/>
      <c r="F105" s="621"/>
      <c r="H105" s="95" t="s">
        <v>355</v>
      </c>
    </row>
    <row r="106" spans="2:8" s="34" customFormat="1" ht="12.95" customHeight="1" x14ac:dyDescent="0.2">
      <c r="B106" s="35" t="s">
        <v>20</v>
      </c>
      <c r="C106" s="88">
        <f>IF($B$103,'Data Entry'!C23,0)</f>
        <v>0</v>
      </c>
      <c r="D106" s="88">
        <f>IF($B$103,'Data Entry'!D23,0)</f>
        <v>0</v>
      </c>
      <c r="E106" s="88">
        <f>IF($B$103,'Data Entry'!E23,0)</f>
        <v>0</v>
      </c>
      <c r="F106" s="88">
        <f>IF($B$103,'Data Entry'!F23,0)</f>
        <v>0</v>
      </c>
    </row>
    <row r="107" spans="2:8" s="34" customFormat="1" ht="12.95" customHeight="1" x14ac:dyDescent="0.2">
      <c r="B107" s="74" t="s">
        <v>283</v>
      </c>
      <c r="C107" s="620">
        <v>2</v>
      </c>
      <c r="D107" s="620"/>
      <c r="E107" s="620"/>
      <c r="F107" s="620"/>
    </row>
    <row r="108" spans="2:8" s="34" customFormat="1" ht="12.95" customHeight="1" thickBot="1" x14ac:dyDescent="0.25">
      <c r="B108" s="75" t="s">
        <v>322</v>
      </c>
      <c r="C108" s="96" t="b">
        <f>IF($B$103,AND(ISNUMBER(C106),C106&lt;$C107),TRUE)</f>
        <v>1</v>
      </c>
      <c r="D108" s="96" t="b">
        <f t="shared" ref="D108:F108" si="9">IF($B$103,AND(ISNUMBER(D106),D106&lt;$C107),TRUE)</f>
        <v>1</v>
      </c>
      <c r="E108" s="96" t="b">
        <f t="shared" si="9"/>
        <v>1</v>
      </c>
      <c r="F108" s="96" t="b">
        <f t="shared" si="9"/>
        <v>1</v>
      </c>
      <c r="G108" s="34" t="s">
        <v>321</v>
      </c>
    </row>
    <row r="109" spans="2:8" s="34" customFormat="1" ht="12.95" customHeight="1" thickBot="1" x14ac:dyDescent="0.25">
      <c r="B109" s="92"/>
      <c r="C109" s="93"/>
      <c r="D109" s="93"/>
      <c r="E109" s="93"/>
      <c r="F109" s="93"/>
    </row>
    <row r="110" spans="2:8" s="34" customFormat="1" ht="12.95" customHeight="1" x14ac:dyDescent="0.2">
      <c r="B110" s="654" t="s">
        <v>280</v>
      </c>
      <c r="C110" s="655"/>
      <c r="D110" s="655"/>
      <c r="E110" s="655"/>
      <c r="F110" s="657"/>
    </row>
    <row r="111" spans="2:8" s="34" customFormat="1" ht="12.95" customHeight="1" x14ac:dyDescent="0.2">
      <c r="B111" s="35" t="s">
        <v>333</v>
      </c>
      <c r="C111" s="98">
        <f>C92</f>
        <v>100</v>
      </c>
      <c r="D111" s="98">
        <f>D92</f>
        <v>100</v>
      </c>
      <c r="E111" s="98">
        <f>E92</f>
        <v>100</v>
      </c>
      <c r="F111" s="98">
        <f>F92</f>
        <v>100</v>
      </c>
    </row>
    <row r="112" spans="2:8" s="34" customFormat="1" ht="12.95" customHeight="1" x14ac:dyDescent="0.2">
      <c r="B112" s="74" t="s">
        <v>282</v>
      </c>
      <c r="C112" s="98">
        <f>IF(C96,C98,0)</f>
        <v>0</v>
      </c>
      <c r="D112" s="98">
        <f>IF(D96,D98,0)</f>
        <v>0</v>
      </c>
      <c r="E112" s="98">
        <f>IF(E96,E98,0)</f>
        <v>0</v>
      </c>
      <c r="F112" s="98">
        <f>IF(F96,F98,0)</f>
        <v>0</v>
      </c>
    </row>
    <row r="113" spans="2:8" s="34" customFormat="1" ht="12.95" customHeight="1" x14ac:dyDescent="0.2">
      <c r="B113" s="74" t="s">
        <v>20</v>
      </c>
      <c r="C113" s="98">
        <f>IF($B$103,C106,0)</f>
        <v>0</v>
      </c>
      <c r="D113" s="98">
        <f>IF($B$103,D106,0)</f>
        <v>0</v>
      </c>
      <c r="E113" s="98">
        <f>IF($B$103,E106,0)</f>
        <v>0</v>
      </c>
      <c r="F113" s="98">
        <f>IF($B$103,F106,0)</f>
        <v>0</v>
      </c>
    </row>
    <row r="114" spans="2:8" s="34" customFormat="1" ht="12.95" customHeight="1" x14ac:dyDescent="0.2">
      <c r="B114" s="35" t="s">
        <v>185</v>
      </c>
      <c r="C114" s="84">
        <f>C111+C112+C113</f>
        <v>100</v>
      </c>
      <c r="D114" s="84">
        <f t="shared" ref="D114:F114" si="10">D111+D112+D113</f>
        <v>100</v>
      </c>
      <c r="E114" s="84">
        <f t="shared" si="10"/>
        <v>100</v>
      </c>
      <c r="F114" s="84">
        <f t="shared" si="10"/>
        <v>100</v>
      </c>
    </row>
    <row r="115" spans="2:8" s="34" customFormat="1" ht="12.95" customHeight="1" x14ac:dyDescent="0.2">
      <c r="B115" s="74" t="s">
        <v>285</v>
      </c>
      <c r="C115" s="71" t="b">
        <f ca="1">IF(OR(ISERROR(C79),ISERROR(C80)),FALSE,AND(C114&gt;=C79,C114&lt;=C80))</f>
        <v>0</v>
      </c>
      <c r="D115" s="71" t="b">
        <f ca="1">IF(OR(ISERROR(D79),ISERROR(D80),ISERROR(D92)),FALSE,AND(D114&gt;=D79,D114&lt;=D80))</f>
        <v>0</v>
      </c>
      <c r="E115" s="71" t="b">
        <f ca="1">IF(OR(ISERROR(E79),ISERROR(E80)),FALSE,AND(E114&gt;=E79,E114&lt;=E80))</f>
        <v>0</v>
      </c>
      <c r="F115" s="71" t="b">
        <f ca="1">IF(OR(ISERROR(F79),ISERROR(F80)),FALSE,AND(F114&gt;=F79,F114&lt;=F80))</f>
        <v>0</v>
      </c>
    </row>
    <row r="116" spans="2:8" s="34" customFormat="1" ht="12.95" customHeight="1" thickBot="1" x14ac:dyDescent="0.25">
      <c r="B116" s="75" t="s">
        <v>218</v>
      </c>
      <c r="C116" s="77" t="b">
        <f ca="1">AND(C34,C86,C89,C101,C115)</f>
        <v>0</v>
      </c>
      <c r="D116" s="77" t="b">
        <f ca="1">AND(D34,D86,D89,D101,D115)</f>
        <v>0</v>
      </c>
      <c r="E116" s="77" t="b">
        <f ca="1">AND(E34,E86,E89,E101,E115)</f>
        <v>0</v>
      </c>
      <c r="F116" s="77" t="b">
        <f ca="1">AND(F34,F86,F89,F101,F115)</f>
        <v>0</v>
      </c>
      <c r="G116" s="34" t="s">
        <v>257</v>
      </c>
    </row>
    <row r="117" spans="2:8" s="34" customFormat="1" ht="12.95" customHeight="1" x14ac:dyDescent="0.2"/>
    <row r="118" spans="2:8" s="34" customFormat="1" ht="12.95" customHeight="1" x14ac:dyDescent="0.2"/>
    <row r="119" spans="2:8" ht="12.95" customHeight="1" x14ac:dyDescent="0.2"/>
    <row r="120" spans="2:8" ht="20.25" thickBot="1" x14ac:dyDescent="0.35">
      <c r="B120" s="66" t="s">
        <v>31</v>
      </c>
    </row>
    <row r="121" spans="2:8" s="34" customFormat="1" ht="14.25" thickTop="1" thickBot="1" x14ac:dyDescent="0.25"/>
    <row r="122" spans="2:8" s="34" customFormat="1" x14ac:dyDescent="0.2">
      <c r="B122" s="617" t="s">
        <v>88</v>
      </c>
      <c r="C122" s="618"/>
      <c r="D122" s="618"/>
      <c r="E122" s="618"/>
      <c r="F122" s="618"/>
    </row>
    <row r="123" spans="2:8" s="34" customFormat="1" x14ac:dyDescent="0.2">
      <c r="B123" s="74" t="str">
        <f>Parameters!B39</f>
        <v>X1 Min</v>
      </c>
      <c r="C123" s="80" t="e">
        <f ca="1">Parameters!C39</f>
        <v>#N/A</v>
      </c>
      <c r="D123" s="80" t="e">
        <f ca="1">Parameters!D39</f>
        <v>#N/A</v>
      </c>
      <c r="E123" s="80" t="e">
        <f ca="1">Parameters!E39</f>
        <v>#N/A</v>
      </c>
      <c r="F123" s="80" t="e">
        <f ca="1">Parameters!F39</f>
        <v>#N/A</v>
      </c>
    </row>
    <row r="124" spans="2:8" s="34" customFormat="1" x14ac:dyDescent="0.2">
      <c r="B124" s="74" t="str">
        <f>Parameters!B40</f>
        <v>X1 Max</v>
      </c>
      <c r="C124" s="80" t="e">
        <f ca="1">Parameters!C40</f>
        <v>#N/A</v>
      </c>
      <c r="D124" s="80" t="e">
        <f ca="1">Parameters!D40</f>
        <v>#N/A</v>
      </c>
      <c r="E124" s="80" t="e">
        <f ca="1">Parameters!E40</f>
        <v>#N/A</v>
      </c>
      <c r="F124" s="80" t="e">
        <f ca="1">Parameters!F40</f>
        <v>#N/A</v>
      </c>
    </row>
    <row r="125" spans="2:8" s="34" customFormat="1" x14ac:dyDescent="0.2">
      <c r="B125" s="74" t="str">
        <f>Parameters!B41</f>
        <v>X2 Min</v>
      </c>
      <c r="C125" s="80" t="e">
        <f ca="1">Parameters!C41</f>
        <v>#N/A</v>
      </c>
      <c r="D125" s="80" t="e">
        <f ca="1">Parameters!D41</f>
        <v>#N/A</v>
      </c>
      <c r="E125" s="80" t="e">
        <f ca="1">Parameters!E41</f>
        <v>#N/A</v>
      </c>
      <c r="F125" s="80" t="e">
        <f ca="1">Parameters!F41</f>
        <v>#N/A</v>
      </c>
    </row>
    <row r="126" spans="2:8" s="34" customFormat="1" x14ac:dyDescent="0.2">
      <c r="B126" s="74" t="str">
        <f>Parameters!B42</f>
        <v>X2 Max</v>
      </c>
      <c r="C126" s="80" t="e">
        <f ca="1">Parameters!C42</f>
        <v>#N/A</v>
      </c>
      <c r="D126" s="80" t="e">
        <f ca="1">Parameters!D42</f>
        <v>#N/A</v>
      </c>
      <c r="E126" s="80" t="e">
        <f ca="1">Parameters!E42</f>
        <v>#N/A</v>
      </c>
      <c r="F126" s="80" t="e">
        <f ca="1">Parameters!F42</f>
        <v>#N/A</v>
      </c>
    </row>
    <row r="127" spans="2:8" s="34" customFormat="1" x14ac:dyDescent="0.2">
      <c r="B127" s="74" t="str">
        <f>Parameters!B43</f>
        <v>Y1 Min</v>
      </c>
      <c r="C127" s="80" t="e">
        <f ca="1">Parameters!C43</f>
        <v>#N/A</v>
      </c>
      <c r="D127" s="80" t="e">
        <f ca="1">Parameters!D43</f>
        <v>#N/A</v>
      </c>
      <c r="E127" s="80" t="e">
        <f ca="1">Parameters!E43</f>
        <v>#N/A</v>
      </c>
      <c r="F127" s="80" t="e">
        <f ca="1">Parameters!F43</f>
        <v>#N/A</v>
      </c>
    </row>
    <row r="128" spans="2:8" s="34" customFormat="1" x14ac:dyDescent="0.2">
      <c r="B128" s="74" t="str">
        <f>Parameters!B44</f>
        <v>Y1 Max</v>
      </c>
      <c r="C128" s="80" t="e">
        <f ca="1">Parameters!C44</f>
        <v>#N/A</v>
      </c>
      <c r="D128" s="80" t="e">
        <f ca="1">Parameters!D44</f>
        <v>#N/A</v>
      </c>
      <c r="E128" s="80" t="e">
        <f ca="1">Parameters!E44</f>
        <v>#N/A</v>
      </c>
      <c r="F128" s="80" t="e">
        <f ca="1">Parameters!F44</f>
        <v>#N/A</v>
      </c>
      <c r="H128" s="34" t="s">
        <v>212</v>
      </c>
    </row>
    <row r="129" spans="2:8" s="34" customFormat="1" x14ac:dyDescent="0.2">
      <c r="B129" s="74" t="str">
        <f>Parameters!B45</f>
        <v>Y2 Min</v>
      </c>
      <c r="C129" s="80" t="e">
        <f ca="1">Parameters!C45</f>
        <v>#N/A</v>
      </c>
      <c r="D129" s="80" t="e">
        <f ca="1">Parameters!D45</f>
        <v>#N/A</v>
      </c>
      <c r="E129" s="80" t="e">
        <f ca="1">Parameters!E45</f>
        <v>#N/A</v>
      </c>
      <c r="F129" s="80" t="e">
        <f ca="1">Parameters!F45</f>
        <v>#N/A</v>
      </c>
    </row>
    <row r="130" spans="2:8" s="34" customFormat="1" x14ac:dyDescent="0.2">
      <c r="B130" s="74" t="str">
        <f>Parameters!B46</f>
        <v>Y2 Max</v>
      </c>
      <c r="C130" s="80" t="e">
        <f ca="1">Parameters!C46</f>
        <v>#N/A</v>
      </c>
      <c r="D130" s="80" t="e">
        <f ca="1">Parameters!D46</f>
        <v>#N/A</v>
      </c>
      <c r="E130" s="80" t="e">
        <f ca="1">Parameters!E46</f>
        <v>#N/A</v>
      </c>
      <c r="F130" s="80" t="e">
        <f ca="1">Parameters!F46</f>
        <v>#N/A</v>
      </c>
    </row>
    <row r="131" spans="2:8" s="34" customFormat="1" x14ac:dyDescent="0.2">
      <c r="B131" s="74" t="s">
        <v>288</v>
      </c>
      <c r="C131" s="80" t="e">
        <f ca="1">Parameters!C47</f>
        <v>#N/A</v>
      </c>
      <c r="D131" s="80" t="e">
        <f ca="1">Parameters!D47</f>
        <v>#N/A</v>
      </c>
      <c r="E131" s="80" t="e">
        <f ca="1">Parameters!E47</f>
        <v>#N/A</v>
      </c>
      <c r="F131" s="80" t="e">
        <f ca="1">Parameters!F47</f>
        <v>#N/A</v>
      </c>
    </row>
    <row r="132" spans="2:8" s="34" customFormat="1" x14ac:dyDescent="0.2">
      <c r="B132" s="74" t="s">
        <v>289</v>
      </c>
      <c r="C132" s="80" t="e">
        <f ca="1">Parameters!C48</f>
        <v>#N/A</v>
      </c>
      <c r="D132" s="80" t="e">
        <f ca="1">Parameters!D48</f>
        <v>#N/A</v>
      </c>
      <c r="E132" s="80" t="e">
        <f ca="1">Parameters!E48</f>
        <v>#N/A</v>
      </c>
      <c r="F132" s="80" t="e">
        <f ca="1">Parameters!F48</f>
        <v>#N/A</v>
      </c>
    </row>
    <row r="133" spans="2:8" s="34" customFormat="1" x14ac:dyDescent="0.2">
      <c r="B133" s="74" t="s">
        <v>290</v>
      </c>
      <c r="C133" s="80" t="e">
        <f ca="1">Parameters!C49</f>
        <v>#N/A</v>
      </c>
      <c r="D133" s="80" t="e">
        <f ca="1">Parameters!D49</f>
        <v>#N/A</v>
      </c>
      <c r="E133" s="80" t="e">
        <f ca="1">Parameters!E49</f>
        <v>#N/A</v>
      </c>
      <c r="F133" s="80" t="e">
        <f ca="1">Parameters!F49</f>
        <v>#N/A</v>
      </c>
    </row>
    <row r="134" spans="2:8" s="34" customFormat="1" x14ac:dyDescent="0.2">
      <c r="B134" s="74" t="s">
        <v>291</v>
      </c>
      <c r="C134" s="80" t="e">
        <f ca="1">Parameters!C50</f>
        <v>#N/A</v>
      </c>
      <c r="D134" s="80" t="e">
        <f ca="1">Parameters!D50</f>
        <v>#N/A</v>
      </c>
      <c r="E134" s="80" t="e">
        <f ca="1">Parameters!E50</f>
        <v>#N/A</v>
      </c>
      <c r="F134" s="80" t="e">
        <f ca="1">Parameters!F50</f>
        <v>#N/A</v>
      </c>
    </row>
    <row r="135" spans="2:8" s="34" customFormat="1" x14ac:dyDescent="0.2">
      <c r="B135" s="74" t="str">
        <f>Parameters!B51</f>
        <v>Field  Size Min</v>
      </c>
      <c r="C135" s="80" t="e">
        <f ca="1">Parameters!C51</f>
        <v>#N/A</v>
      </c>
      <c r="D135" s="80" t="e">
        <f ca="1">Parameters!D51</f>
        <v>#N/A</v>
      </c>
      <c r="E135" s="80" t="e">
        <f ca="1">Parameters!E51</f>
        <v>#N/A</v>
      </c>
      <c r="F135" s="80" t="e">
        <f ca="1">Parameters!F51</f>
        <v>#N/A</v>
      </c>
    </row>
    <row r="136" spans="2:8" s="34" customFormat="1" ht="13.5" thickBot="1" x14ac:dyDescent="0.25">
      <c r="B136" s="75" t="str">
        <f>Parameters!B52</f>
        <v>Field  Size Max</v>
      </c>
      <c r="C136" s="83" t="e">
        <f ca="1">Parameters!C52</f>
        <v>#N/A</v>
      </c>
      <c r="D136" s="83" t="e">
        <f ca="1">Parameters!D52</f>
        <v>#N/A</v>
      </c>
      <c r="E136" s="83" t="e">
        <f ca="1">Parameters!E52</f>
        <v>#N/A</v>
      </c>
      <c r="F136" s="83" t="e">
        <f ca="1">Parameters!F52</f>
        <v>#N/A</v>
      </c>
    </row>
    <row r="137" spans="2:8" s="34" customFormat="1" ht="13.5" thickBot="1" x14ac:dyDescent="0.25"/>
    <row r="138" spans="2:8" s="34" customFormat="1" x14ac:dyDescent="0.2">
      <c r="B138" s="617" t="s">
        <v>31</v>
      </c>
      <c r="C138" s="618"/>
      <c r="D138" s="618"/>
      <c r="E138" s="618"/>
      <c r="F138" s="618"/>
      <c r="G138" s="87"/>
      <c r="H138" s="87"/>
    </row>
    <row r="139" spans="2:8" s="34" customFormat="1" x14ac:dyDescent="0.2">
      <c r="B139" s="35" t="s">
        <v>145</v>
      </c>
      <c r="C139" s="64" t="b">
        <v>0</v>
      </c>
      <c r="D139" s="64" t="b">
        <v>0</v>
      </c>
      <c r="E139" s="64" t="b">
        <v>0</v>
      </c>
      <c r="F139" s="64" t="b">
        <v>0</v>
      </c>
      <c r="G139" s="87"/>
      <c r="H139" s="87"/>
    </row>
    <row r="140" spans="2:8" s="34" customFormat="1" x14ac:dyDescent="0.2">
      <c r="B140" s="35" t="str">
        <f>IF(AND(C139:F139),"X",IF(OR(C139:F139),"X   (X1)","X1"))</f>
        <v>X1</v>
      </c>
      <c r="C140" s="543">
        <f>'Data Entry'!C26</f>
        <v>0</v>
      </c>
      <c r="D140" s="543">
        <f>'Data Entry'!D26</f>
        <v>0</v>
      </c>
      <c r="E140" s="543">
        <f>'Data Entry'!E26</f>
        <v>0</v>
      </c>
      <c r="F140" s="543">
        <f>'Data Entry'!F26</f>
        <v>0</v>
      </c>
      <c r="G140" s="87"/>
      <c r="H140" s="87"/>
    </row>
    <row r="141" spans="2:8" s="34" customFormat="1" x14ac:dyDescent="0.2">
      <c r="B141" s="35" t="str">
        <f>IF(AND(C139:F139),"Not Used",IF(OR(C139:F139),"(X2)","X2"))</f>
        <v>X2</v>
      </c>
      <c r="C141" s="543">
        <f>'Data Entry'!C27</f>
        <v>0</v>
      </c>
      <c r="D141" s="543">
        <f>'Data Entry'!D27</f>
        <v>0</v>
      </c>
      <c r="E141" s="543">
        <f>'Data Entry'!E27</f>
        <v>0</v>
      </c>
      <c r="F141" s="543">
        <f>'Data Entry'!F27</f>
        <v>0</v>
      </c>
      <c r="G141" s="87"/>
      <c r="H141" s="87"/>
    </row>
    <row r="142" spans="2:8" s="34" customFormat="1" x14ac:dyDescent="0.2">
      <c r="B142" s="35" t="s">
        <v>146</v>
      </c>
      <c r="C142" s="64" t="b">
        <v>0</v>
      </c>
      <c r="D142" s="64" t="b">
        <v>0</v>
      </c>
      <c r="E142" s="64" t="b">
        <v>0</v>
      </c>
      <c r="F142" s="64" t="b">
        <v>0</v>
      </c>
      <c r="G142" s="87"/>
      <c r="H142" s="87"/>
    </row>
    <row r="143" spans="2:8" s="34" customFormat="1" x14ac:dyDescent="0.2">
      <c r="B143" s="35" t="str">
        <f>IF(AND(C142:F142),"Y",IF(OR(C142:F142),"Y   (Y1)","Y1"))</f>
        <v>Y1</v>
      </c>
      <c r="C143" s="543">
        <f>'Data Entry'!C29</f>
        <v>0</v>
      </c>
      <c r="D143" s="543">
        <f>'Data Entry'!D29</f>
        <v>0</v>
      </c>
      <c r="E143" s="543">
        <f>'Data Entry'!E29</f>
        <v>0</v>
      </c>
      <c r="F143" s="543">
        <f>'Data Entry'!F29</f>
        <v>0</v>
      </c>
      <c r="G143" s="87"/>
      <c r="H143" s="87"/>
    </row>
    <row r="144" spans="2:8" s="34" customFormat="1" ht="13.5" thickBot="1" x14ac:dyDescent="0.25">
      <c r="B144" s="36" t="str">
        <f>IF(AND(C142:F142),"",IF(OR(C142:F142),"(Y2)","Y2"))</f>
        <v>Y2</v>
      </c>
      <c r="C144" s="99">
        <f>IF(C142,"",'Data Entry'!C30)</f>
        <v>0</v>
      </c>
      <c r="D144" s="99">
        <f>IF(D142,"",'Data Entry'!D30)</f>
        <v>0</v>
      </c>
      <c r="E144" s="99">
        <f>IF(E142,"",'Data Entry'!E30)</f>
        <v>0</v>
      </c>
      <c r="F144" s="99">
        <f>IF(F142,"",'Data Entry'!F30)</f>
        <v>0</v>
      </c>
      <c r="G144" s="87"/>
      <c r="H144" s="87"/>
    </row>
    <row r="145" spans="2:8" s="34" customFormat="1" x14ac:dyDescent="0.2">
      <c r="B145" s="100" t="s">
        <v>108</v>
      </c>
      <c r="C145" s="101">
        <f>IF(C$139,'Data Entry'!C26/2,'Data Entry'!C26)</f>
        <v>0</v>
      </c>
      <c r="D145" s="101">
        <f>IF(D$139,'Data Entry'!D26/2,'Data Entry'!D26)</f>
        <v>0</v>
      </c>
      <c r="E145" s="101">
        <f>IF(E$139,'Data Entry'!E26/2,'Data Entry'!E26)</f>
        <v>0</v>
      </c>
      <c r="F145" s="101">
        <f>IF(F$139,'Data Entry'!F26/2,'Data Entry'!F26)</f>
        <v>0</v>
      </c>
      <c r="G145" s="87"/>
      <c r="H145" s="87"/>
    </row>
    <row r="146" spans="2:8" s="34" customFormat="1" x14ac:dyDescent="0.2">
      <c r="B146" s="35" t="s">
        <v>109</v>
      </c>
      <c r="C146" s="543">
        <f>IF(C$139,'Data Entry'!C26/2,'Data Entry'!C27)</f>
        <v>0</v>
      </c>
      <c r="D146" s="543">
        <f>IF(D$139,'Data Entry'!D26/2,'Data Entry'!D27)</f>
        <v>0</v>
      </c>
      <c r="E146" s="543">
        <f>IF(E$139,'Data Entry'!E26/2,'Data Entry'!E27)</f>
        <v>0</v>
      </c>
      <c r="F146" s="543">
        <f>IF(F$139,'Data Entry'!F26/2,'Data Entry'!F27)</f>
        <v>0</v>
      </c>
      <c r="G146" s="87"/>
      <c r="H146" s="87"/>
    </row>
    <row r="147" spans="2:8" s="34" customFormat="1" x14ac:dyDescent="0.2">
      <c r="B147" s="35" t="s">
        <v>292</v>
      </c>
      <c r="C147" s="544">
        <f>C145+C146</f>
        <v>0</v>
      </c>
      <c r="D147" s="544">
        <f t="shared" ref="D147:F147" si="11">D145+D146</f>
        <v>0</v>
      </c>
      <c r="E147" s="544">
        <f t="shared" si="11"/>
        <v>0</v>
      </c>
      <c r="F147" s="544">
        <f t="shared" si="11"/>
        <v>0</v>
      </c>
      <c r="G147" s="87"/>
      <c r="H147" s="87"/>
    </row>
    <row r="148" spans="2:8" s="34" customFormat="1" x14ac:dyDescent="0.2">
      <c r="B148" s="35" t="s">
        <v>110</v>
      </c>
      <c r="C148" s="543">
        <f>IF(C$142,'Data Entry'!C29/2,'Data Entry'!C29)</f>
        <v>0</v>
      </c>
      <c r="D148" s="543">
        <f>IF(D$142,'Data Entry'!D29/2,'Data Entry'!D29)</f>
        <v>0</v>
      </c>
      <c r="E148" s="543">
        <f>IF(E$142,'Data Entry'!E29/2,'Data Entry'!E29)</f>
        <v>0</v>
      </c>
      <c r="F148" s="543">
        <f>IF(F$142,'Data Entry'!F29/2,'Data Entry'!F29)</f>
        <v>0</v>
      </c>
      <c r="G148" s="87"/>
      <c r="H148" s="87"/>
    </row>
    <row r="149" spans="2:8" s="34" customFormat="1" x14ac:dyDescent="0.2">
      <c r="B149" s="35" t="s">
        <v>111</v>
      </c>
      <c r="C149" s="543">
        <f>IF(C$142,'Data Entry'!C29/2,'Data Entry'!C30)</f>
        <v>0</v>
      </c>
      <c r="D149" s="543">
        <f>IF(D$142,'Data Entry'!D29/2,'Data Entry'!D30)</f>
        <v>0</v>
      </c>
      <c r="E149" s="543">
        <f>IF(E$142,'Data Entry'!E29/2,'Data Entry'!E30)</f>
        <v>0</v>
      </c>
      <c r="F149" s="543">
        <f>IF(F$142,'Data Entry'!F29/2,'Data Entry'!F30)</f>
        <v>0</v>
      </c>
      <c r="G149" s="87"/>
      <c r="H149" s="87"/>
    </row>
    <row r="150" spans="2:8" s="34" customFormat="1" x14ac:dyDescent="0.2">
      <c r="B150" s="35" t="s">
        <v>293</v>
      </c>
      <c r="C150" s="544">
        <f>C148+C149</f>
        <v>0</v>
      </c>
      <c r="D150" s="544">
        <f t="shared" ref="D150:F150" si="12">D148+D149</f>
        <v>0</v>
      </c>
      <c r="E150" s="544">
        <f t="shared" si="12"/>
        <v>0</v>
      </c>
      <c r="F150" s="544">
        <f t="shared" si="12"/>
        <v>0</v>
      </c>
      <c r="G150" s="87"/>
      <c r="H150" s="87"/>
    </row>
    <row r="151" spans="2:8" s="34" customFormat="1" x14ac:dyDescent="0.2">
      <c r="B151" s="74" t="s">
        <v>226</v>
      </c>
      <c r="C151" s="71" t="b">
        <f ca="1">IF(OR(ISERROR(C123),ISERROR(C124)),FALSE,AND(C145&gt;=C123,C145&lt;=C124))</f>
        <v>0</v>
      </c>
      <c r="D151" s="71" t="b">
        <f ca="1">IF(OR(ISERROR(D123),ISERROR(D124)),FALSE,AND(D145&gt;=D123,D145&lt;=D124))</f>
        <v>0</v>
      </c>
      <c r="E151" s="71" t="b">
        <f ca="1">IF(OR(ISERROR(E123),ISERROR(E124)),FALSE,AND(E145&gt;=E123,E145&lt;=E124))</f>
        <v>0</v>
      </c>
      <c r="F151" s="71" t="b">
        <f ca="1">IF(OR(ISERROR(F123),ISERROR(F124)),FALSE,AND(F145&gt;=F123,F145&lt;=F124))</f>
        <v>0</v>
      </c>
    </row>
    <row r="152" spans="2:8" s="34" customFormat="1" x14ac:dyDescent="0.2">
      <c r="B152" s="74" t="s">
        <v>227</v>
      </c>
      <c r="C152" s="71" t="b">
        <f ca="1">IF(OR(ISERROR(C125),ISERROR(C126)),FALSE,AND(C146&gt;=C125,C146&lt;=C126))</f>
        <v>0</v>
      </c>
      <c r="D152" s="71" t="b">
        <f ca="1">IF(OR(ISERROR(D125),ISERROR(D126)),FALSE,AND(D146&gt;=D125,D146&lt;=D126))</f>
        <v>0</v>
      </c>
      <c r="E152" s="71" t="b">
        <f ca="1">IF(OR(ISERROR(E125),ISERROR(E126)),FALSE,AND(E146&gt;=E125,E146&lt;=E126))</f>
        <v>0</v>
      </c>
      <c r="F152" s="71" t="b">
        <f ca="1">IF(OR(ISERROR(F125),ISERROR(F126)),FALSE,AND(F146&gt;=F125,F146&lt;=F126))</f>
        <v>0</v>
      </c>
    </row>
    <row r="153" spans="2:8" s="34" customFormat="1" x14ac:dyDescent="0.2">
      <c r="B153" s="74" t="s">
        <v>228</v>
      </c>
      <c r="C153" s="71" t="b">
        <f ca="1">IF(OR(ISERROR(C127),ISERROR(C128)),FALSE,AND(C148&gt;=C127,C148&lt;=C128))</f>
        <v>0</v>
      </c>
      <c r="D153" s="71" t="b">
        <f ca="1">IF(OR(ISERROR(D127),ISERROR(D128)),FALSE,AND(D148&gt;=D127,D148&lt;=D128))</f>
        <v>0</v>
      </c>
      <c r="E153" s="71" t="b">
        <f ca="1">IF(OR(ISERROR(E127),ISERROR(E128)),FALSE,AND(E148&gt;=E127,E148&lt;=E128))</f>
        <v>0</v>
      </c>
      <c r="F153" s="71" t="b">
        <f ca="1">IF(OR(ISERROR(F127),ISERROR(F128)),FALSE,AND(F148&gt;=F127,F148&lt;=F128))</f>
        <v>0</v>
      </c>
    </row>
    <row r="154" spans="2:8" s="34" customFormat="1" x14ac:dyDescent="0.2">
      <c r="B154" s="74" t="s">
        <v>229</v>
      </c>
      <c r="C154" s="71" t="b">
        <f ca="1">IF(OR(ISERROR(C129),ISERROR(C130)),FALSE,AND(C149&gt;=C129,C149&lt;=C130))</f>
        <v>0</v>
      </c>
      <c r="D154" s="71" t="b">
        <f ca="1">IF(OR(ISERROR(D129),ISERROR(D130)),FALSE,AND(D149&gt;=D129,D149&lt;=D130))</f>
        <v>0</v>
      </c>
      <c r="E154" s="71" t="b">
        <f ca="1">IF(OR(ISERROR(E129),ISERROR(E130)),FALSE,AND(E149&gt;=E129,E149&lt;=E130))</f>
        <v>0</v>
      </c>
      <c r="F154" s="71" t="b">
        <f ca="1">IF(OR(ISERROR(F129),ISERROR(F130)),FALSE,AND(F149&gt;=F129,F149&lt;=F130))</f>
        <v>0</v>
      </c>
    </row>
    <row r="155" spans="2:8" s="34" customFormat="1" x14ac:dyDescent="0.2">
      <c r="B155" s="74" t="s">
        <v>286</v>
      </c>
      <c r="C155" s="71" t="b">
        <f ca="1">IF(OR(ISERROR(C131),ISERROR(C132)),FALSE,AND(C147&gt;=C131,C147&lt;=C132))</f>
        <v>0</v>
      </c>
      <c r="D155" s="71" t="b">
        <f ca="1">IF(OR(ISERROR(D131),ISERROR(D132)),FALSE,AND(D147&gt;=D131,D147&lt;=D132))</f>
        <v>0</v>
      </c>
      <c r="E155" s="71" t="b">
        <f ca="1">IF(OR(ISERROR(E131),ISERROR(E132)),FALSE,AND(E147&gt;=E131,E147&lt;=E132))</f>
        <v>0</v>
      </c>
      <c r="F155" s="71" t="b">
        <f ca="1">IF(OR(ISERROR(F131),ISERROR(F132)),FALSE,AND(F147&gt;=F131,F147&lt;=F132))</f>
        <v>0</v>
      </c>
    </row>
    <row r="156" spans="2:8" s="34" customFormat="1" x14ac:dyDescent="0.2">
      <c r="B156" s="74" t="s">
        <v>287</v>
      </c>
      <c r="C156" s="71" t="b">
        <f ca="1">IF(OR(ISERROR(C133),ISERROR(C134)),FALSE,AND(C150&gt;=C133,C150&lt;=C134))</f>
        <v>0</v>
      </c>
      <c r="D156" s="71" t="b">
        <f ca="1">IF(OR(ISERROR(D133),ISERROR(D134)),FALSE,AND(D150&gt;=D133,D150&lt;=D134))</f>
        <v>0</v>
      </c>
      <c r="E156" s="71" t="b">
        <f ca="1">IF(OR(ISERROR(E133),ISERROR(E134)),FALSE,AND(E150&gt;=E133,E150&lt;=E134))</f>
        <v>0</v>
      </c>
      <c r="F156" s="71" t="b">
        <f ca="1">IF(OR(ISERROR(F133),ISERROR(F134)),FALSE,AND(F150&gt;=F133,F150&lt;=F134))</f>
        <v>0</v>
      </c>
    </row>
    <row r="157" spans="2:8" s="34" customFormat="1" x14ac:dyDescent="0.2">
      <c r="B157" s="74" t="s">
        <v>331</v>
      </c>
      <c r="C157" s="71" t="b">
        <f ca="1">AND(C155,C156)</f>
        <v>0</v>
      </c>
      <c r="D157" s="71" t="b">
        <f t="shared" ref="D157:F157" ca="1" si="13">AND(D155,D156)</f>
        <v>0</v>
      </c>
      <c r="E157" s="71" t="b">
        <f t="shared" ca="1" si="13"/>
        <v>0</v>
      </c>
      <c r="F157" s="71" t="b">
        <f t="shared" ca="1" si="13"/>
        <v>0</v>
      </c>
    </row>
    <row r="158" spans="2:8" s="34" customFormat="1" x14ac:dyDescent="0.2">
      <c r="B158" s="74" t="s">
        <v>232</v>
      </c>
      <c r="C158" s="544" t="e">
        <f>(2*C147*C150)/(C147+C150)</f>
        <v>#DIV/0!</v>
      </c>
      <c r="D158" s="544" t="e">
        <f t="shared" ref="D158:F158" si="14">(2*D147*D150)/(D147+D150)</f>
        <v>#DIV/0!</v>
      </c>
      <c r="E158" s="544" t="e">
        <f t="shared" si="14"/>
        <v>#DIV/0!</v>
      </c>
      <c r="F158" s="544" t="e">
        <f t="shared" si="14"/>
        <v>#DIV/0!</v>
      </c>
    </row>
    <row r="159" spans="2:8" s="34" customFormat="1" x14ac:dyDescent="0.2">
      <c r="B159" s="35" t="s">
        <v>233</v>
      </c>
      <c r="C159" s="102" t="str">
        <f>IF(C145=C146,TEXT(C147,"0.0"),CONCATENATE("(",TEXT(C145,"0.0"),",",TEXT(C146,"0.0"),")"))</f>
        <v>0.0</v>
      </c>
      <c r="D159" s="102" t="str">
        <f t="shared" ref="D159:F159" si="15">IF(D145=D146,TEXT(D147,"0.0"),CONCATENATE("(",TEXT(D145,"0.0"),",",TEXT(D146,"0.0"),")"))</f>
        <v>0.0</v>
      </c>
      <c r="E159" s="102" t="str">
        <f t="shared" si="15"/>
        <v>0.0</v>
      </c>
      <c r="F159" s="102" t="str">
        <f t="shared" si="15"/>
        <v>0.0</v>
      </c>
    </row>
    <row r="160" spans="2:8" s="34" customFormat="1" x14ac:dyDescent="0.2">
      <c r="B160" s="35" t="s">
        <v>234</v>
      </c>
      <c r="C160" s="102" t="str">
        <f>IF(C148=C149,TEXT(C150,"0.0"),CONCATENATE("(",TEXT(C148,"0.0"),",",TEXT(C149,"0.0"),")"))</f>
        <v>0.0</v>
      </c>
      <c r="D160" s="102" t="str">
        <f t="shared" ref="D160:F160" si="16">IF(D148=D149,TEXT(D150,"0.0"),CONCATENATE("(",TEXT(D148,"0.0"),",",TEXT(D149,"0.0"),")"))</f>
        <v>0.0</v>
      </c>
      <c r="E160" s="102" t="str">
        <f t="shared" si="16"/>
        <v>0.0</v>
      </c>
      <c r="F160" s="102" t="str">
        <f t="shared" si="16"/>
        <v>0.0</v>
      </c>
    </row>
    <row r="161" spans="2:8" s="34" customFormat="1" ht="13.5" thickBot="1" x14ac:dyDescent="0.25">
      <c r="B161" s="36" t="s">
        <v>224</v>
      </c>
      <c r="C161" s="103" t="str">
        <f>CONCATENATE(C159,"x",C160)</f>
        <v>0.0x0.0</v>
      </c>
      <c r="D161" s="103" t="str">
        <f t="shared" ref="D161:F161" si="17">CONCATENATE(D159,"x",D160)</f>
        <v>0.0x0.0</v>
      </c>
      <c r="E161" s="103" t="str">
        <f t="shared" si="17"/>
        <v>0.0x0.0</v>
      </c>
      <c r="F161" s="103" t="str">
        <f t="shared" si="17"/>
        <v>0.0x0.0</v>
      </c>
    </row>
    <row r="162" spans="2:8" s="34" customFormat="1" x14ac:dyDescent="0.2">
      <c r="B162" s="104" t="s">
        <v>240</v>
      </c>
      <c r="C162" s="545">
        <f>IF(C87,C145*C90/100,C145)</f>
        <v>0</v>
      </c>
      <c r="D162" s="545">
        <f>IF(D87,D145*D90/100,D145)</f>
        <v>0</v>
      </c>
      <c r="E162" s="545">
        <f>IF(E87,E145*E90/100,E145)</f>
        <v>0</v>
      </c>
      <c r="F162" s="545">
        <f>IF(F87,F145*F90/100,F145)</f>
        <v>0</v>
      </c>
      <c r="G162" s="87"/>
      <c r="H162" s="87"/>
    </row>
    <row r="163" spans="2:8" s="34" customFormat="1" x14ac:dyDescent="0.2">
      <c r="B163" s="35" t="s">
        <v>241</v>
      </c>
      <c r="C163" s="544">
        <f>IF(C87,C146*C90/100,C146)</f>
        <v>0</v>
      </c>
      <c r="D163" s="544">
        <f>IF(D87,D146*D90/100,D146)</f>
        <v>0</v>
      </c>
      <c r="E163" s="544">
        <f>IF(E87,E146*E90/100,E146)</f>
        <v>0</v>
      </c>
      <c r="F163" s="544">
        <f>IF(F87,F146*F90/100,F146)</f>
        <v>0</v>
      </c>
      <c r="G163" s="87"/>
      <c r="H163" s="87"/>
    </row>
    <row r="164" spans="2:8" s="34" customFormat="1" x14ac:dyDescent="0.2">
      <c r="B164" s="35" t="s">
        <v>235</v>
      </c>
      <c r="C164" s="544">
        <f>C162+C163</f>
        <v>0</v>
      </c>
      <c r="D164" s="544">
        <f t="shared" ref="D164:F164" si="18">D162+D163</f>
        <v>0</v>
      </c>
      <c r="E164" s="544">
        <f t="shared" si="18"/>
        <v>0</v>
      </c>
      <c r="F164" s="544">
        <f t="shared" si="18"/>
        <v>0</v>
      </c>
      <c r="G164" s="87"/>
      <c r="H164" s="87"/>
    </row>
    <row r="165" spans="2:8" s="34" customFormat="1" x14ac:dyDescent="0.2">
      <c r="B165" s="35" t="s">
        <v>242</v>
      </c>
      <c r="C165" s="544">
        <f>IF(C87,C148*C90/100,C148)</f>
        <v>0</v>
      </c>
      <c r="D165" s="544">
        <f>IF(D87,D148*D90/100,D148)</f>
        <v>0</v>
      </c>
      <c r="E165" s="544">
        <f>IF(E87,E148*E90/100,E148)</f>
        <v>0</v>
      </c>
      <c r="F165" s="544">
        <f>IF(F87,F148*F90/100,F148)</f>
        <v>0</v>
      </c>
      <c r="G165" s="87"/>
      <c r="H165" s="87"/>
    </row>
    <row r="166" spans="2:8" s="34" customFormat="1" x14ac:dyDescent="0.2">
      <c r="B166" s="35" t="s">
        <v>243</v>
      </c>
      <c r="C166" s="544">
        <f>IF(C87,C149*C90/100,C149)</f>
        <v>0</v>
      </c>
      <c r="D166" s="544">
        <f>IF(D87,D149*D90/100,D149)</f>
        <v>0</v>
      </c>
      <c r="E166" s="544">
        <f>IF(E87,E149*E90/100,E149)</f>
        <v>0</v>
      </c>
      <c r="F166" s="544">
        <f>IF(F87,F149*F90/100,F149)</f>
        <v>0</v>
      </c>
      <c r="G166" s="87"/>
      <c r="H166" s="87"/>
    </row>
    <row r="167" spans="2:8" s="34" customFormat="1" x14ac:dyDescent="0.2">
      <c r="B167" s="35" t="s">
        <v>236</v>
      </c>
      <c r="C167" s="544">
        <f>C165+C166</f>
        <v>0</v>
      </c>
      <c r="D167" s="544">
        <f t="shared" ref="D167:F167" si="19">D165+D166</f>
        <v>0</v>
      </c>
      <c r="E167" s="544">
        <f t="shared" si="19"/>
        <v>0</v>
      </c>
      <c r="F167" s="544">
        <f t="shared" si="19"/>
        <v>0</v>
      </c>
      <c r="G167" s="87"/>
      <c r="H167" s="87"/>
    </row>
    <row r="168" spans="2:8" s="34" customFormat="1" x14ac:dyDescent="0.2">
      <c r="B168" s="74" t="s">
        <v>237</v>
      </c>
      <c r="C168" s="544" t="e">
        <f>(2*C164*C167)/(C164+C167)</f>
        <v>#DIV/0!</v>
      </c>
      <c r="D168" s="544" t="e">
        <f t="shared" ref="D168:F168" si="20">(2*D164*D167)/(D164+D167)</f>
        <v>#DIV/0!</v>
      </c>
      <c r="E168" s="544" t="e">
        <f t="shared" si="20"/>
        <v>#DIV/0!</v>
      </c>
      <c r="F168" s="544" t="e">
        <f t="shared" si="20"/>
        <v>#DIV/0!</v>
      </c>
    </row>
    <row r="169" spans="2:8" s="34" customFormat="1" x14ac:dyDescent="0.2">
      <c r="B169" s="74" t="s">
        <v>238</v>
      </c>
      <c r="C169" s="71" t="b">
        <f ca="1">IF(OR(ISERROR(C135),ISERROR(C136),ISERROR(C168)),FALSE,AND(C168&gt;=C135,C168&lt;=C136))</f>
        <v>0</v>
      </c>
      <c r="D169" s="71" t="b">
        <f ca="1">IF(OR(ISERROR(D135),ISERROR(D136),ISERROR(D168)),FALSE,AND(D168&gt;=D135,D168&lt;=D136))</f>
        <v>0</v>
      </c>
      <c r="E169" s="71" t="b">
        <f ca="1">IF(OR(ISERROR(E135),ISERROR(E136),ISERROR(E168)),FALSE,AND(E168&gt;=E135,E168&lt;=E136))</f>
        <v>0</v>
      </c>
      <c r="F169" s="71" t="b">
        <f ca="1">IF(OR(ISERROR(F135),ISERROR(F136),ISERROR(F168)),FALSE,AND(F168&gt;=F135,F168&lt;=F136))</f>
        <v>0</v>
      </c>
    </row>
    <row r="170" spans="2:8" s="34" customFormat="1" x14ac:dyDescent="0.2">
      <c r="B170" s="35" t="s">
        <v>230</v>
      </c>
      <c r="C170" s="105" t="str">
        <f>IF(C145=C146,TEXT(C164,"0.0"),CONCATENATE("(",TEXT(C162,"0.0"),",",TEXT(C163,"0.0"),")"))</f>
        <v>0.0</v>
      </c>
      <c r="D170" s="105" t="str">
        <f t="shared" ref="D170:F170" si="21">IF(D145=D146,TEXT(D164,"0.0"),CONCATENATE("(",TEXT(D162,"0.0"),",",TEXT(D163,"0.0"),")"))</f>
        <v>0.0</v>
      </c>
      <c r="E170" s="105" t="str">
        <f t="shared" si="21"/>
        <v>0.0</v>
      </c>
      <c r="F170" s="105" t="str">
        <f t="shared" si="21"/>
        <v>0.0</v>
      </c>
    </row>
    <row r="171" spans="2:8" s="34" customFormat="1" x14ac:dyDescent="0.2">
      <c r="B171" s="35" t="s">
        <v>231</v>
      </c>
      <c r="C171" s="105" t="str">
        <f>IF(C148=C149,TEXT(C167,"0.0"),CONCATENATE("(",TEXT(C165,"0.0"),",",TEXT(C166,"0.0"),")"))</f>
        <v>0.0</v>
      </c>
      <c r="D171" s="105" t="str">
        <f t="shared" ref="D171:F171" si="22">IF(D148=D149,TEXT(D167,"0.0"),CONCATENATE("(",TEXT(D165,"0.0"),",",TEXT(D166,"0.0"),")"))</f>
        <v>0.0</v>
      </c>
      <c r="E171" s="105" t="str">
        <f t="shared" si="22"/>
        <v>0.0</v>
      </c>
      <c r="F171" s="105" t="str">
        <f t="shared" si="22"/>
        <v>0.0</v>
      </c>
    </row>
    <row r="172" spans="2:8" s="34" customFormat="1" x14ac:dyDescent="0.2">
      <c r="B172" s="35" t="s">
        <v>225</v>
      </c>
      <c r="C172" s="106" t="str">
        <f>CONCATENATE(C170,"x",C171)</f>
        <v>0.0x0.0</v>
      </c>
      <c r="D172" s="106" t="str">
        <f t="shared" ref="D172:F172" si="23">CONCATENATE(D170,"x",D171)</f>
        <v>0.0x0.0</v>
      </c>
      <c r="E172" s="106" t="str">
        <f t="shared" si="23"/>
        <v>0.0x0.0</v>
      </c>
      <c r="F172" s="106" t="str">
        <f t="shared" si="23"/>
        <v>0.0x0.0</v>
      </c>
    </row>
    <row r="173" spans="2:8" s="34" customFormat="1" ht="13.5" thickBot="1" x14ac:dyDescent="0.25">
      <c r="B173" s="75" t="s">
        <v>239</v>
      </c>
      <c r="C173" s="77" t="b">
        <f ca="1">AND(C151,C152,C153,C154,C155,C156,C169)</f>
        <v>0</v>
      </c>
      <c r="D173" s="77" t="b">
        <f t="shared" ref="D173:F173" ca="1" si="24">AND(D151,D152,D153,D154,D155,D156,D169)</f>
        <v>0</v>
      </c>
      <c r="E173" s="77" t="b">
        <f t="shared" ca="1" si="24"/>
        <v>0</v>
      </c>
      <c r="F173" s="77" t="b">
        <f t="shared" ca="1" si="24"/>
        <v>0</v>
      </c>
      <c r="G173" s="34" t="s">
        <v>257</v>
      </c>
    </row>
    <row r="174" spans="2:8" s="34" customFormat="1" x14ac:dyDescent="0.2"/>
    <row r="175" spans="2:8" s="34" customFormat="1" x14ac:dyDescent="0.2"/>
    <row r="176" spans="2:8" s="34" customFormat="1" x14ac:dyDescent="0.2"/>
    <row r="177" spans="2:7" s="34" customFormat="1" ht="20.25" thickBot="1" x14ac:dyDescent="0.35">
      <c r="B177" s="66" t="s">
        <v>342</v>
      </c>
    </row>
    <row r="178" spans="2:7" s="34" customFormat="1" ht="14.25" thickTop="1" thickBot="1" x14ac:dyDescent="0.25"/>
    <row r="179" spans="2:7" s="34" customFormat="1" x14ac:dyDescent="0.2">
      <c r="B179" s="33" t="b">
        <v>0</v>
      </c>
      <c r="C179" s="618" t="s">
        <v>347</v>
      </c>
      <c r="D179" s="618"/>
      <c r="E179" s="618"/>
      <c r="F179" s="618"/>
    </row>
    <row r="180" spans="2:7" s="34" customFormat="1" x14ac:dyDescent="0.2">
      <c r="B180" s="107" t="s">
        <v>78</v>
      </c>
      <c r="C180" s="108" t="str">
        <f>IF($B$179,IF(Parameters!C130="","",$B180),"")</f>
        <v/>
      </c>
      <c r="D180" s="108" t="str">
        <f>IF($B$179,IF(Parameters!D130="","",$B180),"")</f>
        <v/>
      </c>
      <c r="E180" s="108" t="str">
        <f>IF($B$179,IF(Parameters!E130="","",$B180),"")</f>
        <v/>
      </c>
      <c r="F180" s="108" t="str">
        <f>IF($B$179,IF(Parameters!F130="","",$B180),"")</f>
        <v/>
      </c>
    </row>
    <row r="181" spans="2:7" s="34" customFormat="1" x14ac:dyDescent="0.2">
      <c r="B181" s="107" t="s">
        <v>71</v>
      </c>
      <c r="C181" s="108" t="str">
        <f>IF($B$179,IF(Parameters!C131="","",$B181),"")</f>
        <v/>
      </c>
      <c r="D181" s="108" t="str">
        <f>IF($B$179,IF(Parameters!D131="","",$B181),"")</f>
        <v/>
      </c>
      <c r="E181" s="108" t="str">
        <f>IF($B$179,IF(Parameters!E131="","",$B181),"")</f>
        <v/>
      </c>
      <c r="F181" s="108" t="str">
        <f>IF($B$179,IF(Parameters!F131="","",$B181),"")</f>
        <v/>
      </c>
    </row>
    <row r="182" spans="2:7" s="34" customFormat="1" x14ac:dyDescent="0.2">
      <c r="B182" s="107" t="s">
        <v>72</v>
      </c>
      <c r="C182" s="108" t="str">
        <f>IF($B$179,IF(Parameters!C132="","",$B182),"")</f>
        <v/>
      </c>
      <c r="D182" s="108" t="str">
        <f>IF($B$179,IF(Parameters!D132="","",$B182),"")</f>
        <v/>
      </c>
      <c r="E182" s="108" t="str">
        <f>IF($B$179,IF(Parameters!E132="","",$B182),"")</f>
        <v/>
      </c>
      <c r="F182" s="108" t="str">
        <f>IF($B$179,IF(Parameters!F132="","",$B182),"")</f>
        <v/>
      </c>
    </row>
    <row r="183" spans="2:7" s="34" customFormat="1" ht="13.5" thickBot="1" x14ac:dyDescent="0.25">
      <c r="B183" s="109" t="s">
        <v>73</v>
      </c>
      <c r="C183" s="110" t="str">
        <f>IF($B$179,IF(Parameters!C133="","",$B183),"")</f>
        <v/>
      </c>
      <c r="D183" s="110" t="str">
        <f>IF($B$179,IF(Parameters!D133="","",$B183),"")</f>
        <v/>
      </c>
      <c r="E183" s="110" t="str">
        <f>IF($B$179,IF(Parameters!E133="","",$B183),"")</f>
        <v/>
      </c>
      <c r="F183" s="110" t="str">
        <f>IF($B$179,IF(Parameters!F133="","",$B183),"")</f>
        <v/>
      </c>
    </row>
    <row r="184" spans="2:7" s="34" customFormat="1" ht="13.5" thickBot="1" x14ac:dyDescent="0.25"/>
    <row r="185" spans="2:7" s="34" customFormat="1" x14ac:dyDescent="0.2">
      <c r="B185" s="97"/>
      <c r="C185" s="618" t="s">
        <v>346</v>
      </c>
      <c r="D185" s="618"/>
      <c r="E185" s="618"/>
      <c r="F185" s="618"/>
    </row>
    <row r="186" spans="2:7" s="34" customFormat="1" x14ac:dyDescent="0.2">
      <c r="B186" s="74" t="s">
        <v>356</v>
      </c>
      <c r="C186" s="32">
        <v>1</v>
      </c>
      <c r="D186" s="32">
        <v>1</v>
      </c>
      <c r="E186" s="32">
        <v>1</v>
      </c>
      <c r="F186" s="32">
        <v>1</v>
      </c>
    </row>
    <row r="187" spans="2:7" s="34" customFormat="1" x14ac:dyDescent="0.2">
      <c r="B187" s="74" t="s">
        <v>343</v>
      </c>
      <c r="C187" s="76" t="e">
        <f>IF(INDEX(C180:C183,C186,0)="",#N/A,INDEX(C180:C183,C186,0))</f>
        <v>#N/A</v>
      </c>
      <c r="D187" s="76" t="e">
        <f>IF(INDEX(D180:D183,D186,0)="",#N/A,INDEX(D180:D183,D186,0))</f>
        <v>#N/A</v>
      </c>
      <c r="E187" s="76" t="e">
        <f>IF(INDEX(E180:E183,E186,0)="",#N/A,INDEX(E180:E183,E186,0))</f>
        <v>#N/A</v>
      </c>
      <c r="F187" s="76" t="e">
        <f>IF(INDEX(F180:F183,F186,0)="",#N/A,INDEX(F180:F183,F186,0))</f>
        <v>#N/A</v>
      </c>
    </row>
    <row r="188" spans="2:7" s="34" customFormat="1" x14ac:dyDescent="0.2">
      <c r="B188" s="74" t="s">
        <v>344</v>
      </c>
      <c r="C188" s="111" t="e">
        <f>IF(ISNA(C187),#N/A,INDEX(Parameters!C130:C133,C186))</f>
        <v>#N/A</v>
      </c>
      <c r="D188" s="111" t="e">
        <f>IF(ISNA(D187),#N/A,INDEX(Parameters!D130:D133,D186))</f>
        <v>#N/A</v>
      </c>
      <c r="E188" s="111" t="e">
        <f>IF(ISNA(E187),#N/A,INDEX(Parameters!E130:E133,E186))</f>
        <v>#N/A</v>
      </c>
      <c r="F188" s="111" t="e">
        <f>IF(ISNA(F187),#N/A,INDEX(Parameters!F130:F133,F186))</f>
        <v>#N/A</v>
      </c>
    </row>
    <row r="189" spans="2:7" s="34" customFormat="1" x14ac:dyDescent="0.2">
      <c r="B189" s="35" t="s">
        <v>348</v>
      </c>
      <c r="C189" s="71" t="b">
        <f>IF($B$179,NOT(ISNA(C188)),TRUE)</f>
        <v>1</v>
      </c>
      <c r="D189" s="71" t="b">
        <f t="shared" ref="D189:F189" si="25">IF($B$179,NOT(ISNA(D188)),TRUE)</f>
        <v>1</v>
      </c>
      <c r="E189" s="71" t="b">
        <f t="shared" si="25"/>
        <v>1</v>
      </c>
      <c r="F189" s="71" t="b">
        <f t="shared" si="25"/>
        <v>1</v>
      </c>
    </row>
    <row r="190" spans="2:7" s="34" customFormat="1" x14ac:dyDescent="0.2">
      <c r="B190" s="35" t="s">
        <v>79</v>
      </c>
      <c r="C190" s="112"/>
      <c r="D190" s="112"/>
      <c r="E190" s="112"/>
      <c r="F190" s="112"/>
    </row>
    <row r="191" spans="2:7" s="34" customFormat="1" x14ac:dyDescent="0.2">
      <c r="B191" s="74" t="s">
        <v>90</v>
      </c>
      <c r="C191" s="112"/>
      <c r="D191" s="112"/>
      <c r="E191" s="112"/>
      <c r="F191" s="112"/>
    </row>
    <row r="192" spans="2:7" s="34" customFormat="1" ht="13.5" thickBot="1" x14ac:dyDescent="0.25">
      <c r="B192" s="75" t="s">
        <v>349</v>
      </c>
      <c r="C192" s="77" t="b">
        <f>C189</f>
        <v>1</v>
      </c>
      <c r="D192" s="77" t="b">
        <f t="shared" ref="D192:F192" si="26">D189</f>
        <v>1</v>
      </c>
      <c r="E192" s="77" t="b">
        <f t="shared" si="26"/>
        <v>1</v>
      </c>
      <c r="F192" s="77" t="b">
        <f t="shared" si="26"/>
        <v>1</v>
      </c>
      <c r="G192" s="34" t="s">
        <v>257</v>
      </c>
    </row>
    <row r="193" spans="2:8" s="34" customFormat="1" x14ac:dyDescent="0.2"/>
    <row r="194" spans="2:8" s="34" customFormat="1" x14ac:dyDescent="0.2"/>
    <row r="195" spans="2:8" s="34" customFormat="1" x14ac:dyDescent="0.2"/>
    <row r="196" spans="2:8" s="34" customFormat="1" ht="20.25" thickBot="1" x14ac:dyDescent="0.35">
      <c r="B196" s="66" t="s">
        <v>294</v>
      </c>
    </row>
    <row r="197" spans="2:8" s="34" customFormat="1" ht="14.25" thickTop="1" thickBot="1" x14ac:dyDescent="0.25"/>
    <row r="198" spans="2:8" s="34" customFormat="1" x14ac:dyDescent="0.2">
      <c r="B198" s="617" t="s">
        <v>317</v>
      </c>
      <c r="C198" s="618"/>
      <c r="D198" s="618"/>
      <c r="E198" s="618"/>
      <c r="F198" s="618"/>
    </row>
    <row r="199" spans="2:8" s="34" customFormat="1" x14ac:dyDescent="0.2">
      <c r="B199" s="35" t="s">
        <v>139</v>
      </c>
      <c r="C199" s="616">
        <f>'Data Entry'!$C$4</f>
        <v>0</v>
      </c>
      <c r="D199" s="616"/>
      <c r="E199" s="616"/>
      <c r="F199" s="616"/>
    </row>
    <row r="200" spans="2:8" s="34" customFormat="1" x14ac:dyDescent="0.2">
      <c r="B200" s="35" t="s">
        <v>301</v>
      </c>
      <c r="C200" s="663">
        <v>100</v>
      </c>
      <c r="D200" s="663"/>
      <c r="E200" s="663"/>
      <c r="F200" s="663"/>
      <c r="H200" s="113"/>
    </row>
    <row r="201" spans="2:8" s="34" customFormat="1" x14ac:dyDescent="0.2">
      <c r="B201" s="35" t="s">
        <v>302</v>
      </c>
      <c r="C201" s="663">
        <v>80000</v>
      </c>
      <c r="D201" s="663"/>
      <c r="E201" s="663"/>
      <c r="F201" s="663"/>
      <c r="H201" s="113"/>
    </row>
    <row r="202" spans="2:8" s="34" customFormat="1" x14ac:dyDescent="0.2">
      <c r="B202" s="35" t="s">
        <v>305</v>
      </c>
      <c r="C202" s="649" t="b">
        <f>AND(C199&gt;=C200,C199&lt;=C201)</f>
        <v>0</v>
      </c>
      <c r="D202" s="649"/>
      <c r="E202" s="649"/>
      <c r="F202" s="649"/>
      <c r="G202" s="34" t="s">
        <v>321</v>
      </c>
      <c r="H202" s="113"/>
    </row>
    <row r="203" spans="2:8" s="34" customFormat="1" x14ac:dyDescent="0.2">
      <c r="B203" s="35" t="s">
        <v>175</v>
      </c>
      <c r="C203" s="616">
        <f>'Data Entry'!C5:F5</f>
        <v>0</v>
      </c>
      <c r="D203" s="616"/>
      <c r="E203" s="616"/>
      <c r="F203" s="616"/>
      <c r="H203" s="113"/>
    </row>
    <row r="204" spans="2:8" s="34" customFormat="1" x14ac:dyDescent="0.2">
      <c r="B204" s="35" t="s">
        <v>303</v>
      </c>
      <c r="C204" s="663">
        <v>1</v>
      </c>
      <c r="D204" s="663"/>
      <c r="E204" s="663"/>
      <c r="F204" s="663"/>
      <c r="H204" s="113"/>
    </row>
    <row r="205" spans="2:8" s="34" customFormat="1" x14ac:dyDescent="0.2">
      <c r="B205" s="35" t="s">
        <v>304</v>
      </c>
      <c r="C205" s="663">
        <v>40</v>
      </c>
      <c r="D205" s="663"/>
      <c r="E205" s="663"/>
      <c r="F205" s="663"/>
      <c r="H205" s="113"/>
    </row>
    <row r="206" spans="2:8" s="34" customFormat="1" x14ac:dyDescent="0.2">
      <c r="B206" s="35" t="s">
        <v>306</v>
      </c>
      <c r="C206" s="649" t="b">
        <f>AND(C203&gt;=C204,C203&lt;=C205)</f>
        <v>0</v>
      </c>
      <c r="D206" s="649"/>
      <c r="E206" s="649"/>
      <c r="F206" s="649"/>
      <c r="G206" s="34" t="s">
        <v>321</v>
      </c>
      <c r="H206" s="113"/>
    </row>
    <row r="207" spans="2:8" s="34" customFormat="1" ht="12.95" customHeight="1" x14ac:dyDescent="0.2">
      <c r="B207" s="35" t="s">
        <v>279</v>
      </c>
      <c r="C207" s="71" t="b">
        <f>C34</f>
        <v>0</v>
      </c>
      <c r="D207" s="71" t="b">
        <f>D34</f>
        <v>0</v>
      </c>
      <c r="E207" s="71" t="b">
        <f>E34</f>
        <v>0</v>
      </c>
      <c r="F207" s="71" t="b">
        <f>F34</f>
        <v>0</v>
      </c>
    </row>
    <row r="208" spans="2:8" s="34" customFormat="1" x14ac:dyDescent="0.2">
      <c r="B208" s="35" t="s">
        <v>180</v>
      </c>
      <c r="C208" s="85" t="str">
        <f>IF(C207,1/$C$38,"")</f>
        <v/>
      </c>
      <c r="D208" s="85" t="str">
        <f t="shared" ref="D208:F208" si="27">IF(D207,1/$C$38,"")</f>
        <v/>
      </c>
      <c r="E208" s="85" t="str">
        <f t="shared" si="27"/>
        <v/>
      </c>
      <c r="F208" s="85" t="str">
        <f t="shared" si="27"/>
        <v/>
      </c>
    </row>
    <row r="209" spans="2:8" s="34" customFormat="1" x14ac:dyDescent="0.2">
      <c r="B209" s="35" t="s">
        <v>165</v>
      </c>
      <c r="C209" s="114">
        <f>IF(C207,'Data Entry'!C9,0)</f>
        <v>0</v>
      </c>
      <c r="D209" s="114">
        <f>IF(D207,'Data Entry'!D9,0)</f>
        <v>0</v>
      </c>
      <c r="E209" s="114">
        <f>IF(E207,'Data Entry'!E9,0)</f>
        <v>0</v>
      </c>
      <c r="F209" s="114">
        <f>IF(F207,'Data Entry'!F9,0)</f>
        <v>0</v>
      </c>
    </row>
    <row r="210" spans="2:8" s="34" customFormat="1" x14ac:dyDescent="0.2">
      <c r="B210" s="35" t="s">
        <v>328</v>
      </c>
      <c r="C210" s="362" t="b">
        <f>IF(C207,C209=C208,TRUE)</f>
        <v>1</v>
      </c>
      <c r="D210" s="362" t="b">
        <f t="shared" ref="D210:F210" si="28">IF(D207,D209=D208,TRUE)</f>
        <v>1</v>
      </c>
      <c r="E210" s="362" t="b">
        <f t="shared" si="28"/>
        <v>1</v>
      </c>
      <c r="F210" s="362" t="b">
        <f t="shared" si="28"/>
        <v>1</v>
      </c>
    </row>
    <row r="211" spans="2:8" s="34" customFormat="1" ht="12.95" customHeight="1" x14ac:dyDescent="0.2">
      <c r="B211" s="35" t="s">
        <v>319</v>
      </c>
      <c r="C211" s="71" t="b">
        <f>AND(C209&gt;=0,C209&lt;=1)</f>
        <v>1</v>
      </c>
      <c r="D211" s="71" t="b">
        <f t="shared" ref="D211:F211" si="29">AND(D209&gt;=0,D209&lt;=1)</f>
        <v>1</v>
      </c>
      <c r="E211" s="71" t="b">
        <f t="shared" si="29"/>
        <v>1</v>
      </c>
      <c r="F211" s="71" t="b">
        <f t="shared" si="29"/>
        <v>1</v>
      </c>
    </row>
    <row r="212" spans="2:8" s="34" customFormat="1" x14ac:dyDescent="0.2">
      <c r="B212" s="35" t="s">
        <v>307</v>
      </c>
      <c r="C212" s="624">
        <f>SUMIF(C207:F207,TRUE,C209:F209)</f>
        <v>0</v>
      </c>
      <c r="D212" s="624"/>
      <c r="E212" s="624"/>
      <c r="F212" s="624"/>
    </row>
    <row r="213" spans="2:8" s="34" customFormat="1" ht="15" customHeight="1" x14ac:dyDescent="0.2">
      <c r="B213" s="35" t="s">
        <v>187</v>
      </c>
      <c r="C213" s="613" t="b">
        <f>AND(MROUND(C212,0.001) =1,C211:F211)</f>
        <v>0</v>
      </c>
      <c r="D213" s="613"/>
      <c r="E213" s="613"/>
      <c r="F213" s="613"/>
      <c r="G213" s="34" t="s">
        <v>257</v>
      </c>
    </row>
    <row r="214" spans="2:8" s="34" customFormat="1" x14ac:dyDescent="0.2">
      <c r="B214" s="35" t="s">
        <v>113</v>
      </c>
      <c r="C214" s="84">
        <f>$C$199*C209</f>
        <v>0</v>
      </c>
      <c r="D214" s="84">
        <f>$C$199*D209</f>
        <v>0</v>
      </c>
      <c r="E214" s="84">
        <f>$C$199*E209</f>
        <v>0</v>
      </c>
      <c r="F214" s="84">
        <f>$C$199*F209</f>
        <v>0</v>
      </c>
    </row>
    <row r="215" spans="2:8" s="34" customFormat="1" x14ac:dyDescent="0.2">
      <c r="B215" s="546" t="s">
        <v>358</v>
      </c>
      <c r="C215" s="547">
        <f>$C$203</f>
        <v>0</v>
      </c>
      <c r="D215" s="547">
        <f t="shared" ref="D215:F215" si="30">$C$203</f>
        <v>0</v>
      </c>
      <c r="E215" s="547">
        <f t="shared" si="30"/>
        <v>0</v>
      </c>
      <c r="F215" s="547">
        <f t="shared" si="30"/>
        <v>0</v>
      </c>
    </row>
    <row r="216" spans="2:8" s="34" customFormat="1" ht="13.5" thickBot="1" x14ac:dyDescent="0.25">
      <c r="B216" s="70" t="s">
        <v>316</v>
      </c>
      <c r="C216" s="86" t="e">
        <f>C214/C$215</f>
        <v>#DIV/0!</v>
      </c>
      <c r="D216" s="86" t="e">
        <f t="shared" ref="D216:F216" si="31">D214/D$215</f>
        <v>#DIV/0!</v>
      </c>
      <c r="E216" s="86" t="e">
        <f t="shared" si="31"/>
        <v>#DIV/0!</v>
      </c>
      <c r="F216" s="86" t="e">
        <f t="shared" si="31"/>
        <v>#DIV/0!</v>
      </c>
    </row>
    <row r="217" spans="2:8" s="34" customFormat="1" ht="13.5" thickBot="1" x14ac:dyDescent="0.25"/>
    <row r="218" spans="2:8" s="34" customFormat="1" x14ac:dyDescent="0.2">
      <c r="B218" s="617" t="s">
        <v>246</v>
      </c>
      <c r="C218" s="618"/>
      <c r="D218" s="618"/>
      <c r="E218" s="618"/>
      <c r="F218" s="618"/>
    </row>
    <row r="219" spans="2:8" s="34" customFormat="1" x14ac:dyDescent="0.2">
      <c r="B219" s="35" t="s">
        <v>8</v>
      </c>
      <c r="C219" s="115" t="e">
        <f ca="1">Parameters!C20</f>
        <v>#N/A</v>
      </c>
      <c r="D219" s="115" t="e">
        <f ca="1">Parameters!D20</f>
        <v>#N/A</v>
      </c>
      <c r="E219" s="115" t="e">
        <f ca="1">Parameters!E20</f>
        <v>#N/A</v>
      </c>
      <c r="F219" s="115" t="e">
        <f ca="1">Parameters!F20</f>
        <v>#N/A</v>
      </c>
      <c r="G219" s="87"/>
      <c r="H219" s="87"/>
    </row>
    <row r="220" spans="2:8" s="34" customFormat="1" x14ac:dyDescent="0.2">
      <c r="B220" s="35" t="s">
        <v>9</v>
      </c>
      <c r="C220" s="115" t="e">
        <f ca="1">IF(C87,1,Parameters!C22)</f>
        <v>#N/A</v>
      </c>
      <c r="D220" s="115" t="e">
        <f ca="1">IF(D87,1,Parameters!D22)</f>
        <v>#N/A</v>
      </c>
      <c r="E220" s="115" t="e">
        <f ca="1">IF(E87,1,Parameters!E22)</f>
        <v>#N/A</v>
      </c>
      <c r="F220" s="115" t="e">
        <f ca="1">IF(F87,1,Parameters!F22)</f>
        <v>#N/A</v>
      </c>
      <c r="G220" s="87"/>
    </row>
    <row r="221" spans="2:8" s="34" customFormat="1" x14ac:dyDescent="0.2">
      <c r="B221" s="35" t="s">
        <v>91</v>
      </c>
      <c r="C221" s="115">
        <f>IF(C87,Parameters!C23,1)</f>
        <v>1</v>
      </c>
      <c r="D221" s="115">
        <f>IF(D87,Parameters!D23,1)</f>
        <v>1</v>
      </c>
      <c r="E221" s="115">
        <f>IF(E87,Parameters!E23,1)</f>
        <v>1</v>
      </c>
      <c r="F221" s="115">
        <f>IF(F87,Parameters!F23,1)</f>
        <v>1</v>
      </c>
      <c r="G221" s="87"/>
      <c r="H221" s="87"/>
    </row>
    <row r="222" spans="2:8" s="34" customFormat="1" x14ac:dyDescent="0.2">
      <c r="B222" s="35" t="s">
        <v>99</v>
      </c>
      <c r="C222" s="115">
        <f>IF(C87,Parameters!C21,1)</f>
        <v>1</v>
      </c>
      <c r="D222" s="115">
        <f>IF(D87,Parameters!D21,1)</f>
        <v>1</v>
      </c>
      <c r="E222" s="115">
        <f>IF(E87,Parameters!E21,1)</f>
        <v>1</v>
      </c>
      <c r="F222" s="115">
        <f>IF(F87,Parameters!F21,1)</f>
        <v>1</v>
      </c>
      <c r="G222" s="87"/>
      <c r="H222" s="87"/>
    </row>
    <row r="223" spans="2:8" s="34" customFormat="1" x14ac:dyDescent="0.2">
      <c r="B223" s="35" t="s">
        <v>251</v>
      </c>
      <c r="C223" s="116">
        <f>IF('Data Calculations'!C$87,'Data Calculations'!C91,1)</f>
        <v>1</v>
      </c>
      <c r="D223" s="116">
        <f>IF('Data Calculations'!D$87,'Data Calculations'!D91,1)</f>
        <v>1</v>
      </c>
      <c r="E223" s="116">
        <f>IF('Data Calculations'!E$87,'Data Calculations'!E91,1)</f>
        <v>1</v>
      </c>
      <c r="F223" s="116">
        <f>IF('Data Calculations'!F$87,'Data Calculations'!F91,1)</f>
        <v>1</v>
      </c>
      <c r="G223" s="87"/>
      <c r="H223" s="87"/>
    </row>
    <row r="224" spans="2:8" s="34" customFormat="1" x14ac:dyDescent="0.2">
      <c r="B224" s="35" t="s">
        <v>77</v>
      </c>
      <c r="C224" s="116">
        <f>IF($B$179,C188,1)</f>
        <v>1</v>
      </c>
      <c r="D224" s="116">
        <f>IF($B$179,D188,1)</f>
        <v>1</v>
      </c>
      <c r="E224" s="116">
        <f>IF($B$179,E188,1)</f>
        <v>1</v>
      </c>
      <c r="F224" s="116">
        <f>IF($B$179,F188,1)</f>
        <v>1</v>
      </c>
      <c r="G224" s="87"/>
      <c r="H224" s="87"/>
    </row>
    <row r="225" spans="2:8" s="34" customFormat="1" x14ac:dyDescent="0.2">
      <c r="B225" s="35" t="s">
        <v>252</v>
      </c>
      <c r="C225" s="117"/>
      <c r="D225" s="117"/>
      <c r="E225" s="117"/>
      <c r="F225" s="117"/>
      <c r="G225" s="87"/>
      <c r="H225" s="87"/>
    </row>
    <row r="226" spans="2:8" s="34" customFormat="1" ht="13.5" thickBot="1" x14ac:dyDescent="0.25">
      <c r="B226" s="70" t="s">
        <v>308</v>
      </c>
      <c r="C226" s="118"/>
      <c r="D226" s="118"/>
      <c r="E226" s="118"/>
      <c r="F226" s="118"/>
      <c r="G226" s="87"/>
      <c r="H226" s="87"/>
    </row>
    <row r="227" spans="2:8" s="34" customFormat="1" ht="13.5" thickBot="1" x14ac:dyDescent="0.25">
      <c r="B227" s="87"/>
      <c r="C227" s="87"/>
      <c r="D227" s="87"/>
      <c r="E227" s="87"/>
      <c r="F227" s="87"/>
      <c r="G227" s="87"/>
      <c r="H227" s="87"/>
    </row>
    <row r="228" spans="2:8" s="34" customFormat="1" x14ac:dyDescent="0.2">
      <c r="B228" s="617" t="s">
        <v>253</v>
      </c>
      <c r="C228" s="618"/>
      <c r="D228" s="618"/>
      <c r="E228" s="618"/>
      <c r="F228" s="618"/>
    </row>
    <row r="229" spans="2:8" s="34" customFormat="1" x14ac:dyDescent="0.2">
      <c r="B229" s="35" t="s">
        <v>84</v>
      </c>
      <c r="C229" s="662" t="b">
        <f ca="1">'Table References'!E74</f>
        <v>1</v>
      </c>
      <c r="D229" s="662"/>
      <c r="E229" s="662"/>
      <c r="F229" s="662"/>
    </row>
    <row r="230" spans="2:8" s="34" customFormat="1" x14ac:dyDescent="0.2">
      <c r="B230" s="35" t="s">
        <v>256</v>
      </c>
      <c r="C230" s="71" t="b">
        <f ca="1">AND(C34,C72,C116,C173,C192,$C$213)</f>
        <v>0</v>
      </c>
      <c r="D230" s="71" t="b">
        <f ca="1">AND(D34,D72,D116,D173,D192,$C$213)</f>
        <v>0</v>
      </c>
      <c r="E230" s="71" t="b">
        <f ca="1">AND(E34,E72,E116,E173,E192,$C$213)</f>
        <v>0</v>
      </c>
      <c r="F230" s="71" t="b">
        <f ca="1">AND(F34,F72,F116,F173,F192,$C$213)</f>
        <v>0</v>
      </c>
      <c r="G230" s="34" t="s">
        <v>323</v>
      </c>
    </row>
    <row r="231" spans="2:8" s="34" customFormat="1" x14ac:dyDescent="0.2">
      <c r="B231" s="35" t="s">
        <v>254</v>
      </c>
      <c r="C231" s="85" t="e">
        <f ca="1">C219*C220*C221*C222*C223*C224</f>
        <v>#N/A</v>
      </c>
      <c r="D231" s="85" t="e">
        <f ca="1">D219*D220*D221*D222*D223*D224</f>
        <v>#N/A</v>
      </c>
      <c r="E231" s="85" t="e">
        <f ca="1">E219*E220*E221*E222*E223*E224</f>
        <v>#N/A</v>
      </c>
      <c r="F231" s="85" t="e">
        <f ca="1">F219*F220*F221*F222*F223*F224</f>
        <v>#N/A</v>
      </c>
    </row>
    <row r="232" spans="2:8" s="34" customFormat="1" x14ac:dyDescent="0.2">
      <c r="B232" s="35" t="s">
        <v>310</v>
      </c>
      <c r="C232" s="664">
        <v>0.1</v>
      </c>
      <c r="D232" s="664"/>
      <c r="E232" s="664"/>
      <c r="F232" s="664"/>
    </row>
    <row r="233" spans="2:8" s="34" customFormat="1" x14ac:dyDescent="0.2">
      <c r="B233" s="35" t="s">
        <v>311</v>
      </c>
      <c r="C233" s="664">
        <v>1</v>
      </c>
      <c r="D233" s="664"/>
      <c r="E233" s="664"/>
      <c r="F233" s="664"/>
    </row>
    <row r="234" spans="2:8" s="34" customFormat="1" x14ac:dyDescent="0.2">
      <c r="B234" s="35" t="s">
        <v>312</v>
      </c>
      <c r="C234" s="119" t="e">
        <f ca="1">AND(C231&gt;=$C$232,C231&lt;=$C$233)</f>
        <v>#N/A</v>
      </c>
      <c r="D234" s="119" t="e">
        <f t="shared" ref="D234:F234" ca="1" si="32">AND(D231&gt;=$C$232,D231&lt;=$C$233)</f>
        <v>#N/A</v>
      </c>
      <c r="E234" s="119" t="e">
        <f t="shared" ca="1" si="32"/>
        <v>#N/A</v>
      </c>
      <c r="F234" s="119" t="e">
        <f t="shared" ca="1" si="32"/>
        <v>#N/A</v>
      </c>
      <c r="G234" s="34" t="s">
        <v>321</v>
      </c>
    </row>
    <row r="235" spans="2:8" s="34" customFormat="1" x14ac:dyDescent="0.2">
      <c r="B235" s="35" t="s">
        <v>318</v>
      </c>
      <c r="C235" s="84" t="e">
        <f ca="1">IF(C230,C216/C231,#N/A)</f>
        <v>#N/A</v>
      </c>
      <c r="D235" s="84" t="e">
        <f ca="1">IF(D230,D216/D231,#N/A)</f>
        <v>#N/A</v>
      </c>
      <c r="E235" s="84" t="e">
        <f ca="1">IF(E230,E216/E231,#N/A)</f>
        <v>#N/A</v>
      </c>
      <c r="F235" s="84" t="e">
        <f ca="1">IF(F230,F216/F231,#N/A)</f>
        <v>#N/A</v>
      </c>
    </row>
    <row r="236" spans="2:8" s="34" customFormat="1" x14ac:dyDescent="0.2">
      <c r="B236" s="35" t="s">
        <v>313</v>
      </c>
      <c r="C236" s="663">
        <v>10</v>
      </c>
      <c r="D236" s="663"/>
      <c r="E236" s="663"/>
      <c r="F236" s="663"/>
    </row>
    <row r="237" spans="2:8" s="34" customFormat="1" x14ac:dyDescent="0.2">
      <c r="B237" s="35" t="s">
        <v>314</v>
      </c>
      <c r="C237" s="663">
        <v>1000</v>
      </c>
      <c r="D237" s="663"/>
      <c r="E237" s="663"/>
      <c r="F237" s="663"/>
    </row>
    <row r="238" spans="2:8" s="34" customFormat="1" ht="13.5" thickBot="1" x14ac:dyDescent="0.25">
      <c r="B238" s="70" t="s">
        <v>315</v>
      </c>
      <c r="C238" s="120" t="e">
        <f ca="1">AND(C235&gt;=$C$236,C235&lt;=$C$237)</f>
        <v>#N/A</v>
      </c>
      <c r="D238" s="120" t="e">
        <f t="shared" ref="D238:F238" ca="1" si="33">AND(D235&gt;=$C$236,D235&lt;=$C$237)</f>
        <v>#N/A</v>
      </c>
      <c r="E238" s="120" t="e">
        <f t="shared" ca="1" si="33"/>
        <v>#N/A</v>
      </c>
      <c r="F238" s="120" t="e">
        <f t="shared" ca="1" si="33"/>
        <v>#N/A</v>
      </c>
      <c r="G238" s="34" t="s">
        <v>321</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6" t="s">
        <v>295</v>
      </c>
      <c r="C244" s="121" t="s">
        <v>296</v>
      </c>
    </row>
    <row r="245" spans="2:8" s="34" customFormat="1" ht="14.25" thickTop="1" thickBot="1" x14ac:dyDescent="0.25"/>
    <row r="246" spans="2:8" s="34" customFormat="1" ht="13.5" thickBot="1" x14ac:dyDescent="0.25">
      <c r="B246" s="660" t="s">
        <v>89</v>
      </c>
      <c r="C246" s="661"/>
      <c r="D246" s="661"/>
      <c r="E246" s="661"/>
      <c r="F246" s="661"/>
    </row>
    <row r="247" spans="2:8" s="34" customFormat="1" x14ac:dyDescent="0.2">
      <c r="B247" s="122" t="s">
        <v>76</v>
      </c>
      <c r="C247" s="123"/>
      <c r="D247" s="124"/>
      <c r="E247" s="124"/>
      <c r="F247" s="124"/>
      <c r="G247" s="87"/>
      <c r="H247" s="87"/>
    </row>
    <row r="248" spans="2:8" s="34" customFormat="1" x14ac:dyDescent="0.2">
      <c r="B248" s="122" t="s">
        <v>74</v>
      </c>
      <c r="C248" s="125" t="str">
        <f>IF(ISERR(SEARCH("(",C247)),"",MID(C247,SEARCH("(",C247)+1,SEARCH(")",C247)-SEARCH("(",C247)-1))</f>
        <v/>
      </c>
      <c r="D248" s="126" t="str">
        <f>IF(ISERR(SEARCH("(",D247)),"",MID(D247,SEARCH("(",D247)+1,SEARCH(")",D247)-SEARCH("(",D247)-1))</f>
        <v/>
      </c>
      <c r="E248" s="126" t="str">
        <f>IF(ISERR(SEARCH("(",E247)),"",MID(E247,SEARCH("(",E247)+1,SEARCH(")",E247)-SEARCH("(",E247)-1))</f>
        <v/>
      </c>
      <c r="F248" s="126" t="str">
        <f>IF(ISERR(SEARCH("(",F247)),"",MID(F247,SEARCH("(",F247)+1,SEARCH(")",F247)-SEARCH("(",F247)-1))</f>
        <v/>
      </c>
      <c r="G248" s="87"/>
      <c r="H248" s="87"/>
    </row>
    <row r="249" spans="2:8" s="34" customFormat="1" x14ac:dyDescent="0.2">
      <c r="B249" s="122" t="s">
        <v>75</v>
      </c>
      <c r="C249" s="125" t="str">
        <f>IF(C248="","",MID(C247,SEARCH(")",C247)+1,LEN(C247)-SEARCH(")",C247)))</f>
        <v/>
      </c>
      <c r="D249" s="126" t="str">
        <f>IF(D248="","",MID(D247,SEARCH(")",D247)+1,LEN(D247)-SEARCH(")",D247)))</f>
        <v/>
      </c>
      <c r="E249" s="126" t="str">
        <f>IF(E248="","",MID(E247,SEARCH(")",E247)+1,LEN(E247)-SEARCH(")",E247)))</f>
        <v/>
      </c>
      <c r="F249" s="126" t="str">
        <f>IF(F248="","",MID(F247,SEARCH(")",F247)+1,LEN(F247)-SEARCH(")",F247)))</f>
        <v/>
      </c>
      <c r="G249" s="87"/>
    </row>
    <row r="250" spans="2:8" s="34" customFormat="1" x14ac:dyDescent="0.2">
      <c r="B250" s="122" t="s">
        <v>48</v>
      </c>
      <c r="C250" s="127" t="str">
        <f>IF(ISERR(SEARCH("EDW",C249)),"",CONCATENATE(C248," ",C249))</f>
        <v/>
      </c>
      <c r="D250" s="128" t="str">
        <f>IF(ISERR(SEARCH("EDW",D249)),"",CONCATENATE(D248," ",D249))</f>
        <v/>
      </c>
      <c r="E250" s="128" t="str">
        <f>IF(ISERR(SEARCH("EDW",E249)),"",CONCATENATE(E248," ",E249))</f>
        <v/>
      </c>
      <c r="F250" s="128" t="str">
        <f>IF(ISERR(SEARCH("EDW",F249)),"",CONCATENATE(F248," ",F249))</f>
        <v/>
      </c>
      <c r="G250" s="87"/>
      <c r="H250" s="87"/>
    </row>
    <row r="251" spans="2:8" s="34" customFormat="1" ht="13.5" thickBot="1" x14ac:dyDescent="0.25">
      <c r="B251" s="87"/>
      <c r="C251" s="87"/>
      <c r="D251" s="87"/>
      <c r="E251" s="87"/>
      <c r="F251" s="87"/>
      <c r="G251" s="87"/>
      <c r="H251" s="87"/>
    </row>
    <row r="252" spans="2:8" s="34" customFormat="1" ht="13.5" thickBot="1" x14ac:dyDescent="0.25">
      <c r="B252" s="658" t="s">
        <v>85</v>
      </c>
      <c r="C252" s="659"/>
      <c r="D252" s="659"/>
      <c r="E252" s="659"/>
      <c r="F252" s="659"/>
      <c r="G252" s="87"/>
      <c r="H252" s="87"/>
    </row>
    <row r="253" spans="2:8" s="34" customFormat="1" x14ac:dyDescent="0.2">
      <c r="B253" s="129" t="s">
        <v>22</v>
      </c>
      <c r="C253" s="130" t="str">
        <f>'Data Entry'!C14</f>
        <v/>
      </c>
      <c r="D253" s="131" t="str">
        <f>'Data Entry'!D14</f>
        <v/>
      </c>
      <c r="E253" s="131" t="str">
        <f>'Data Entry'!E14</f>
        <v/>
      </c>
      <c r="F253" s="131" t="str">
        <f>'Data Entry'!F14</f>
        <v/>
      </c>
      <c r="G253" s="87"/>
      <c r="H253" s="87"/>
    </row>
    <row r="254" spans="2:8" s="34" customFormat="1" x14ac:dyDescent="0.2">
      <c r="B254" s="122" t="s">
        <v>108</v>
      </c>
      <c r="C254" s="132">
        <f>'Data Entry'!C26</f>
        <v>0</v>
      </c>
      <c r="D254" s="69">
        <f>'Data Entry'!D26</f>
        <v>0</v>
      </c>
      <c r="E254" s="69">
        <f>'Data Entry'!E26</f>
        <v>0</v>
      </c>
      <c r="F254" s="69">
        <f>'Data Entry'!F26</f>
        <v>0</v>
      </c>
      <c r="G254" s="87"/>
      <c r="H254" s="87"/>
    </row>
    <row r="255" spans="2:8" s="34" customFormat="1" x14ac:dyDescent="0.2">
      <c r="B255" s="122" t="s">
        <v>109</v>
      </c>
      <c r="C255" s="132">
        <f>'Data Entry'!C27</f>
        <v>0</v>
      </c>
      <c r="D255" s="69">
        <f>'Data Entry'!D27</f>
        <v>0</v>
      </c>
      <c r="E255" s="69">
        <f>'Data Entry'!E27</f>
        <v>0</v>
      </c>
      <c r="F255" s="69">
        <f>'Data Entry'!F27</f>
        <v>0</v>
      </c>
      <c r="G255" s="87"/>
      <c r="H255" s="87"/>
    </row>
    <row r="256" spans="2:8" s="34" customFormat="1" x14ac:dyDescent="0.2">
      <c r="B256" s="122" t="s">
        <v>110</v>
      </c>
      <c r="C256" s="132">
        <f>'Data Entry'!C29</f>
        <v>0</v>
      </c>
      <c r="D256" s="69">
        <f>'Data Entry'!D29</f>
        <v>0</v>
      </c>
      <c r="E256" s="69">
        <f>'Data Entry'!E29</f>
        <v>0</v>
      </c>
      <c r="F256" s="69">
        <f>'Data Entry'!F29</f>
        <v>0</v>
      </c>
      <c r="G256" s="87"/>
      <c r="H256" s="87"/>
    </row>
    <row r="257" spans="2:8" s="34" customFormat="1" x14ac:dyDescent="0.2">
      <c r="B257" s="122" t="s">
        <v>111</v>
      </c>
      <c r="C257" s="132">
        <f>'Data Entry'!C30</f>
        <v>0</v>
      </c>
      <c r="D257" s="69">
        <f>'Data Entry'!D30</f>
        <v>0</v>
      </c>
      <c r="E257" s="69">
        <f>'Data Entry'!E30</f>
        <v>0</v>
      </c>
      <c r="F257" s="69">
        <f>'Data Entry'!F30</f>
        <v>0</v>
      </c>
      <c r="G257" s="87"/>
      <c r="H257" s="87"/>
    </row>
    <row r="258" spans="2:8" s="34" customFormat="1" x14ac:dyDescent="0.2">
      <c r="B258" s="122" t="s">
        <v>86</v>
      </c>
      <c r="C258" s="125" t="str">
        <f>IF(AND(ISERR(SEARCH("IN",#REF!)),ISERR(SEARCH("OUT",#REF!))),IF(AND(ISERR(SEARCH("LEFT",#REF!)),ISERR(SEARCH("RIGHT",#REF!))),"",MAX(C254:C255)),MAX(C256:C257))</f>
        <v/>
      </c>
      <c r="D258" s="126" t="str">
        <f>IF(AND(ISERR(SEARCH("IN",#REF!)),ISERR(SEARCH("OUT",#REF!))),IF(AND(ISERR(SEARCH("LEFT",#REF!)),ISERR(SEARCH("RIGHT",#REF!))),"",MAX(D254:D255)),MAX(D256:D257))</f>
        <v/>
      </c>
      <c r="E258" s="126" t="str">
        <f>IF(AND(ISERR(SEARCH("IN",#REF!)),ISERR(SEARCH("OUT",#REF!))),IF(AND(ISERR(SEARCH("LEFT",#REF!)),ISERR(SEARCH("RIGHT",#REF!))),"",MAX(E254:E255)),MAX(E256:E257))</f>
        <v/>
      </c>
      <c r="F258" s="126" t="str">
        <f>IF(AND(ISERR(SEARCH("IN",#REF!)),ISERR(SEARCH("OUT",#REF!))),IF(AND(ISERR(SEARCH("LEFT",#REF!)),ISERR(SEARCH("RIGHT",#REF!))),"",MAX(F254:F255)),MAX(F256:F257))</f>
        <v/>
      </c>
      <c r="G258" s="87"/>
      <c r="H258" s="87"/>
    </row>
    <row r="259" spans="2:8" s="34" customFormat="1" x14ac:dyDescent="0.2">
      <c r="B259" s="122" t="s">
        <v>10</v>
      </c>
      <c r="C259" s="35" t="str">
        <f>IF(ISERR(SEARCH("60",#REF!)),IF(ISERR(SEARCH("45",#REF!)),IF(ISERR(SEARCH("30",#REF!)),IF(ISERR(SEARCH("15",#REF!)),"",15),30),45),60)</f>
        <v/>
      </c>
      <c r="D259" s="133" t="str">
        <f>IF(ISERR(SEARCH("60",#REF!)),IF(ISERR(SEARCH("45",#REF!)),IF(ISERR(SEARCH("30",#REF!)),IF(ISERR(SEARCH("15",#REF!)),"",15),30),45),60)</f>
        <v/>
      </c>
      <c r="E259" s="133" t="str">
        <f>IF(ISERR(SEARCH("60",#REF!)),IF(ISERR(SEARCH("45",#REF!)),IF(ISERR(SEARCH("30",#REF!)),IF(ISERR(SEARCH("15",#REF!)),"",15),30),45),60)</f>
        <v/>
      </c>
      <c r="F259" s="133" t="str">
        <f>IF(ISERR(SEARCH("60",#REF!)),IF(ISERR(SEARCH("45",#REF!)),IF(ISERR(SEARCH("30",#REF!)),IF(ISERR(SEARCH("15",#REF!)),"",15),30),45),60)</f>
        <v/>
      </c>
      <c r="G259" s="87"/>
      <c r="H259" s="87"/>
    </row>
    <row r="260" spans="2:8" s="34" customFormat="1" x14ac:dyDescent="0.2">
      <c r="B260" s="122" t="s">
        <v>85</v>
      </c>
      <c r="C260" s="35" t="e">
        <f>IF(#REF!="","",VLOOKUP(C259,'Data Calculations'!#REF!,MATCH(C253,'Data Calculations'!#REF!,0)+1,FALSE)&gt;=C258)</f>
        <v>#REF!</v>
      </c>
      <c r="D260" s="133" t="e">
        <f>IF(#REF!="","",VLOOKUP(D259,'Data Calculations'!#REF!,MATCH(D253,'Data Calculations'!#REF!,0)+1,FALSE)&gt;=D258)</f>
        <v>#REF!</v>
      </c>
      <c r="E260" s="133" t="e">
        <f>IF(#REF!="","",VLOOKUP(E259,'Data Calculations'!#REF!,MATCH(E253,'Data Calculations'!#REF!,0)+1,FALSE)&gt;=E258)</f>
        <v>#REF!</v>
      </c>
      <c r="F260" s="133" t="e">
        <f>IF(#REF!="","",VLOOKUP(F259,'Data Calculations'!#REF!,MATCH(F253,'Data Calculations'!#REF!,0)+1,FALSE)&gt;=F258)</f>
        <v>#REF!</v>
      </c>
    </row>
    <row r="261" spans="2:8" s="34" customFormat="1" x14ac:dyDescent="0.2">
      <c r="B261" s="122" t="s">
        <v>48</v>
      </c>
      <c r="C261" s="134" t="e">
        <f>SUBSTITUTE(UPPER(TRIM('Data Entry'!#REF!)),"EDW ","EDW")</f>
        <v>#REF!</v>
      </c>
      <c r="D261" s="135" t="e">
        <f>SUBSTITUTE(UPPER(TRIM('Data Entry'!#REF!)),"EDW ","EDW")</f>
        <v>#REF!</v>
      </c>
      <c r="E261" s="135" t="e">
        <f>SUBSTITUTE(UPPER(TRIM('Data Entry'!#REF!)),"EDW ","EDW")</f>
        <v>#REF!</v>
      </c>
      <c r="F261" s="135" t="e">
        <f>SUBSTITUTE(UPPER(TRIM('Data Entry'!#REF!)),"EDW ","EDW")</f>
        <v>#REF!</v>
      </c>
    </row>
    <row r="262" spans="2:8" s="34" customFormat="1" x14ac:dyDescent="0.2">
      <c r="B262" s="122" t="s">
        <v>59</v>
      </c>
      <c r="C262" s="136" t="str">
        <f>IF(ISERR(SEARCH("IN",C261)),IF(ISERR(SEARCH("OUT",C261)),"","OUT"),"IN")</f>
        <v/>
      </c>
      <c r="D262" s="137" t="str">
        <f>IF(ISERR(SEARCH("IN",D261)),IF(ISERR(SEARCH("OUT",D261)),"","OUT"),"IN")</f>
        <v/>
      </c>
      <c r="E262" s="137" t="str">
        <f>IF(ISERR(SEARCH("IN",E261)),IF(ISERR(SEARCH("OUT",E261)),"","OUT"),"IN")</f>
        <v/>
      </c>
      <c r="F262" s="137" t="str">
        <f>IF(ISERR(SEARCH("IN",F261)),IF(ISERR(SEARCH("OUT",F261)),"","OUT"),"IN")</f>
        <v/>
      </c>
    </row>
    <row r="263" spans="2:8" s="34" customFormat="1" x14ac:dyDescent="0.2">
      <c r="B263" s="122" t="s">
        <v>49</v>
      </c>
      <c r="C263" s="35" t="str">
        <f>IF(C262="OUT",C256,IF(C262="IN",C257,""))</f>
        <v/>
      </c>
      <c r="D263" s="133" t="str">
        <f>IF(D262="OUT",D256,IF(D262="IN",D257,""))</f>
        <v/>
      </c>
      <c r="E263" s="133" t="str">
        <f>IF(E262="OUT",E256,IF(E262="IN",E257,""))</f>
        <v/>
      </c>
      <c r="F263" s="133" t="str">
        <f>IF(F262="OUT",F256,IF(F262="IN",F257,""))</f>
        <v/>
      </c>
    </row>
    <row r="264" spans="2:8" s="34" customFormat="1" ht="13.5" thickBot="1" x14ac:dyDescent="0.25">
      <c r="B264" s="138" t="s">
        <v>87</v>
      </c>
      <c r="C264" s="70" t="e">
        <f>IF(C261="","",AND(C263&lt;=10,C263&gt;=0))</f>
        <v>#REF!</v>
      </c>
      <c r="D264" s="139" t="e">
        <f>IF(D261="","",AND(D263&lt;=10,D263&gt;=0))</f>
        <v>#REF!</v>
      </c>
      <c r="E264" s="139" t="e">
        <f>IF(E261="","",AND(E263&lt;=10,E263&gt;=0))</f>
        <v>#REF!</v>
      </c>
      <c r="F264" s="139"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sheetProtection sheet="1" objects="1" scenarios="1"/>
  <mergeCells count="52">
    <mergeCell ref="B252:F252"/>
    <mergeCell ref="B138:F138"/>
    <mergeCell ref="B246:F246"/>
    <mergeCell ref="B122:F122"/>
    <mergeCell ref="C229:F229"/>
    <mergeCell ref="B228:F228"/>
    <mergeCell ref="B218:F218"/>
    <mergeCell ref="C200:F200"/>
    <mergeCell ref="C201:F201"/>
    <mergeCell ref="C204:F204"/>
    <mergeCell ref="C205:F205"/>
    <mergeCell ref="C202:F202"/>
    <mergeCell ref="C232:F232"/>
    <mergeCell ref="C233:F233"/>
    <mergeCell ref="C236:F236"/>
    <mergeCell ref="C237:F237"/>
    <mergeCell ref="C179:F179"/>
    <mergeCell ref="C94:F94"/>
    <mergeCell ref="C206:F206"/>
    <mergeCell ref="B52:C52"/>
    <mergeCell ref="C104:F104"/>
    <mergeCell ref="B56:G56"/>
    <mergeCell ref="B82:F82"/>
    <mergeCell ref="B110:F110"/>
    <mergeCell ref="C11:D11"/>
    <mergeCell ref="C13:D13"/>
    <mergeCell ref="C12:D12"/>
    <mergeCell ref="C17:D17"/>
    <mergeCell ref="C10:D10"/>
    <mergeCell ref="C16:D16"/>
    <mergeCell ref="C15:D15"/>
    <mergeCell ref="C4:D4"/>
    <mergeCell ref="C5:D5"/>
    <mergeCell ref="C6:D6"/>
    <mergeCell ref="C7:D7"/>
    <mergeCell ref="C9:D9"/>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s>
  <phoneticPr fontId="0" type="noConversion"/>
  <conditionalFormatting sqref="C86:F87">
    <cfRule type="cellIs" dxfId="38" priority="53" operator="equal">
      <formula>TRUE</formula>
    </cfRule>
  </conditionalFormatting>
  <conditionalFormatting sqref="C115:F115">
    <cfRule type="cellIs" dxfId="37" priority="52" operator="equal">
      <formula>TRUE</formula>
    </cfRule>
  </conditionalFormatting>
  <conditionalFormatting sqref="C101:F101">
    <cfRule type="cellIs" dxfId="36" priority="51" operator="equal">
      <formula>TRUE</formula>
    </cfRule>
  </conditionalFormatting>
  <conditionalFormatting sqref="C96:F96">
    <cfRule type="cellIs" dxfId="35" priority="50" operator="equal">
      <formula>TRUE</formula>
    </cfRule>
  </conditionalFormatting>
  <conditionalFormatting sqref="C116:F116">
    <cfRule type="cellIs" dxfId="34" priority="49" operator="equal">
      <formula>TRUE</formula>
    </cfRule>
  </conditionalFormatting>
  <conditionalFormatting sqref="C151:F154">
    <cfRule type="cellIs" dxfId="33" priority="48" operator="equal">
      <formula>TRUE</formula>
    </cfRule>
  </conditionalFormatting>
  <conditionalFormatting sqref="C169:F169">
    <cfRule type="cellIs" dxfId="32" priority="46" operator="equal">
      <formula>TRUE</formula>
    </cfRule>
  </conditionalFormatting>
  <conditionalFormatting sqref="C173:F173">
    <cfRule type="cellIs" dxfId="31" priority="45" operator="equal">
      <formula>TRUE</formula>
    </cfRule>
  </conditionalFormatting>
  <conditionalFormatting sqref="C213:F213">
    <cfRule type="cellIs" dxfId="30" priority="44" operator="equal">
      <formula>TRUE</formula>
    </cfRule>
  </conditionalFormatting>
  <conditionalFormatting sqref="C155:F156">
    <cfRule type="cellIs" dxfId="29" priority="42" operator="equal">
      <formula>TRUE</formula>
    </cfRule>
  </conditionalFormatting>
  <conditionalFormatting sqref="C72:F72">
    <cfRule type="cellIs" dxfId="28" priority="35" operator="equal">
      <formula>TRUE</formula>
    </cfRule>
  </conditionalFormatting>
  <conditionalFormatting sqref="D189:F189">
    <cfRule type="cellIs" dxfId="27" priority="34" operator="equal">
      <formula>TRUE</formula>
    </cfRule>
  </conditionalFormatting>
  <conditionalFormatting sqref="C230:F230">
    <cfRule type="cellIs" dxfId="26" priority="33" operator="equal">
      <formula>TRUE</formula>
    </cfRule>
  </conditionalFormatting>
  <conditionalFormatting sqref="C229:F229">
    <cfRule type="cellIs" dxfId="25" priority="32" operator="equal">
      <formula>TRUE</formula>
    </cfRule>
  </conditionalFormatting>
  <conditionalFormatting sqref="D24:D26">
    <cfRule type="cellIs" dxfId="24" priority="27" operator="equal">
      <formula>TRUE</formula>
    </cfRule>
  </conditionalFormatting>
  <conditionalFormatting sqref="C34:F34">
    <cfRule type="cellIs" dxfId="23" priority="26" operator="equal">
      <formula>TRUE</formula>
    </cfRule>
  </conditionalFormatting>
  <conditionalFormatting sqref="C88:F88">
    <cfRule type="expression" dxfId="22" priority="25">
      <formula>NOT(C$87)</formula>
    </cfRule>
  </conditionalFormatting>
  <conditionalFormatting sqref="C97:F98">
    <cfRule type="expression" dxfId="21" priority="24">
      <formula>NOT(C$96)</formula>
    </cfRule>
  </conditionalFormatting>
  <conditionalFormatting sqref="C95:F95">
    <cfRule type="expression" dxfId="20" priority="23">
      <formula>NOT($B$94)</formula>
    </cfRule>
  </conditionalFormatting>
  <conditionalFormatting sqref="C108:F108">
    <cfRule type="cellIs" dxfId="19" priority="22" operator="equal">
      <formula>TRUE</formula>
    </cfRule>
  </conditionalFormatting>
  <conditionalFormatting sqref="B103">
    <cfRule type="cellIs" dxfId="18" priority="21" operator="equal">
      <formula>TRUE</formula>
    </cfRule>
  </conditionalFormatting>
  <conditionalFormatting sqref="C89:F89">
    <cfRule type="cellIs" dxfId="17" priority="19" operator="equal">
      <formula>TRUE</formula>
    </cfRule>
  </conditionalFormatting>
  <conditionalFormatting sqref="C144:F144">
    <cfRule type="expression" dxfId="16" priority="18">
      <formula>C144</formula>
    </cfRule>
  </conditionalFormatting>
  <conditionalFormatting sqref="C141:F141">
    <cfRule type="expression" dxfId="15" priority="17">
      <formula>C$139</formula>
    </cfRule>
  </conditionalFormatting>
  <conditionalFormatting sqref="C192:F192">
    <cfRule type="cellIs" dxfId="14" priority="16" operator="equal">
      <formula>TRUE</formula>
    </cfRule>
  </conditionalFormatting>
  <conditionalFormatting sqref="C100:F100">
    <cfRule type="cellIs" dxfId="13" priority="15" operator="equal">
      <formula>TRUE</formula>
    </cfRule>
  </conditionalFormatting>
  <conditionalFormatting sqref="C202">
    <cfRule type="cellIs" dxfId="12" priority="14" operator="equal">
      <formula>TRUE</formula>
    </cfRule>
  </conditionalFormatting>
  <conditionalFormatting sqref="C206">
    <cfRule type="cellIs" dxfId="11" priority="12" operator="equal">
      <formula>TRUE</formula>
    </cfRule>
  </conditionalFormatting>
  <conditionalFormatting sqref="C207:F207">
    <cfRule type="cellIs" dxfId="10" priority="10" operator="equal">
      <formula>TRUE</formula>
    </cfRule>
  </conditionalFormatting>
  <conditionalFormatting sqref="C234:F234">
    <cfRule type="cellIs" dxfId="9" priority="9" operator="equal">
      <formula>TRUE</formula>
    </cfRule>
  </conditionalFormatting>
  <conditionalFormatting sqref="C238:F238">
    <cfRule type="cellIs" dxfId="8" priority="7" operator="equal">
      <formula>TRUE</formula>
    </cfRule>
  </conditionalFormatting>
  <conditionalFormatting sqref="C211:F211">
    <cfRule type="cellIs" dxfId="7" priority="6" operator="equal">
      <formula>TRUE</formula>
    </cfRule>
  </conditionalFormatting>
  <conditionalFormatting sqref="C212 C209:F209">
    <cfRule type="expression" dxfId="6" priority="419">
      <formula>NOT(C$207)</formula>
    </cfRule>
  </conditionalFormatting>
  <conditionalFormatting sqref="C189">
    <cfRule type="cellIs" dxfId="5" priority="5" operator="equal">
      <formula>TRUE</formula>
    </cfRule>
  </conditionalFormatting>
  <conditionalFormatting sqref="C210:F210">
    <cfRule type="cellIs" dxfId="4" priority="4" operator="equal">
      <formula>TRUE</formula>
    </cfRule>
  </conditionalFormatting>
  <conditionalFormatting sqref="C157:F157">
    <cfRule type="cellIs" dxfId="3" priority="3" operator="equal">
      <formula>TRUE</formula>
    </cfRule>
  </conditionalFormatting>
  <conditionalFormatting sqref="B83 B94 C139:F139 C142:F142 B179">
    <cfRule type="cellIs" dxfId="2"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activeCell="C11" sqref="C11:F11"/>
    </sheetView>
  </sheetViews>
  <sheetFormatPr defaultColWidth="8.85546875" defaultRowHeight="12.75" outlineLevelRow="3" x14ac:dyDescent="0.2"/>
  <cols>
    <col min="1" max="1" width="6.28515625" style="155" customWidth="1"/>
    <col min="2" max="2" width="21.140625" style="155" customWidth="1"/>
    <col min="3" max="6" width="16.7109375" style="155" customWidth="1"/>
    <col min="7" max="16384" width="8.85546875" style="155"/>
  </cols>
  <sheetData>
    <row r="1" spans="2:6" x14ac:dyDescent="0.2">
      <c r="B1" s="65"/>
      <c r="C1" s="65"/>
    </row>
    <row r="2" spans="2:6" ht="15" x14ac:dyDescent="0.2">
      <c r="B2" s="156"/>
      <c r="C2" s="8" t="s">
        <v>339</v>
      </c>
      <c r="D2" s="157"/>
    </row>
    <row r="3" spans="2:6" ht="15" x14ac:dyDescent="0.2">
      <c r="B3" s="441"/>
      <c r="C3" s="8" t="s">
        <v>152</v>
      </c>
      <c r="D3" s="157"/>
      <c r="E3" s="158"/>
    </row>
    <row r="4" spans="2:6" ht="15.75" thickBot="1" x14ac:dyDescent="0.25">
      <c r="B4" s="159" t="s">
        <v>135</v>
      </c>
      <c r="C4" s="480" t="s">
        <v>338</v>
      </c>
      <c r="D4" s="157"/>
    </row>
    <row r="5" spans="2:6" ht="15" x14ac:dyDescent="0.2">
      <c r="B5" s="442"/>
      <c r="C5" s="8" t="s">
        <v>340</v>
      </c>
      <c r="D5" s="157"/>
    </row>
    <row r="6" spans="2:6" ht="15" x14ac:dyDescent="0.2">
      <c r="B6" s="444"/>
      <c r="C6" s="8" t="s">
        <v>151</v>
      </c>
      <c r="D6" s="157"/>
    </row>
    <row r="7" spans="2:6" ht="15" x14ac:dyDescent="0.2">
      <c r="B7" s="160"/>
      <c r="C7" s="8" t="s">
        <v>150</v>
      </c>
      <c r="D7" s="157"/>
    </row>
    <row r="8" spans="2:6" ht="15" x14ac:dyDescent="0.2">
      <c r="B8" s="450"/>
      <c r="C8" s="481" t="s">
        <v>153</v>
      </c>
      <c r="D8" s="157"/>
    </row>
    <row r="9" spans="2:6" ht="15" x14ac:dyDescent="0.2">
      <c r="B9" s="161"/>
      <c r="C9" s="481" t="s">
        <v>309</v>
      </c>
      <c r="D9" s="157"/>
    </row>
    <row r="10" spans="2:6" ht="13.5" thickBot="1" x14ac:dyDescent="0.25">
      <c r="B10" s="65"/>
      <c r="C10" s="65"/>
    </row>
    <row r="11" spans="2:6" s="65" customFormat="1" ht="16.5" thickBot="1" x14ac:dyDescent="0.3">
      <c r="B11" s="482"/>
      <c r="C11" s="668" t="s">
        <v>65</v>
      </c>
      <c r="D11" s="668"/>
      <c r="E11" s="668"/>
      <c r="F11" s="669"/>
    </row>
    <row r="12" spans="2:6" s="65" customFormat="1" ht="16.5" thickTop="1" thickBot="1" x14ac:dyDescent="0.25">
      <c r="B12" s="483" t="s">
        <v>67</v>
      </c>
      <c r="C12" s="484">
        <v>1</v>
      </c>
      <c r="D12" s="485">
        <v>2</v>
      </c>
      <c r="E12" s="484">
        <v>3</v>
      </c>
      <c r="F12" s="485">
        <v>4</v>
      </c>
    </row>
    <row r="13" spans="2:6" s="65" customFormat="1" ht="15" x14ac:dyDescent="0.2">
      <c r="B13" s="486" t="s">
        <v>244</v>
      </c>
      <c r="C13" s="487">
        <f>'Data Calculations'!C147</f>
        <v>0</v>
      </c>
      <c r="D13" s="487">
        <f>'Data Calculations'!D147</f>
        <v>0</v>
      </c>
      <c r="E13" s="487">
        <f>'Data Calculations'!E147</f>
        <v>0</v>
      </c>
      <c r="F13" s="487">
        <f>'Data Calculations'!F147</f>
        <v>0</v>
      </c>
    </row>
    <row r="14" spans="2:6" s="65" customFormat="1" ht="15" x14ac:dyDescent="0.2">
      <c r="B14" s="486" t="s">
        <v>245</v>
      </c>
      <c r="C14" s="487">
        <f>'Data Calculations'!C150</f>
        <v>0</v>
      </c>
      <c r="D14" s="487">
        <f>'Data Calculations'!D150</f>
        <v>0</v>
      </c>
      <c r="E14" s="487">
        <f>'Data Calculations'!E150</f>
        <v>0</v>
      </c>
      <c r="F14" s="487">
        <f>'Data Calculations'!F150</f>
        <v>0</v>
      </c>
    </row>
    <row r="15" spans="2:6" s="65" customFormat="1" ht="15" x14ac:dyDescent="0.2">
      <c r="B15" s="486" t="s">
        <v>96</v>
      </c>
      <c r="C15" s="488">
        <f>'Data Calculations'!C164</f>
        <v>0</v>
      </c>
      <c r="D15" s="488">
        <f>'Data Calculations'!D164</f>
        <v>0</v>
      </c>
      <c r="E15" s="488">
        <f>'Data Calculations'!E164</f>
        <v>0</v>
      </c>
      <c r="F15" s="488">
        <f>'Data Calculations'!F164</f>
        <v>0</v>
      </c>
    </row>
    <row r="16" spans="2:6" s="65" customFormat="1" ht="15" x14ac:dyDescent="0.2">
      <c r="B16" s="486" t="s">
        <v>97</v>
      </c>
      <c r="C16" s="488">
        <f>'Data Calculations'!C167</f>
        <v>0</v>
      </c>
      <c r="D16" s="488">
        <f>'Data Calculations'!D167</f>
        <v>0</v>
      </c>
      <c r="E16" s="488">
        <f>'Data Calculations'!E167</f>
        <v>0</v>
      </c>
      <c r="F16" s="488">
        <f>'Data Calculations'!F167</f>
        <v>0</v>
      </c>
    </row>
    <row r="17" spans="1:11" s="65" customFormat="1" ht="15" x14ac:dyDescent="0.2">
      <c r="B17" s="486" t="s">
        <v>23</v>
      </c>
      <c r="C17" s="488" t="e">
        <f>'Data Calculations'!C168</f>
        <v>#DIV/0!</v>
      </c>
      <c r="D17" s="488" t="e">
        <f>'Data Calculations'!D168</f>
        <v>#DIV/0!</v>
      </c>
      <c r="E17" s="488" t="e">
        <f>'Data Calculations'!E168</f>
        <v>#DIV/0!</v>
      </c>
      <c r="F17" s="488" t="e">
        <f>'Data Calculations'!F168</f>
        <v>#DIV/0!</v>
      </c>
    </row>
    <row r="18" spans="1:11" s="65" customFormat="1" ht="15" x14ac:dyDescent="0.2">
      <c r="B18" s="486" t="s">
        <v>24</v>
      </c>
      <c r="C18" s="489">
        <f>'Data Calculations'!C114</f>
        <v>100</v>
      </c>
      <c r="D18" s="489">
        <f>'Data Calculations'!D114</f>
        <v>100</v>
      </c>
      <c r="E18" s="489">
        <f>'Data Calculations'!E114</f>
        <v>100</v>
      </c>
      <c r="F18" s="489">
        <f>'Data Calculations'!F114</f>
        <v>100</v>
      </c>
    </row>
    <row r="19" spans="1:11" s="65" customFormat="1" ht="15" x14ac:dyDescent="0.2">
      <c r="B19" s="486" t="s">
        <v>341</v>
      </c>
      <c r="C19" s="487" t="e">
        <f>'Data Calculations'!C71</f>
        <v>#N/A</v>
      </c>
      <c r="D19" s="487" t="e">
        <f>'Data Calculations'!D71</f>
        <v>#N/A</v>
      </c>
      <c r="E19" s="487" t="e">
        <f>'Data Calculations'!E71</f>
        <v>#N/A</v>
      </c>
      <c r="F19" s="487" t="e">
        <f>'Data Calculations'!F71</f>
        <v>#N/A</v>
      </c>
      <c r="H19" s="155"/>
      <c r="I19" s="155"/>
      <c r="J19" s="155"/>
      <c r="K19" s="155"/>
    </row>
    <row r="20" spans="1:11" s="65" customFormat="1" ht="15.75" x14ac:dyDescent="0.25">
      <c r="B20" s="486" t="s">
        <v>8</v>
      </c>
      <c r="C20" s="490" t="e">
        <f ca="1">C161</f>
        <v>#N/A</v>
      </c>
      <c r="D20" s="490" t="e">
        <f ca="1">D161</f>
        <v>#N/A</v>
      </c>
      <c r="E20" s="490" t="e">
        <f ca="1">E161</f>
        <v>#N/A</v>
      </c>
      <c r="F20" s="490" t="e">
        <f ca="1">F161</f>
        <v>#N/A</v>
      </c>
      <c r="H20" s="155"/>
      <c r="J20" s="155"/>
      <c r="K20" s="155"/>
    </row>
    <row r="21" spans="1:11" s="65" customFormat="1" ht="15.75" x14ac:dyDescent="0.25">
      <c r="B21" s="486" t="s">
        <v>99</v>
      </c>
      <c r="C21" s="490" t="e">
        <f ca="1">C219</f>
        <v>#N/A</v>
      </c>
      <c r="D21" s="490" t="e">
        <f ca="1">D219</f>
        <v>#N/A</v>
      </c>
      <c r="E21" s="490" t="e">
        <f ca="1">E219</f>
        <v>#N/A</v>
      </c>
      <c r="F21" s="490" t="e">
        <f ca="1">F219</f>
        <v>#N/A</v>
      </c>
      <c r="H21" s="155"/>
      <c r="J21" s="155"/>
      <c r="K21" s="155"/>
    </row>
    <row r="22" spans="1:11" s="65" customFormat="1" ht="15.75" x14ac:dyDescent="0.25">
      <c r="B22" s="486" t="s">
        <v>9</v>
      </c>
      <c r="C22" s="490" t="e">
        <f ca="1">C183</f>
        <v>#N/A</v>
      </c>
      <c r="D22" s="490" t="e">
        <f ca="1">D183</f>
        <v>#N/A</v>
      </c>
      <c r="E22" s="490" t="e">
        <f ca="1">E183</f>
        <v>#N/A</v>
      </c>
      <c r="F22" s="490" t="e">
        <f ca="1">F183</f>
        <v>#N/A</v>
      </c>
      <c r="H22" s="155"/>
      <c r="J22" s="155"/>
      <c r="K22" s="155"/>
    </row>
    <row r="23" spans="1:11" s="65" customFormat="1" ht="16.5" thickBot="1" x14ac:dyDescent="0.3">
      <c r="B23" s="491" t="s">
        <v>91</v>
      </c>
      <c r="C23" s="492" t="e">
        <f ca="1">C205</f>
        <v>#N/A</v>
      </c>
      <c r="D23" s="492" t="e">
        <f ca="1">D205</f>
        <v>#N/A</v>
      </c>
      <c r="E23" s="492" t="e">
        <f ca="1">E205</f>
        <v>#N/A</v>
      </c>
      <c r="F23" s="492" t="e">
        <f ca="1">F205</f>
        <v>#N/A</v>
      </c>
      <c r="H23" s="155"/>
      <c r="J23" s="155"/>
      <c r="K23" s="155"/>
    </row>
    <row r="24" spans="1:11" s="65" customFormat="1" ht="15" outlineLevel="1" x14ac:dyDescent="0.2">
      <c r="B24" s="493" t="s">
        <v>155</v>
      </c>
      <c r="C24" s="494"/>
      <c r="D24" s="494"/>
      <c r="E24" s="494"/>
      <c r="F24" s="494"/>
      <c r="H24" s="155"/>
      <c r="J24" s="155"/>
      <c r="K24" s="155"/>
    </row>
    <row r="25" spans="1:11" s="65" customFormat="1" ht="15" outlineLevel="1" x14ac:dyDescent="0.2">
      <c r="B25" s="486" t="s">
        <v>48</v>
      </c>
      <c r="C25" s="495"/>
      <c r="D25" s="495"/>
      <c r="E25" s="495"/>
      <c r="F25" s="495"/>
      <c r="H25" s="155"/>
      <c r="I25" s="155"/>
      <c r="J25" s="155"/>
      <c r="K25" s="155"/>
    </row>
    <row r="26" spans="1:11" s="65" customFormat="1" ht="15" outlineLevel="1" x14ac:dyDescent="0.2">
      <c r="B26" s="486" t="s">
        <v>59</v>
      </c>
      <c r="C26" s="496"/>
      <c r="D26" s="497"/>
      <c r="E26" s="497"/>
      <c r="F26" s="497"/>
      <c r="H26" s="155"/>
      <c r="I26" s="155"/>
      <c r="J26" s="155"/>
      <c r="K26" s="155"/>
    </row>
    <row r="27" spans="1:11" s="65" customFormat="1" ht="15" outlineLevel="1" x14ac:dyDescent="0.2">
      <c r="B27" s="486" t="s">
        <v>49</v>
      </c>
      <c r="C27" s="495"/>
      <c r="D27" s="495"/>
      <c r="E27" s="495"/>
      <c r="F27" s="495"/>
      <c r="H27" s="155"/>
      <c r="I27" s="155"/>
      <c r="J27" s="155"/>
      <c r="K27" s="155"/>
    </row>
    <row r="28" spans="1:11" s="65" customFormat="1" ht="15" outlineLevel="1" x14ac:dyDescent="0.2">
      <c r="B28" s="486" t="s">
        <v>60</v>
      </c>
      <c r="C28" s="495"/>
      <c r="D28" s="498"/>
      <c r="E28" s="498"/>
      <c r="F28" s="498"/>
      <c r="H28" s="155"/>
      <c r="I28" s="155"/>
      <c r="J28" s="155"/>
      <c r="K28" s="155"/>
    </row>
    <row r="29" spans="1:11" s="65" customFormat="1" ht="16.5" outlineLevel="1" thickBot="1" x14ac:dyDescent="0.3">
      <c r="B29" s="491" t="s">
        <v>66</v>
      </c>
      <c r="C29" s="499"/>
      <c r="D29" s="499"/>
      <c r="E29" s="499"/>
      <c r="F29" s="499"/>
      <c r="H29" s="155"/>
      <c r="I29" s="155"/>
      <c r="J29" s="155"/>
      <c r="K29" s="155"/>
    </row>
    <row r="30" spans="1:11" s="65" customFormat="1" x14ac:dyDescent="0.2">
      <c r="C30" s="34"/>
      <c r="H30" s="155"/>
      <c r="I30" s="155"/>
      <c r="J30" s="155"/>
      <c r="K30" s="155"/>
    </row>
    <row r="31" spans="1:11" s="65" customFormat="1" ht="13.5" thickBot="1" x14ac:dyDescent="0.25">
      <c r="H31" s="155"/>
      <c r="I31" s="155"/>
      <c r="J31" s="155"/>
      <c r="K31" s="155"/>
    </row>
    <row r="32" spans="1:11" s="65" customFormat="1" outlineLevel="1" x14ac:dyDescent="0.2">
      <c r="A32" s="665" t="s">
        <v>194</v>
      </c>
      <c r="B32" s="162"/>
      <c r="C32" s="674" t="s">
        <v>275</v>
      </c>
      <c r="D32" s="674"/>
      <c r="E32" s="674"/>
      <c r="F32" s="675"/>
      <c r="H32" s="155"/>
      <c r="I32" s="155"/>
      <c r="J32" s="155"/>
      <c r="K32" s="155"/>
    </row>
    <row r="33" spans="1:11" s="65" customFormat="1" ht="14.25" customHeight="1" outlineLevel="1" x14ac:dyDescent="0.2">
      <c r="A33" s="666"/>
      <c r="B33" s="147" t="s">
        <v>67</v>
      </c>
      <c r="C33" s="163">
        <v>1</v>
      </c>
      <c r="D33" s="163">
        <v>2</v>
      </c>
      <c r="E33" s="163">
        <v>3</v>
      </c>
      <c r="F33" s="164">
        <v>4</v>
      </c>
      <c r="H33" s="155"/>
      <c r="I33" s="155"/>
      <c r="J33" s="155"/>
      <c r="K33" s="155"/>
    </row>
    <row r="34" spans="1:11" s="65" customFormat="1" ht="12.75" customHeight="1" outlineLevel="1" x14ac:dyDescent="0.2">
      <c r="A34" s="666"/>
      <c r="B34" s="165" t="s">
        <v>341</v>
      </c>
      <c r="C34" s="444" t="e">
        <f>C$19</f>
        <v>#N/A</v>
      </c>
      <c r="D34" s="444" t="e">
        <f>D$19</f>
        <v>#N/A</v>
      </c>
      <c r="E34" s="444" t="e">
        <f>E$19</f>
        <v>#N/A</v>
      </c>
      <c r="F34" s="445" t="e">
        <f>F$19</f>
        <v>#N/A</v>
      </c>
      <c r="H34" s="155"/>
      <c r="I34" s="155"/>
      <c r="J34" s="155"/>
      <c r="K34" s="155"/>
    </row>
    <row r="35" spans="1:11" s="65" customFormat="1" outlineLevel="1" x14ac:dyDescent="0.2">
      <c r="A35" s="666"/>
      <c r="B35" s="165" t="s">
        <v>249</v>
      </c>
      <c r="C35" s="442">
        <f>VLOOKUP("Limits",'Table References'!$D$37:$E$44,2)</f>
        <v>20</v>
      </c>
      <c r="D35" s="442">
        <f>VLOOKUP("Limits",'Table References'!$D$37:$E$44,2)</f>
        <v>20</v>
      </c>
      <c r="E35" s="442">
        <f>VLOOKUP("Limits",'Table References'!$D$37:$E$44,2)</f>
        <v>20</v>
      </c>
      <c r="F35" s="443">
        <f>VLOOKUP("Limits",'Table References'!$D$37:$E$44,2)</f>
        <v>20</v>
      </c>
      <c r="H35" s="155"/>
      <c r="I35" s="155"/>
      <c r="J35" s="155"/>
      <c r="K35" s="155"/>
    </row>
    <row r="36" spans="1:11" s="65" customFormat="1" outlineLevel="1" x14ac:dyDescent="0.2">
      <c r="A36" s="666"/>
      <c r="B36" s="147" t="s">
        <v>118</v>
      </c>
      <c r="C36" s="442" t="e">
        <f>INDEX('Table References'!$D$3:$G$34,C35,MATCH(C34,'Table References'!$D$2:$G$2,0))</f>
        <v>#N/A</v>
      </c>
      <c r="D36" s="442" t="e">
        <f>INDEX('Table References'!$D$3:$G$34,D35,MATCH(D34,'Table References'!$D$2:$G$2,0))</f>
        <v>#N/A</v>
      </c>
      <c r="E36" s="442" t="e">
        <f>INDEX('Table References'!$D$3:$G$34,E35,MATCH(E34,'Table References'!$D$2:$G$2,0))</f>
        <v>#N/A</v>
      </c>
      <c r="F36" s="443" t="e">
        <f>INDEX('Table References'!$D$3:$G$34,F35,MATCH(F34,'Table References'!$D$2:$G$2,0))</f>
        <v>#N/A</v>
      </c>
      <c r="H36" s="155"/>
      <c r="I36" s="155"/>
      <c r="J36" s="155"/>
      <c r="K36" s="155"/>
    </row>
    <row r="37" spans="1:11" s="65" customFormat="1" outlineLevel="1" x14ac:dyDescent="0.2">
      <c r="A37" s="666"/>
      <c r="B37" s="147" t="s">
        <v>124</v>
      </c>
      <c r="C37" s="442" t="e">
        <f ca="1">ROWS(INDIRECT(C$36))</f>
        <v>#N/A</v>
      </c>
      <c r="D37" s="442" t="e">
        <f ca="1">ROWS(INDIRECT(D36))</f>
        <v>#N/A</v>
      </c>
      <c r="E37" s="442" t="e">
        <f ca="1">ROWS(INDIRECT(E36))</f>
        <v>#N/A</v>
      </c>
      <c r="F37" s="443" t="e">
        <f ca="1">ROWS(INDIRECT(F36))</f>
        <v>#N/A</v>
      </c>
      <c r="H37" s="155"/>
      <c r="I37" s="155"/>
      <c r="J37" s="155"/>
      <c r="K37" s="155"/>
    </row>
    <row r="38" spans="1:11" s="65" customFormat="1" outlineLevel="1" x14ac:dyDescent="0.2">
      <c r="A38" s="666"/>
      <c r="B38" s="147" t="s">
        <v>125</v>
      </c>
      <c r="C38" s="442" t="e">
        <f ca="1">COLUMNS(INDIRECT(C$36))</f>
        <v>#N/A</v>
      </c>
      <c r="D38" s="442" t="e">
        <f ca="1">COLUMNS(INDIRECT(D36))</f>
        <v>#N/A</v>
      </c>
      <c r="E38" s="442" t="e">
        <f ca="1">COLUMNS(INDIRECT(E36))</f>
        <v>#N/A</v>
      </c>
      <c r="F38" s="443" t="e">
        <f ca="1">COLUMNS(INDIRECT(F36))</f>
        <v>#N/A</v>
      </c>
      <c r="H38" s="155"/>
      <c r="I38" s="155"/>
      <c r="J38" s="155"/>
      <c r="K38" s="155"/>
    </row>
    <row r="39" spans="1:11" s="65" customFormat="1" outlineLevel="1" x14ac:dyDescent="0.2">
      <c r="A39" s="666"/>
      <c r="B39" s="165" t="s">
        <v>203</v>
      </c>
      <c r="C39" s="166" t="e">
        <f ca="1">INDEX(INDIRECT(C$36),C57,C58)</f>
        <v>#N/A</v>
      </c>
      <c r="D39" s="166" t="e">
        <f ca="1">INDEX(INDIRECT(D$36),D57,D58)</f>
        <v>#N/A</v>
      </c>
      <c r="E39" s="166" t="e">
        <f ca="1">INDEX(INDIRECT(E$36),E57,E58)</f>
        <v>#N/A</v>
      </c>
      <c r="F39" s="167" t="e">
        <f ca="1">INDEX(INDIRECT(F$36),F57,F58)</f>
        <v>#N/A</v>
      </c>
      <c r="H39" s="155"/>
      <c r="I39" s="155"/>
      <c r="J39" s="155"/>
      <c r="K39" s="155"/>
    </row>
    <row r="40" spans="1:11" s="65" customFormat="1" ht="12.75" customHeight="1" outlineLevel="1" x14ac:dyDescent="0.2">
      <c r="A40" s="666"/>
      <c r="B40" s="165" t="s">
        <v>195</v>
      </c>
      <c r="C40" s="166" t="e">
        <f ca="1">INDEX(INDIRECT(C$36),C61,C62)</f>
        <v>#N/A</v>
      </c>
      <c r="D40" s="166" t="e">
        <f ca="1">INDEX(INDIRECT(D$36),D61,D62)</f>
        <v>#N/A</v>
      </c>
      <c r="E40" s="166" t="e">
        <f ca="1">INDEX(INDIRECT(E$36),E61,E62)</f>
        <v>#N/A</v>
      </c>
      <c r="F40" s="167" t="e">
        <f ca="1">INDEX(INDIRECT(F$36),F61,F62)</f>
        <v>#N/A</v>
      </c>
      <c r="H40" s="155"/>
      <c r="I40" s="155"/>
      <c r="J40" s="155"/>
      <c r="K40" s="155"/>
    </row>
    <row r="41" spans="1:11" s="65" customFormat="1" outlineLevel="1" x14ac:dyDescent="0.2">
      <c r="A41" s="666"/>
      <c r="B41" s="165" t="s">
        <v>214</v>
      </c>
      <c r="C41" s="166" t="e">
        <f ca="1">INDEX(INDIRECT(C$36),C65,C66)</f>
        <v>#N/A</v>
      </c>
      <c r="D41" s="166" t="e">
        <f ca="1">INDEX(INDIRECT(D$36),D65,D66)</f>
        <v>#N/A</v>
      </c>
      <c r="E41" s="166" t="e">
        <f ca="1">INDEX(INDIRECT(E$36),E65,E66)</f>
        <v>#N/A</v>
      </c>
      <c r="F41" s="167" t="e">
        <f ca="1">INDEX(INDIRECT(F$36),F65,F66)</f>
        <v>#N/A</v>
      </c>
      <c r="H41" s="155"/>
      <c r="I41" s="155"/>
      <c r="J41" s="155"/>
      <c r="K41" s="155"/>
    </row>
    <row r="42" spans="1:11" s="65" customFormat="1" outlineLevel="1" x14ac:dyDescent="0.2">
      <c r="A42" s="666"/>
      <c r="B42" s="165" t="s">
        <v>213</v>
      </c>
      <c r="C42" s="166" t="e">
        <f ca="1">INDEX(INDIRECT(C$36),C69,C70)</f>
        <v>#N/A</v>
      </c>
      <c r="D42" s="166" t="e">
        <f ca="1">INDEX(INDIRECT(D$36),D69,D70)</f>
        <v>#N/A</v>
      </c>
      <c r="E42" s="166" t="e">
        <f ca="1">INDEX(INDIRECT(E$36),E69,E70)</f>
        <v>#N/A</v>
      </c>
      <c r="F42" s="167" t="e">
        <f ca="1">INDEX(INDIRECT(F$36),F69,F70)</f>
        <v>#N/A</v>
      </c>
      <c r="H42" s="155"/>
      <c r="I42" s="155"/>
      <c r="J42" s="155"/>
      <c r="K42" s="155"/>
    </row>
    <row r="43" spans="1:11" s="65" customFormat="1" outlineLevel="1" x14ac:dyDescent="0.2">
      <c r="A43" s="666"/>
      <c r="B43" s="165" t="s">
        <v>205</v>
      </c>
      <c r="C43" s="166" t="e">
        <f ca="1">INDEX(INDIRECT(C$36),C73,C74)</f>
        <v>#N/A</v>
      </c>
      <c r="D43" s="166" t="e">
        <f ca="1">INDEX(INDIRECT(D$36),D73,D74)</f>
        <v>#N/A</v>
      </c>
      <c r="E43" s="166" t="e">
        <f ca="1">INDEX(INDIRECT(E$36),E73,E74)</f>
        <v>#N/A</v>
      </c>
      <c r="F43" s="167" t="e">
        <f ca="1">INDEX(INDIRECT(F$36),F73,F74)</f>
        <v>#N/A</v>
      </c>
      <c r="H43" s="155"/>
      <c r="I43" s="155"/>
      <c r="J43" s="155"/>
      <c r="K43" s="155"/>
    </row>
    <row r="44" spans="1:11" s="65" customFormat="1" outlineLevel="1" x14ac:dyDescent="0.2">
      <c r="A44" s="666"/>
      <c r="B44" s="165" t="s">
        <v>204</v>
      </c>
      <c r="C44" s="166" t="e">
        <f ca="1">INDEX(INDIRECT(C$36),C77,C78)</f>
        <v>#N/A</v>
      </c>
      <c r="D44" s="166" t="e">
        <f ca="1">INDEX(INDIRECT(D$36),D77,D78)</f>
        <v>#N/A</v>
      </c>
      <c r="E44" s="166" t="e">
        <f ca="1">INDEX(INDIRECT(E$36),E77,E78)</f>
        <v>#N/A</v>
      </c>
      <c r="F44" s="167" t="e">
        <f ca="1">INDEX(INDIRECT(F$36),F77,F78)</f>
        <v>#N/A</v>
      </c>
      <c r="H44" s="155"/>
      <c r="I44" s="155"/>
      <c r="J44" s="155"/>
      <c r="K44" s="155"/>
    </row>
    <row r="45" spans="1:11" s="65" customFormat="1" outlineLevel="1" x14ac:dyDescent="0.2">
      <c r="A45" s="666"/>
      <c r="B45" s="165" t="s">
        <v>216</v>
      </c>
      <c r="C45" s="166" t="e">
        <f ca="1">INDEX(INDIRECT(C$36),C81,C82)</f>
        <v>#N/A</v>
      </c>
      <c r="D45" s="166" t="e">
        <f ca="1">INDEX(INDIRECT(D$36),D81,D82)</f>
        <v>#N/A</v>
      </c>
      <c r="E45" s="166" t="e">
        <f ca="1">INDEX(INDIRECT(E$36),E81,E82)</f>
        <v>#N/A</v>
      </c>
      <c r="F45" s="167" t="e">
        <f ca="1">INDEX(INDIRECT(F$36),F81,F82)</f>
        <v>#N/A</v>
      </c>
      <c r="H45" s="155"/>
      <c r="I45" s="155"/>
      <c r="J45" s="155"/>
      <c r="K45" s="155"/>
    </row>
    <row r="46" spans="1:11" s="65" customFormat="1" outlineLevel="1" x14ac:dyDescent="0.2">
      <c r="A46" s="666"/>
      <c r="B46" s="165" t="s">
        <v>215</v>
      </c>
      <c r="C46" s="166" t="e">
        <f ca="1">INDEX(INDIRECT(C$36),C85,C86)</f>
        <v>#N/A</v>
      </c>
      <c r="D46" s="166" t="e">
        <f ca="1">INDEX(INDIRECT(D$36),D85,D86)</f>
        <v>#N/A</v>
      </c>
      <c r="E46" s="166" t="e">
        <f ca="1">INDEX(INDIRECT(E$36),E85,E86)</f>
        <v>#N/A</v>
      </c>
      <c r="F46" s="167" t="e">
        <f ca="1">INDEX(INDIRECT(F$36),F85,F86)</f>
        <v>#N/A</v>
      </c>
      <c r="H46" s="155"/>
      <c r="I46" s="155"/>
      <c r="J46" s="155"/>
      <c r="K46" s="155"/>
    </row>
    <row r="47" spans="1:11" s="65" customFormat="1" outlineLevel="1" x14ac:dyDescent="0.2">
      <c r="A47" s="666"/>
      <c r="B47" s="165" t="s">
        <v>288</v>
      </c>
      <c r="C47" s="166" t="e">
        <f ca="1">INDEX(INDIRECT(C$36),C89,C90)</f>
        <v>#N/A</v>
      </c>
      <c r="D47" s="166" t="e">
        <f ca="1">INDEX(INDIRECT(D$36),D89,D90)</f>
        <v>#N/A</v>
      </c>
      <c r="E47" s="166" t="e">
        <f ca="1">INDEX(INDIRECT(E$36),E89,E90)</f>
        <v>#N/A</v>
      </c>
      <c r="F47" s="167" t="e">
        <f ca="1">INDEX(INDIRECT(F$36),F89,F90)</f>
        <v>#N/A</v>
      </c>
      <c r="H47" s="155"/>
      <c r="I47" s="155"/>
      <c r="J47" s="155"/>
      <c r="K47" s="155"/>
    </row>
    <row r="48" spans="1:11" s="65" customFormat="1" outlineLevel="1" x14ac:dyDescent="0.2">
      <c r="A48" s="666"/>
      <c r="B48" s="165" t="s">
        <v>289</v>
      </c>
      <c r="C48" s="166" t="e">
        <f ca="1">INDEX(INDIRECT(C$36),C93,C94)</f>
        <v>#N/A</v>
      </c>
      <c r="D48" s="166" t="e">
        <f ca="1">INDEX(INDIRECT(D$36),D93,D94)</f>
        <v>#N/A</v>
      </c>
      <c r="E48" s="166" t="e">
        <f ca="1">INDEX(INDIRECT(E$36),E93,E94)</f>
        <v>#N/A</v>
      </c>
      <c r="F48" s="167" t="e">
        <f ca="1">INDEX(INDIRECT(F$36),F93,F94)</f>
        <v>#N/A</v>
      </c>
      <c r="H48" s="155"/>
      <c r="I48" s="155"/>
      <c r="J48" s="155"/>
      <c r="K48" s="155"/>
    </row>
    <row r="49" spans="1:11" s="65" customFormat="1" outlineLevel="1" x14ac:dyDescent="0.2">
      <c r="A49" s="666"/>
      <c r="B49" s="165" t="s">
        <v>290</v>
      </c>
      <c r="C49" s="166" t="e">
        <f ca="1">INDEX(INDIRECT(C$36),C97,C98)</f>
        <v>#N/A</v>
      </c>
      <c r="D49" s="166" t="e">
        <f ca="1">INDEX(INDIRECT(D$36),D97,D98)</f>
        <v>#N/A</v>
      </c>
      <c r="E49" s="166" t="e">
        <f ca="1">INDEX(INDIRECT(E$36),E97,E98)</f>
        <v>#N/A</v>
      </c>
      <c r="F49" s="167" t="e">
        <f ca="1">INDEX(INDIRECT(F$36),F97,F98)</f>
        <v>#N/A</v>
      </c>
      <c r="H49" s="155"/>
      <c r="I49" s="155"/>
      <c r="J49" s="155"/>
      <c r="K49" s="155"/>
    </row>
    <row r="50" spans="1:11" s="65" customFormat="1" outlineLevel="1" x14ac:dyDescent="0.2">
      <c r="A50" s="666"/>
      <c r="B50" s="165" t="s">
        <v>291</v>
      </c>
      <c r="C50" s="166" t="e">
        <f ca="1">INDEX(INDIRECT(C$36),C101,C102)</f>
        <v>#N/A</v>
      </c>
      <c r="D50" s="166" t="e">
        <f ca="1">INDEX(INDIRECT(D$36),D101,D102)</f>
        <v>#N/A</v>
      </c>
      <c r="E50" s="166" t="e">
        <f ca="1">INDEX(INDIRECT(E$36),E101,E102)</f>
        <v>#N/A</v>
      </c>
      <c r="F50" s="167" t="e">
        <f ca="1">INDEX(INDIRECT(F$36),F101,F102)</f>
        <v>#N/A</v>
      </c>
      <c r="H50" s="155"/>
      <c r="I50" s="155"/>
      <c r="J50" s="155"/>
      <c r="K50" s="155"/>
    </row>
    <row r="51" spans="1:11" s="65" customFormat="1" outlineLevel="1" x14ac:dyDescent="0.2">
      <c r="A51" s="666"/>
      <c r="B51" s="165" t="s">
        <v>210</v>
      </c>
      <c r="C51" s="166" t="e">
        <f ca="1">INDEX(INDIRECT(C$36),C105,C106)</f>
        <v>#N/A</v>
      </c>
      <c r="D51" s="166" t="e">
        <f ca="1">INDEX(INDIRECT(D$36),D105,D106)</f>
        <v>#N/A</v>
      </c>
      <c r="E51" s="166" t="e">
        <f ca="1">INDEX(INDIRECT(E$36),E105,E106)</f>
        <v>#N/A</v>
      </c>
      <c r="F51" s="167" t="e">
        <f ca="1">INDEX(INDIRECT(F$36),F105,F106)</f>
        <v>#N/A</v>
      </c>
      <c r="H51" s="155"/>
      <c r="I51" s="155"/>
      <c r="J51" s="155"/>
      <c r="K51" s="155"/>
    </row>
    <row r="52" spans="1:11" s="65" customFormat="1" outlineLevel="1" x14ac:dyDescent="0.2">
      <c r="A52" s="666"/>
      <c r="B52" s="165" t="s">
        <v>211</v>
      </c>
      <c r="C52" s="166" t="e">
        <f ca="1">INDEX(INDIRECT(C$36),C109,C110)</f>
        <v>#N/A</v>
      </c>
      <c r="D52" s="166" t="e">
        <f ca="1">INDEX(INDIRECT(D$36),D109,D110)</f>
        <v>#N/A</v>
      </c>
      <c r="E52" s="166" t="e">
        <f ca="1">INDEX(INDIRECT(E$36),E109,E110)</f>
        <v>#N/A</v>
      </c>
      <c r="F52" s="167" t="e">
        <f ca="1">INDEX(INDIRECT(F$36),F109,F110)</f>
        <v>#N/A</v>
      </c>
      <c r="H52" s="155"/>
      <c r="I52" s="155"/>
      <c r="J52" s="155"/>
      <c r="K52" s="155"/>
    </row>
    <row r="53" spans="1:11" s="65" customFormat="1" outlineLevel="1" x14ac:dyDescent="0.2">
      <c r="A53" s="666"/>
      <c r="B53" s="165" t="s">
        <v>206</v>
      </c>
      <c r="C53" s="166" t="e">
        <f ca="1">INDEX(INDIRECT(C$36),C113,C114)</f>
        <v>#N/A</v>
      </c>
      <c r="D53" s="166" t="e">
        <f ca="1">INDEX(INDIRECT(D$36),D113,D114)</f>
        <v>#N/A</v>
      </c>
      <c r="E53" s="166" t="e">
        <f ca="1">INDEX(INDIRECT(E$36),E113,E114)</f>
        <v>#N/A</v>
      </c>
      <c r="F53" s="167" t="e">
        <f ca="1">INDEX(INDIRECT(F$36),F113,F114)</f>
        <v>#N/A</v>
      </c>
      <c r="H53" s="155"/>
      <c r="I53" s="155"/>
      <c r="J53" s="155"/>
      <c r="K53" s="155"/>
    </row>
    <row r="54" spans="1:11" s="65" customFormat="1" outlineLevel="1" x14ac:dyDescent="0.2">
      <c r="A54" s="666"/>
      <c r="B54" s="165" t="s">
        <v>220</v>
      </c>
      <c r="C54" s="166" t="e">
        <f ca="1">INDEX(INDIRECT(C$36),C117,C118)</f>
        <v>#N/A</v>
      </c>
      <c r="D54" s="166" t="e">
        <f ca="1">INDEX(INDIRECT(D$36),D117,D118)</f>
        <v>#N/A</v>
      </c>
      <c r="E54" s="166" t="e">
        <f ca="1">INDEX(INDIRECT(E$36),E117,E118)</f>
        <v>#N/A</v>
      </c>
      <c r="F54" s="167" t="e">
        <f ca="1">INDEX(INDIRECT(F$36),F117,F118)</f>
        <v>#N/A</v>
      </c>
      <c r="H54" s="155"/>
      <c r="I54" s="155"/>
      <c r="J54" s="155"/>
      <c r="K54" s="155"/>
    </row>
    <row r="55" spans="1:11" s="65" customFormat="1" outlineLevel="3" x14ac:dyDescent="0.2">
      <c r="A55" s="666"/>
      <c r="B55" s="165" t="s">
        <v>114</v>
      </c>
      <c r="C55" s="444" t="str">
        <f>LEFT(TRIM($B39),LEN(TRIM($B39))-4)</f>
        <v>X1</v>
      </c>
      <c r="D55" s="444" t="str">
        <f>LEFT(TRIM($B39),LEN(TRIM($B39))-4)</f>
        <v>X1</v>
      </c>
      <c r="E55" s="444" t="str">
        <f>LEFT(TRIM($B39),LEN(TRIM($B39))-4)</f>
        <v>X1</v>
      </c>
      <c r="F55" s="445" t="str">
        <f>LEFT(TRIM($B39),LEN(TRIM($B39))-4)</f>
        <v>X1</v>
      </c>
      <c r="H55" s="155"/>
      <c r="I55" s="155"/>
      <c r="J55" s="155"/>
      <c r="K55" s="155"/>
    </row>
    <row r="56" spans="1:11" s="65" customFormat="1" outlineLevel="3" x14ac:dyDescent="0.2">
      <c r="A56" s="666"/>
      <c r="B56" s="165" t="s">
        <v>207</v>
      </c>
      <c r="C56" s="446" t="str">
        <f>RIGHT(TRIM($B39),3)</f>
        <v>Min</v>
      </c>
      <c r="D56" s="446" t="str">
        <f>RIGHT(TRIM($B39),3)</f>
        <v>Min</v>
      </c>
      <c r="E56" s="446" t="str">
        <f>RIGHT(TRIM($B39),3)</f>
        <v>Min</v>
      </c>
      <c r="F56" s="447" t="str">
        <f>RIGHT(TRIM($B39),3)</f>
        <v>Min</v>
      </c>
      <c r="H56" s="155"/>
      <c r="I56" s="155"/>
      <c r="J56" s="155"/>
      <c r="K56" s="155"/>
    </row>
    <row r="57" spans="1:11" s="65" customFormat="1" outlineLevel="3" x14ac:dyDescent="0.2">
      <c r="A57" s="666"/>
      <c r="B57" s="165" t="s">
        <v>208</v>
      </c>
      <c r="C57" s="442" t="e">
        <f ca="1">MATCH(C55,OFFSET(INDIRECT(C$36),0,0,C$37,1),0)</f>
        <v>#N/A</v>
      </c>
      <c r="D57" s="442" t="e">
        <f ca="1">MATCH(D55,OFFSET(INDIRECT(D$36),0,0,D$37,1),0)</f>
        <v>#N/A</v>
      </c>
      <c r="E57" s="442" t="e">
        <f ca="1">MATCH(E55,OFFSET(INDIRECT(E$36),0,0,E$37,1),0)</f>
        <v>#N/A</v>
      </c>
      <c r="F57" s="443" t="e">
        <f ca="1">MATCH(F55,OFFSET(INDIRECT(F$36),0,0,F$37,1),0)</f>
        <v>#N/A</v>
      </c>
      <c r="H57" s="155"/>
      <c r="I57" s="155"/>
      <c r="J57" s="155"/>
      <c r="K57" s="155"/>
    </row>
    <row r="58" spans="1:11" s="65" customFormat="1" outlineLevel="3" x14ac:dyDescent="0.2">
      <c r="A58" s="666"/>
      <c r="B58" s="165" t="s">
        <v>209</v>
      </c>
      <c r="C58" s="442" t="e">
        <f ca="1">MATCH(C56,OFFSET(INDIRECT(C$36),0,0,1,C$38),0)</f>
        <v>#N/A</v>
      </c>
      <c r="D58" s="442" t="e">
        <f ca="1">MATCH(D56,OFFSET(INDIRECT(D$36),0,0,1,D$38),0)</f>
        <v>#N/A</v>
      </c>
      <c r="E58" s="442" t="e">
        <f ca="1">MATCH(E56,OFFSET(INDIRECT(E$36),0,0,1,E$38),0)</f>
        <v>#N/A</v>
      </c>
      <c r="F58" s="443" t="e">
        <f ca="1">MATCH(F56,OFFSET(INDIRECT(F$36),0,0,1,F$38),0)</f>
        <v>#N/A</v>
      </c>
      <c r="H58" s="155"/>
      <c r="I58" s="155"/>
      <c r="J58" s="155"/>
      <c r="K58" s="155"/>
    </row>
    <row r="59" spans="1:11" s="65" customFormat="1" outlineLevel="3" x14ac:dyDescent="0.2">
      <c r="A59" s="666"/>
      <c r="B59" s="165" t="s">
        <v>114</v>
      </c>
      <c r="C59" s="444" t="str">
        <f>LEFT(TRIM($B40),LEN(TRIM($B40))-4)</f>
        <v>X1</v>
      </c>
      <c r="D59" s="444" t="str">
        <f>LEFT(TRIM($B40),LEN(TRIM($B40))-4)</f>
        <v>X1</v>
      </c>
      <c r="E59" s="444" t="str">
        <f>LEFT(TRIM($B40),LEN(TRIM($B40))-4)</f>
        <v>X1</v>
      </c>
      <c r="F59" s="445" t="str">
        <f>LEFT(TRIM($B40),LEN(TRIM($B40))-4)</f>
        <v>X1</v>
      </c>
      <c r="H59" s="155"/>
      <c r="I59" s="155"/>
      <c r="J59" s="155"/>
      <c r="K59" s="155"/>
    </row>
    <row r="60" spans="1:11" s="65" customFormat="1" outlineLevel="3" x14ac:dyDescent="0.2">
      <c r="A60" s="666"/>
      <c r="B60" s="165" t="s">
        <v>207</v>
      </c>
      <c r="C60" s="446" t="str">
        <f>RIGHT(TRIM($B40),3)</f>
        <v>Max</v>
      </c>
      <c r="D60" s="446" t="str">
        <f>RIGHT(TRIM($B40),3)</f>
        <v>Max</v>
      </c>
      <c r="E60" s="446" t="str">
        <f>RIGHT(TRIM($B40),3)</f>
        <v>Max</v>
      </c>
      <c r="F60" s="447" t="str">
        <f>RIGHT(TRIM($B40),3)</f>
        <v>Max</v>
      </c>
      <c r="H60" s="155"/>
      <c r="I60" s="155"/>
      <c r="J60" s="155"/>
      <c r="K60" s="155"/>
    </row>
    <row r="61" spans="1:11" s="65" customFormat="1" outlineLevel="3" x14ac:dyDescent="0.2">
      <c r="A61" s="666"/>
      <c r="B61" s="165" t="s">
        <v>208</v>
      </c>
      <c r="C61" s="442" t="e">
        <f ca="1">MATCH(C59,OFFSET(INDIRECT(C$36),0,0,C$37,1),0)</f>
        <v>#N/A</v>
      </c>
      <c r="D61" s="442" t="e">
        <f ca="1">MATCH(D59,OFFSET(INDIRECT(D$36),0,0,D$37,1),0)</f>
        <v>#N/A</v>
      </c>
      <c r="E61" s="442" t="e">
        <f ca="1">MATCH(E59,OFFSET(INDIRECT(E$36),0,0,E$37,1),0)</f>
        <v>#N/A</v>
      </c>
      <c r="F61" s="443" t="e">
        <f ca="1">MATCH(F59,OFFSET(INDIRECT(F$36),0,0,F$37,1),0)</f>
        <v>#N/A</v>
      </c>
      <c r="H61" s="155"/>
      <c r="I61" s="155"/>
      <c r="J61" s="155"/>
      <c r="K61" s="155"/>
    </row>
    <row r="62" spans="1:11" s="65" customFormat="1" outlineLevel="3" x14ac:dyDescent="0.2">
      <c r="A62" s="666"/>
      <c r="B62" s="165" t="s">
        <v>209</v>
      </c>
      <c r="C62" s="442" t="e">
        <f ca="1">MATCH(C60,OFFSET(INDIRECT(C$36),0,0,1,C$38),0)</f>
        <v>#N/A</v>
      </c>
      <c r="D62" s="442" t="e">
        <f ca="1">MATCH(D60,OFFSET(INDIRECT(D$36),0,0,1,D$38),0)</f>
        <v>#N/A</v>
      </c>
      <c r="E62" s="442" t="e">
        <f ca="1">MATCH(E60,OFFSET(INDIRECT(E$36),0,0,1,E$38),0)</f>
        <v>#N/A</v>
      </c>
      <c r="F62" s="443" t="e">
        <f ca="1">MATCH(F60,OFFSET(INDIRECT(F$36),0,0,1,F$38),0)</f>
        <v>#N/A</v>
      </c>
      <c r="H62" s="155"/>
      <c r="I62" s="155"/>
      <c r="J62" s="155"/>
      <c r="K62" s="155"/>
    </row>
    <row r="63" spans="1:11" s="65" customFormat="1" outlineLevel="3" x14ac:dyDescent="0.2">
      <c r="A63" s="666"/>
      <c r="B63" s="165" t="s">
        <v>114</v>
      </c>
      <c r="C63" s="444" t="str">
        <f>LEFT(TRIM($B41),LEN(TRIM($B41))-4)</f>
        <v>X2</v>
      </c>
      <c r="D63" s="444" t="str">
        <f>LEFT(TRIM($B41),LEN(TRIM($B41))-4)</f>
        <v>X2</v>
      </c>
      <c r="E63" s="444" t="str">
        <f>LEFT(TRIM($B41),LEN(TRIM($B41))-4)</f>
        <v>X2</v>
      </c>
      <c r="F63" s="445" t="str">
        <f>LEFT(TRIM($B41),LEN(TRIM($B41))-4)</f>
        <v>X2</v>
      </c>
      <c r="H63" s="155"/>
      <c r="I63" s="155"/>
      <c r="J63" s="155"/>
      <c r="K63" s="155"/>
    </row>
    <row r="64" spans="1:11" s="65" customFormat="1" outlineLevel="3" x14ac:dyDescent="0.2">
      <c r="A64" s="666"/>
      <c r="B64" s="165" t="s">
        <v>207</v>
      </c>
      <c r="C64" s="446" t="str">
        <f>RIGHT(TRIM($B41),3)</f>
        <v>Min</v>
      </c>
      <c r="D64" s="446" t="str">
        <f>RIGHT(TRIM($B41),3)</f>
        <v>Min</v>
      </c>
      <c r="E64" s="446" t="str">
        <f>RIGHT(TRIM($B41),3)</f>
        <v>Min</v>
      </c>
      <c r="F64" s="447" t="str">
        <f>RIGHT(TRIM($B41),3)</f>
        <v>Min</v>
      </c>
      <c r="H64" s="155"/>
      <c r="I64" s="155"/>
      <c r="J64" s="155"/>
      <c r="K64" s="155"/>
    </row>
    <row r="65" spans="1:11" s="65" customFormat="1" outlineLevel="3" x14ac:dyDescent="0.2">
      <c r="A65" s="666"/>
      <c r="B65" s="165" t="s">
        <v>208</v>
      </c>
      <c r="C65" s="442" t="e">
        <f ca="1">MATCH(C63,OFFSET(INDIRECT(C$36),0,0,C$37,1),0)</f>
        <v>#N/A</v>
      </c>
      <c r="D65" s="442" t="e">
        <f ca="1">MATCH(D63,OFFSET(INDIRECT(D$36),0,0,D$37,1),0)</f>
        <v>#N/A</v>
      </c>
      <c r="E65" s="442" t="e">
        <f ca="1">MATCH(E63,OFFSET(INDIRECT(E$36),0,0,E$37,1),0)</f>
        <v>#N/A</v>
      </c>
      <c r="F65" s="443" t="e">
        <f ca="1">MATCH(F63,OFFSET(INDIRECT(F$36),0,0,F$37,1),0)</f>
        <v>#N/A</v>
      </c>
      <c r="H65" s="155"/>
      <c r="I65" s="155"/>
      <c r="J65" s="155"/>
      <c r="K65" s="155"/>
    </row>
    <row r="66" spans="1:11" s="65" customFormat="1" outlineLevel="3" x14ac:dyDescent="0.2">
      <c r="A66" s="666"/>
      <c r="B66" s="165" t="s">
        <v>209</v>
      </c>
      <c r="C66" s="442" t="e">
        <f ca="1">MATCH(C64,OFFSET(INDIRECT(C$36),0,0,1,C$38),0)</f>
        <v>#N/A</v>
      </c>
      <c r="D66" s="442" t="e">
        <f ca="1">MATCH(D64,OFFSET(INDIRECT(D$36),0,0,1,D$38),0)</f>
        <v>#N/A</v>
      </c>
      <c r="E66" s="442" t="e">
        <f ca="1">MATCH(E64,OFFSET(INDIRECT(E$36),0,0,1,E$38),0)</f>
        <v>#N/A</v>
      </c>
      <c r="F66" s="443" t="e">
        <f ca="1">MATCH(F64,OFFSET(INDIRECT(F$36),0,0,1,F$38),0)</f>
        <v>#N/A</v>
      </c>
      <c r="H66" s="155"/>
      <c r="I66" s="155"/>
      <c r="J66" s="155"/>
      <c r="K66" s="155"/>
    </row>
    <row r="67" spans="1:11" s="65" customFormat="1" outlineLevel="3" x14ac:dyDescent="0.2">
      <c r="A67" s="666"/>
      <c r="B67" s="165" t="s">
        <v>114</v>
      </c>
      <c r="C67" s="444" t="str">
        <f>LEFT(TRIM($B42),LEN(TRIM($B42))-4)</f>
        <v>X2</v>
      </c>
      <c r="D67" s="444" t="str">
        <f>LEFT(TRIM($B42),LEN(TRIM($B42))-4)</f>
        <v>X2</v>
      </c>
      <c r="E67" s="444" t="str">
        <f>LEFT(TRIM($B42),LEN(TRIM($B42))-4)</f>
        <v>X2</v>
      </c>
      <c r="F67" s="445" t="str">
        <f>LEFT(TRIM($B42),LEN(TRIM($B42))-4)</f>
        <v>X2</v>
      </c>
      <c r="H67" s="155"/>
      <c r="I67" s="155"/>
      <c r="J67" s="155"/>
      <c r="K67" s="155"/>
    </row>
    <row r="68" spans="1:11" s="65" customFormat="1" outlineLevel="3" x14ac:dyDescent="0.2">
      <c r="A68" s="666"/>
      <c r="B68" s="165" t="s">
        <v>207</v>
      </c>
      <c r="C68" s="446" t="str">
        <f>RIGHT(TRIM($B42),3)</f>
        <v>Max</v>
      </c>
      <c r="D68" s="446" t="str">
        <f>RIGHT(TRIM($B42),3)</f>
        <v>Max</v>
      </c>
      <c r="E68" s="446" t="str">
        <f>RIGHT(TRIM($B42),3)</f>
        <v>Max</v>
      </c>
      <c r="F68" s="447" t="str">
        <f>RIGHT(TRIM($B42),3)</f>
        <v>Max</v>
      </c>
      <c r="H68" s="155"/>
      <c r="I68" s="155"/>
      <c r="J68" s="155"/>
      <c r="K68" s="155"/>
    </row>
    <row r="69" spans="1:11" s="65" customFormat="1" outlineLevel="3" x14ac:dyDescent="0.2">
      <c r="A69" s="666"/>
      <c r="B69" s="165" t="s">
        <v>208</v>
      </c>
      <c r="C69" s="442" t="e">
        <f ca="1">MATCH(C67,OFFSET(INDIRECT(C$36),0,0,C$37,1),0)</f>
        <v>#N/A</v>
      </c>
      <c r="D69" s="442" t="e">
        <f ca="1">MATCH(D67,OFFSET(INDIRECT(D$36),0,0,D$37,1),0)</f>
        <v>#N/A</v>
      </c>
      <c r="E69" s="442" t="e">
        <f ca="1">MATCH(E67,OFFSET(INDIRECT(E$36),0,0,E$37,1),0)</f>
        <v>#N/A</v>
      </c>
      <c r="F69" s="443" t="e">
        <f ca="1">MATCH(F67,OFFSET(INDIRECT(F$36),0,0,F$37,1),0)</f>
        <v>#N/A</v>
      </c>
      <c r="H69" s="155"/>
      <c r="I69" s="155"/>
      <c r="J69" s="155"/>
      <c r="K69" s="155"/>
    </row>
    <row r="70" spans="1:11" s="65" customFormat="1" outlineLevel="3" x14ac:dyDescent="0.2">
      <c r="A70" s="666"/>
      <c r="B70" s="165" t="s">
        <v>209</v>
      </c>
      <c r="C70" s="442" t="e">
        <f ca="1">MATCH(C68,OFFSET(INDIRECT(C$36),0,0,1,C$38),0)</f>
        <v>#N/A</v>
      </c>
      <c r="D70" s="442" t="e">
        <f ca="1">MATCH(D68,OFFSET(INDIRECT(D$36),0,0,1,D$38),0)</f>
        <v>#N/A</v>
      </c>
      <c r="E70" s="442" t="e">
        <f ca="1">MATCH(E68,OFFSET(INDIRECT(E$36),0,0,1,E$38),0)</f>
        <v>#N/A</v>
      </c>
      <c r="F70" s="443" t="e">
        <f ca="1">MATCH(F68,OFFSET(INDIRECT(F$36),0,0,1,F$38),0)</f>
        <v>#N/A</v>
      </c>
      <c r="H70" s="155"/>
      <c r="I70" s="155"/>
      <c r="J70" s="155"/>
      <c r="K70" s="155"/>
    </row>
    <row r="71" spans="1:11" s="65" customFormat="1" outlineLevel="3" x14ac:dyDescent="0.2">
      <c r="A71" s="666"/>
      <c r="B71" s="165" t="s">
        <v>114</v>
      </c>
      <c r="C71" s="444" t="str">
        <f>LEFT(TRIM($B43),LEN(TRIM($B43))-4)</f>
        <v>Y1</v>
      </c>
      <c r="D71" s="444" t="str">
        <f>LEFT(TRIM($B43),LEN(TRIM($B43))-4)</f>
        <v>Y1</v>
      </c>
      <c r="E71" s="444" t="str">
        <f>LEFT(TRIM($B43),LEN(TRIM($B43))-4)</f>
        <v>Y1</v>
      </c>
      <c r="F71" s="445" t="str">
        <f>LEFT(TRIM($B43),LEN(TRIM($B43))-4)</f>
        <v>Y1</v>
      </c>
      <c r="H71" s="155"/>
      <c r="I71" s="155"/>
      <c r="J71" s="155"/>
      <c r="K71" s="155"/>
    </row>
    <row r="72" spans="1:11" s="65" customFormat="1" outlineLevel="3" x14ac:dyDescent="0.2">
      <c r="A72" s="666"/>
      <c r="B72" s="165" t="s">
        <v>207</v>
      </c>
      <c r="C72" s="446" t="str">
        <f>RIGHT(TRIM($B43),3)</f>
        <v>Min</v>
      </c>
      <c r="D72" s="446" t="str">
        <f>RIGHT(TRIM($B43),3)</f>
        <v>Min</v>
      </c>
      <c r="E72" s="446" t="str">
        <f>RIGHT(TRIM($B43),3)</f>
        <v>Min</v>
      </c>
      <c r="F72" s="447" t="str">
        <f>RIGHT(TRIM($B43),3)</f>
        <v>Min</v>
      </c>
      <c r="H72" s="155"/>
      <c r="I72" s="155"/>
      <c r="J72" s="155"/>
      <c r="K72" s="155"/>
    </row>
    <row r="73" spans="1:11" s="65" customFormat="1" outlineLevel="3" x14ac:dyDescent="0.2">
      <c r="A73" s="666"/>
      <c r="B73" s="165" t="s">
        <v>208</v>
      </c>
      <c r="C73" s="442" t="e">
        <f ca="1">MATCH(C71,OFFSET(INDIRECT(C$36),0,0,C$37,1),0)</f>
        <v>#N/A</v>
      </c>
      <c r="D73" s="442" t="e">
        <f ca="1">MATCH(D71,OFFSET(INDIRECT(D$36),0,0,D$37,1),0)</f>
        <v>#N/A</v>
      </c>
      <c r="E73" s="442" t="e">
        <f ca="1">MATCH(E71,OFFSET(INDIRECT(E$36),0,0,E$37,1),0)</f>
        <v>#N/A</v>
      </c>
      <c r="F73" s="443" t="e">
        <f ca="1">MATCH(F71,OFFSET(INDIRECT(F$36),0,0,F$37,1),0)</f>
        <v>#N/A</v>
      </c>
      <c r="H73" s="155"/>
      <c r="I73" s="155"/>
      <c r="J73" s="155"/>
      <c r="K73" s="155"/>
    </row>
    <row r="74" spans="1:11" s="65" customFormat="1" outlineLevel="3" x14ac:dyDescent="0.2">
      <c r="A74" s="666"/>
      <c r="B74" s="165" t="s">
        <v>209</v>
      </c>
      <c r="C74" s="442" t="e">
        <f ca="1">MATCH(C72,OFFSET(INDIRECT(C$36),0,0,1,C$38),0)</f>
        <v>#N/A</v>
      </c>
      <c r="D74" s="442" t="e">
        <f ca="1">MATCH(D72,OFFSET(INDIRECT(D$36),0,0,1,D$38),0)</f>
        <v>#N/A</v>
      </c>
      <c r="E74" s="442" t="e">
        <f ca="1">MATCH(E72,OFFSET(INDIRECT(E$36),0,0,1,E$38),0)</f>
        <v>#N/A</v>
      </c>
      <c r="F74" s="443" t="e">
        <f ca="1">MATCH(F72,OFFSET(INDIRECT(F$36),0,0,1,F$38),0)</f>
        <v>#N/A</v>
      </c>
      <c r="H74" s="155"/>
      <c r="I74" s="155"/>
      <c r="J74" s="155"/>
      <c r="K74" s="155"/>
    </row>
    <row r="75" spans="1:11" s="65" customFormat="1" outlineLevel="3" x14ac:dyDescent="0.2">
      <c r="A75" s="666"/>
      <c r="B75" s="165" t="s">
        <v>114</v>
      </c>
      <c r="C75" s="444" t="str">
        <f>LEFT(TRIM($B44),LEN(TRIM($B44))-4)</f>
        <v>Y1</v>
      </c>
      <c r="D75" s="444" t="str">
        <f>LEFT(TRIM($B44),LEN(TRIM($B44))-4)</f>
        <v>Y1</v>
      </c>
      <c r="E75" s="444" t="str">
        <f>LEFT(TRIM($B44),LEN(TRIM($B44))-4)</f>
        <v>Y1</v>
      </c>
      <c r="F75" s="445" t="str">
        <f>LEFT(TRIM($B44),LEN(TRIM($B44))-4)</f>
        <v>Y1</v>
      </c>
      <c r="H75" s="155"/>
      <c r="I75" s="155"/>
      <c r="J75" s="155"/>
      <c r="K75" s="155"/>
    </row>
    <row r="76" spans="1:11" s="65" customFormat="1" outlineLevel="3" x14ac:dyDescent="0.2">
      <c r="A76" s="666"/>
      <c r="B76" s="165" t="s">
        <v>207</v>
      </c>
      <c r="C76" s="446" t="str">
        <f>RIGHT(TRIM($B44),3)</f>
        <v>Max</v>
      </c>
      <c r="D76" s="446" t="str">
        <f>RIGHT(TRIM($B44),3)</f>
        <v>Max</v>
      </c>
      <c r="E76" s="446" t="str">
        <f>RIGHT(TRIM($B44),3)</f>
        <v>Max</v>
      </c>
      <c r="F76" s="447" t="str">
        <f>RIGHT(TRIM($B44),3)</f>
        <v>Max</v>
      </c>
      <c r="H76" s="155"/>
      <c r="I76" s="155"/>
      <c r="J76" s="155"/>
      <c r="K76" s="155"/>
    </row>
    <row r="77" spans="1:11" s="65" customFormat="1" outlineLevel="3" x14ac:dyDescent="0.2">
      <c r="A77" s="666"/>
      <c r="B77" s="165" t="s">
        <v>208</v>
      </c>
      <c r="C77" s="442" t="e">
        <f ca="1">MATCH(C75,OFFSET(INDIRECT(C$36),0,0,C$37,1),0)</f>
        <v>#N/A</v>
      </c>
      <c r="D77" s="442" t="e">
        <f ca="1">MATCH(D75,OFFSET(INDIRECT(D$36),0,0,D$37,1),0)</f>
        <v>#N/A</v>
      </c>
      <c r="E77" s="442" t="e">
        <f ca="1">MATCH(E75,OFFSET(INDIRECT(E$36),0,0,E$37,1),0)</f>
        <v>#N/A</v>
      </c>
      <c r="F77" s="443" t="e">
        <f ca="1">MATCH(F75,OFFSET(INDIRECT(F$36),0,0,F$37,1),0)</f>
        <v>#N/A</v>
      </c>
      <c r="H77" s="155"/>
      <c r="I77" s="155"/>
      <c r="J77" s="155"/>
      <c r="K77" s="155"/>
    </row>
    <row r="78" spans="1:11" s="65" customFormat="1" outlineLevel="3" x14ac:dyDescent="0.2">
      <c r="A78" s="666"/>
      <c r="B78" s="165" t="s">
        <v>209</v>
      </c>
      <c r="C78" s="442" t="e">
        <f ca="1">MATCH(C76,OFFSET(INDIRECT(C$36),0,0,1,C$38),0)</f>
        <v>#N/A</v>
      </c>
      <c r="D78" s="442" t="e">
        <f ca="1">MATCH(D76,OFFSET(INDIRECT(D$36),0,0,1,D$38),0)</f>
        <v>#N/A</v>
      </c>
      <c r="E78" s="442" t="e">
        <f ca="1">MATCH(E76,OFFSET(INDIRECT(E$36),0,0,1,E$38),0)</f>
        <v>#N/A</v>
      </c>
      <c r="F78" s="443" t="e">
        <f ca="1">MATCH(F76,OFFSET(INDIRECT(F$36),0,0,1,F$38),0)</f>
        <v>#N/A</v>
      </c>
      <c r="H78" s="155"/>
      <c r="I78" s="155"/>
      <c r="J78" s="155"/>
      <c r="K78" s="155"/>
    </row>
    <row r="79" spans="1:11" s="65" customFormat="1" outlineLevel="3" x14ac:dyDescent="0.2">
      <c r="A79" s="666"/>
      <c r="B79" s="165" t="s">
        <v>114</v>
      </c>
      <c r="C79" s="444" t="str">
        <f>LEFT(TRIM($B45),LEN(TRIM($B45))-4)</f>
        <v>Y2</v>
      </c>
      <c r="D79" s="444" t="str">
        <f>LEFT(TRIM($B45),LEN(TRIM($B45))-4)</f>
        <v>Y2</v>
      </c>
      <c r="E79" s="444" t="str">
        <f>LEFT(TRIM($B45),LEN(TRIM($B45))-4)</f>
        <v>Y2</v>
      </c>
      <c r="F79" s="445" t="str">
        <f>LEFT(TRIM($B45),LEN(TRIM($B45))-4)</f>
        <v>Y2</v>
      </c>
      <c r="H79" s="155"/>
      <c r="I79" s="155"/>
      <c r="J79" s="155"/>
      <c r="K79" s="155"/>
    </row>
    <row r="80" spans="1:11" s="65" customFormat="1" outlineLevel="3" x14ac:dyDescent="0.2">
      <c r="A80" s="666"/>
      <c r="B80" s="165" t="s">
        <v>207</v>
      </c>
      <c r="C80" s="446" t="str">
        <f>RIGHT(TRIM($B45),3)</f>
        <v>Min</v>
      </c>
      <c r="D80" s="446" t="str">
        <f>RIGHT(TRIM($B45),3)</f>
        <v>Min</v>
      </c>
      <c r="E80" s="446" t="str">
        <f>RIGHT(TRIM($B45),3)</f>
        <v>Min</v>
      </c>
      <c r="F80" s="447" t="str">
        <f>RIGHT(TRIM($B45),3)</f>
        <v>Min</v>
      </c>
      <c r="H80" s="155"/>
      <c r="I80" s="155"/>
      <c r="J80" s="155"/>
      <c r="K80" s="155"/>
    </row>
    <row r="81" spans="1:11" s="65" customFormat="1" outlineLevel="3" x14ac:dyDescent="0.2">
      <c r="A81" s="666"/>
      <c r="B81" s="165" t="s">
        <v>208</v>
      </c>
      <c r="C81" s="442" t="e">
        <f ca="1">MATCH(C79,OFFSET(INDIRECT(C$36),0,0,C$37,1),0)</f>
        <v>#N/A</v>
      </c>
      <c r="D81" s="442" t="e">
        <f ca="1">MATCH(D79,OFFSET(INDIRECT(D$36),0,0,D$37,1),0)</f>
        <v>#N/A</v>
      </c>
      <c r="E81" s="442" t="e">
        <f ca="1">MATCH(E79,OFFSET(INDIRECT(E$36),0,0,E$37,1),0)</f>
        <v>#N/A</v>
      </c>
      <c r="F81" s="443" t="e">
        <f ca="1">MATCH(F79,OFFSET(INDIRECT(F$36),0,0,F$37,1),0)</f>
        <v>#N/A</v>
      </c>
      <c r="H81" s="155"/>
      <c r="I81" s="155"/>
      <c r="J81" s="155"/>
      <c r="K81" s="155"/>
    </row>
    <row r="82" spans="1:11" s="65" customFormat="1" outlineLevel="3" x14ac:dyDescent="0.2">
      <c r="A82" s="666"/>
      <c r="B82" s="165" t="s">
        <v>209</v>
      </c>
      <c r="C82" s="442" t="e">
        <f ca="1">MATCH(C80,OFFSET(INDIRECT(C$36),0,0,1,C$38),0)</f>
        <v>#N/A</v>
      </c>
      <c r="D82" s="442" t="e">
        <f ca="1">MATCH(D80,OFFSET(INDIRECT(D$36),0,0,1,D$38),0)</f>
        <v>#N/A</v>
      </c>
      <c r="E82" s="442" t="e">
        <f ca="1">MATCH(E80,OFFSET(INDIRECT(E$36),0,0,1,E$38),0)</f>
        <v>#N/A</v>
      </c>
      <c r="F82" s="443" t="e">
        <f ca="1">MATCH(F80,OFFSET(INDIRECT(F$36),0,0,1,F$38),0)</f>
        <v>#N/A</v>
      </c>
      <c r="H82" s="155"/>
      <c r="I82" s="155"/>
      <c r="J82" s="155"/>
      <c r="K82" s="155"/>
    </row>
    <row r="83" spans="1:11" s="65" customFormat="1" outlineLevel="3" x14ac:dyDescent="0.2">
      <c r="A83" s="666"/>
      <c r="B83" s="165" t="s">
        <v>114</v>
      </c>
      <c r="C83" s="444" t="str">
        <f>LEFT(TRIM($B46),LEN(TRIM($B46))-4)</f>
        <v>Y2</v>
      </c>
      <c r="D83" s="444" t="str">
        <f>LEFT(TRIM($B46),LEN(TRIM($B46))-4)</f>
        <v>Y2</v>
      </c>
      <c r="E83" s="444" t="str">
        <f>LEFT(TRIM($B46),LEN(TRIM($B46))-4)</f>
        <v>Y2</v>
      </c>
      <c r="F83" s="445" t="str">
        <f>LEFT(TRIM($B46),LEN(TRIM($B46))-4)</f>
        <v>Y2</v>
      </c>
      <c r="H83" s="155"/>
      <c r="I83" s="155"/>
      <c r="J83" s="155"/>
      <c r="K83" s="155"/>
    </row>
    <row r="84" spans="1:11" s="65" customFormat="1" outlineLevel="3" x14ac:dyDescent="0.2">
      <c r="A84" s="666"/>
      <c r="B84" s="165" t="s">
        <v>207</v>
      </c>
      <c r="C84" s="446" t="str">
        <f>RIGHT(TRIM($B46),3)</f>
        <v>Max</v>
      </c>
      <c r="D84" s="446" t="str">
        <f>RIGHT(TRIM($B46),3)</f>
        <v>Max</v>
      </c>
      <c r="E84" s="446" t="str">
        <f>RIGHT(TRIM($B46),3)</f>
        <v>Max</v>
      </c>
      <c r="F84" s="447" t="str">
        <f>RIGHT(TRIM($B46),3)</f>
        <v>Max</v>
      </c>
      <c r="H84" s="155"/>
      <c r="I84" s="155"/>
      <c r="J84" s="155"/>
      <c r="K84" s="155"/>
    </row>
    <row r="85" spans="1:11" s="65" customFormat="1" outlineLevel="3" x14ac:dyDescent="0.2">
      <c r="A85" s="666"/>
      <c r="B85" s="165" t="s">
        <v>208</v>
      </c>
      <c r="C85" s="442" t="e">
        <f ca="1">MATCH(C83,OFFSET(INDIRECT(C$36),0,0,C$37,1),0)</f>
        <v>#N/A</v>
      </c>
      <c r="D85" s="442" t="e">
        <f ca="1">MATCH(D83,OFFSET(INDIRECT(D$36),0,0,D$37,1),0)</f>
        <v>#N/A</v>
      </c>
      <c r="E85" s="442" t="e">
        <f ca="1">MATCH(E83,OFFSET(INDIRECT(E$36),0,0,E$37,1),0)</f>
        <v>#N/A</v>
      </c>
      <c r="F85" s="443" t="e">
        <f ca="1">MATCH(F83,OFFSET(INDIRECT(F$36),0,0,F$37,1),0)</f>
        <v>#N/A</v>
      </c>
      <c r="H85" s="155"/>
      <c r="I85" s="155"/>
      <c r="J85" s="155"/>
      <c r="K85" s="155"/>
    </row>
    <row r="86" spans="1:11" s="65" customFormat="1" outlineLevel="3" x14ac:dyDescent="0.2">
      <c r="A86" s="666"/>
      <c r="B86" s="165" t="s">
        <v>209</v>
      </c>
      <c r="C86" s="442" t="e">
        <f ca="1">MATCH(C84,OFFSET(INDIRECT(C$36),0,0,1,C$38),0)</f>
        <v>#N/A</v>
      </c>
      <c r="D86" s="442" t="e">
        <f ca="1">MATCH(D84,OFFSET(INDIRECT(D$36),0,0,1,D$38),0)</f>
        <v>#N/A</v>
      </c>
      <c r="E86" s="442" t="e">
        <f ca="1">MATCH(E84,OFFSET(INDIRECT(E$36),0,0,1,E$38),0)</f>
        <v>#N/A</v>
      </c>
      <c r="F86" s="443" t="e">
        <f ca="1">MATCH(F84,OFFSET(INDIRECT(F$36),0,0,1,F$38),0)</f>
        <v>#N/A</v>
      </c>
      <c r="H86" s="155"/>
      <c r="I86" s="155"/>
      <c r="J86" s="155"/>
      <c r="K86" s="155"/>
    </row>
    <row r="87" spans="1:11" s="65" customFormat="1" outlineLevel="3" x14ac:dyDescent="0.2">
      <c r="A87" s="666"/>
      <c r="B87" s="165" t="s">
        <v>114</v>
      </c>
      <c r="C87" s="444" t="str">
        <f>LEFT(TRIM($B47),LEN(TRIM($B47))-4)</f>
        <v>X Collimator</v>
      </c>
      <c r="D87" s="444" t="str">
        <f>LEFT(TRIM($B47),LEN(TRIM($B47))-4)</f>
        <v>X Collimator</v>
      </c>
      <c r="E87" s="444" t="str">
        <f>LEFT(TRIM($B47),LEN(TRIM($B47))-4)</f>
        <v>X Collimator</v>
      </c>
      <c r="F87" s="445" t="str">
        <f>LEFT(TRIM($B47),LEN(TRIM($B47))-4)</f>
        <v>X Collimator</v>
      </c>
      <c r="H87" s="155"/>
      <c r="I87" s="155"/>
      <c r="J87" s="155"/>
      <c r="K87" s="155"/>
    </row>
    <row r="88" spans="1:11" s="65" customFormat="1" outlineLevel="3" x14ac:dyDescent="0.2">
      <c r="A88" s="666"/>
      <c r="B88" s="165" t="s">
        <v>207</v>
      </c>
      <c r="C88" s="446" t="str">
        <f>RIGHT(TRIM($B47),3)</f>
        <v>Min</v>
      </c>
      <c r="D88" s="446" t="str">
        <f>RIGHT(TRIM($B47),3)</f>
        <v>Min</v>
      </c>
      <c r="E88" s="446" t="str">
        <f>RIGHT(TRIM($B47),3)</f>
        <v>Min</v>
      </c>
      <c r="F88" s="447" t="str">
        <f>RIGHT(TRIM($B47),3)</f>
        <v>Min</v>
      </c>
      <c r="H88" s="155"/>
      <c r="I88" s="155"/>
      <c r="J88" s="155"/>
      <c r="K88" s="155"/>
    </row>
    <row r="89" spans="1:11" s="65" customFormat="1" outlineLevel="3" x14ac:dyDescent="0.2">
      <c r="A89" s="666"/>
      <c r="B89" s="165" t="s">
        <v>208</v>
      </c>
      <c r="C89" s="442" t="e">
        <f ca="1">MATCH(C87,OFFSET(INDIRECT(C$36),0,0,C$37,1),0)</f>
        <v>#N/A</v>
      </c>
      <c r="D89" s="442" t="e">
        <f ca="1">MATCH(D87,OFFSET(INDIRECT(D$36),0,0,D$37,1),0)</f>
        <v>#N/A</v>
      </c>
      <c r="E89" s="442" t="e">
        <f ca="1">MATCH(E87,OFFSET(INDIRECT(E$36),0,0,E$37,1),0)</f>
        <v>#N/A</v>
      </c>
      <c r="F89" s="443" t="e">
        <f ca="1">MATCH(F87,OFFSET(INDIRECT(F$36),0,0,F$37,1),0)</f>
        <v>#N/A</v>
      </c>
      <c r="H89" s="155"/>
      <c r="I89" s="155"/>
      <c r="J89" s="155"/>
      <c r="K89" s="155"/>
    </row>
    <row r="90" spans="1:11" s="65" customFormat="1" outlineLevel="3" x14ac:dyDescent="0.2">
      <c r="A90" s="666"/>
      <c r="B90" s="165" t="s">
        <v>209</v>
      </c>
      <c r="C90" s="442" t="e">
        <f ca="1">MATCH(C88,OFFSET(INDIRECT(C$36),0,0,1,C$38),0)</f>
        <v>#N/A</v>
      </c>
      <c r="D90" s="442" t="e">
        <f ca="1">MATCH(D88,OFFSET(INDIRECT(D$36),0,0,1,D$38),0)</f>
        <v>#N/A</v>
      </c>
      <c r="E90" s="442" t="e">
        <f ca="1">MATCH(E88,OFFSET(INDIRECT(E$36),0,0,1,E$38),0)</f>
        <v>#N/A</v>
      </c>
      <c r="F90" s="443" t="e">
        <f ca="1">MATCH(F88,OFFSET(INDIRECT(F$36),0,0,1,F$38),0)</f>
        <v>#N/A</v>
      </c>
      <c r="H90" s="155"/>
      <c r="I90" s="155"/>
      <c r="J90" s="155"/>
      <c r="K90" s="155"/>
    </row>
    <row r="91" spans="1:11" s="65" customFormat="1" outlineLevel="3" x14ac:dyDescent="0.2">
      <c r="A91" s="666"/>
      <c r="B91" s="165" t="s">
        <v>114</v>
      </c>
      <c r="C91" s="444" t="str">
        <f>LEFT(TRIM($B48),LEN(TRIM($B48))-4)</f>
        <v>X Collimator</v>
      </c>
      <c r="D91" s="444" t="str">
        <f>LEFT(TRIM($B48),LEN(TRIM($B48))-4)</f>
        <v>X Collimator</v>
      </c>
      <c r="E91" s="444" t="str">
        <f>LEFT(TRIM($B48),LEN(TRIM($B48))-4)</f>
        <v>X Collimator</v>
      </c>
      <c r="F91" s="445" t="str">
        <f>LEFT(TRIM($B48),LEN(TRIM($B48))-4)</f>
        <v>X Collimator</v>
      </c>
      <c r="H91" s="155"/>
      <c r="I91" s="155"/>
      <c r="J91" s="155"/>
      <c r="K91" s="155"/>
    </row>
    <row r="92" spans="1:11" s="65" customFormat="1" outlineLevel="3" x14ac:dyDescent="0.2">
      <c r="A92" s="666"/>
      <c r="B92" s="165" t="s">
        <v>207</v>
      </c>
      <c r="C92" s="446" t="str">
        <f>RIGHT(TRIM($B48),3)</f>
        <v>Max</v>
      </c>
      <c r="D92" s="446" t="str">
        <f>RIGHT(TRIM($B48),3)</f>
        <v>Max</v>
      </c>
      <c r="E92" s="446" t="str">
        <f>RIGHT(TRIM($B48),3)</f>
        <v>Max</v>
      </c>
      <c r="F92" s="447" t="str">
        <f>RIGHT(TRIM($B48),3)</f>
        <v>Max</v>
      </c>
      <c r="H92" s="155"/>
      <c r="I92" s="155"/>
      <c r="J92" s="155"/>
      <c r="K92" s="155"/>
    </row>
    <row r="93" spans="1:11" s="65" customFormat="1" outlineLevel="3" x14ac:dyDescent="0.2">
      <c r="A93" s="666"/>
      <c r="B93" s="165" t="s">
        <v>208</v>
      </c>
      <c r="C93" s="442" t="e">
        <f ca="1">MATCH(C91,OFFSET(INDIRECT(C$36),0,0,C$37,1),0)</f>
        <v>#N/A</v>
      </c>
      <c r="D93" s="442" t="e">
        <f ca="1">MATCH(D91,OFFSET(INDIRECT(D$36),0,0,D$37,1),0)</f>
        <v>#N/A</v>
      </c>
      <c r="E93" s="442" t="e">
        <f ca="1">MATCH(E91,OFFSET(INDIRECT(E$36),0,0,E$37,1),0)</f>
        <v>#N/A</v>
      </c>
      <c r="F93" s="443" t="e">
        <f ca="1">MATCH(F91,OFFSET(INDIRECT(F$36),0,0,F$37,1),0)</f>
        <v>#N/A</v>
      </c>
      <c r="H93" s="155"/>
      <c r="I93" s="155"/>
      <c r="J93" s="155"/>
      <c r="K93" s="155"/>
    </row>
    <row r="94" spans="1:11" s="65" customFormat="1" outlineLevel="3" x14ac:dyDescent="0.2">
      <c r="A94" s="666"/>
      <c r="B94" s="165" t="s">
        <v>209</v>
      </c>
      <c r="C94" s="442" t="e">
        <f ca="1">MATCH(C92,OFFSET(INDIRECT(C$36),0,0,1,C$38),0)</f>
        <v>#N/A</v>
      </c>
      <c r="D94" s="442" t="e">
        <f ca="1">MATCH(D92,OFFSET(INDIRECT(D$36),0,0,1,D$38),0)</f>
        <v>#N/A</v>
      </c>
      <c r="E94" s="442" t="e">
        <f ca="1">MATCH(E92,OFFSET(INDIRECT(E$36),0,0,1,E$38),0)</f>
        <v>#N/A</v>
      </c>
      <c r="F94" s="443" t="e">
        <f ca="1">MATCH(F92,OFFSET(INDIRECT(F$36),0,0,1,F$38),0)</f>
        <v>#N/A</v>
      </c>
      <c r="H94" s="155"/>
      <c r="I94" s="155"/>
      <c r="J94" s="155"/>
      <c r="K94" s="155"/>
    </row>
    <row r="95" spans="1:11" s="65" customFormat="1" outlineLevel="3" x14ac:dyDescent="0.2">
      <c r="A95" s="666"/>
      <c r="B95" s="165" t="s">
        <v>114</v>
      </c>
      <c r="C95" s="444" t="str">
        <f>LEFT(TRIM($B49),LEN(TRIM($B49))-4)</f>
        <v>Y Collimator</v>
      </c>
      <c r="D95" s="444" t="str">
        <f>LEFT(TRIM($B49),LEN(TRIM($B49))-4)</f>
        <v>Y Collimator</v>
      </c>
      <c r="E95" s="444" t="str">
        <f>LEFT(TRIM($B49),LEN(TRIM($B49))-4)</f>
        <v>Y Collimator</v>
      </c>
      <c r="F95" s="445" t="str">
        <f>LEFT(TRIM($B49),LEN(TRIM($B49))-4)</f>
        <v>Y Collimator</v>
      </c>
      <c r="H95" s="155"/>
      <c r="I95" s="155"/>
      <c r="J95" s="155"/>
      <c r="K95" s="155"/>
    </row>
    <row r="96" spans="1:11" s="65" customFormat="1" outlineLevel="3" x14ac:dyDescent="0.2">
      <c r="A96" s="666"/>
      <c r="B96" s="165" t="s">
        <v>207</v>
      </c>
      <c r="C96" s="446" t="str">
        <f>RIGHT(TRIM($B49),3)</f>
        <v>Min</v>
      </c>
      <c r="D96" s="446" t="str">
        <f>RIGHT(TRIM($B49),3)</f>
        <v>Min</v>
      </c>
      <c r="E96" s="446" t="str">
        <f>RIGHT(TRIM($B49),3)</f>
        <v>Min</v>
      </c>
      <c r="F96" s="447" t="str">
        <f>RIGHT(TRIM($B49),3)</f>
        <v>Min</v>
      </c>
      <c r="H96" s="155"/>
      <c r="I96" s="155"/>
      <c r="J96" s="155"/>
      <c r="K96" s="155"/>
    </row>
    <row r="97" spans="1:11" s="65" customFormat="1" outlineLevel="3" x14ac:dyDescent="0.2">
      <c r="A97" s="666"/>
      <c r="B97" s="165" t="s">
        <v>208</v>
      </c>
      <c r="C97" s="442" t="e">
        <f ca="1">MATCH(C95,OFFSET(INDIRECT(C$36),0,0,C$37,1),0)</f>
        <v>#N/A</v>
      </c>
      <c r="D97" s="442" t="e">
        <f ca="1">MATCH(D95,OFFSET(INDIRECT(D$36),0,0,D$37,1),0)</f>
        <v>#N/A</v>
      </c>
      <c r="E97" s="442" t="e">
        <f ca="1">MATCH(E95,OFFSET(INDIRECT(E$36),0,0,E$37,1),0)</f>
        <v>#N/A</v>
      </c>
      <c r="F97" s="443" t="e">
        <f ca="1">MATCH(F95,OFFSET(INDIRECT(F$36),0,0,F$37,1),0)</f>
        <v>#N/A</v>
      </c>
      <c r="H97" s="155"/>
      <c r="I97" s="155"/>
      <c r="J97" s="155"/>
      <c r="K97" s="155"/>
    </row>
    <row r="98" spans="1:11" s="65" customFormat="1" outlineLevel="3" x14ac:dyDescent="0.2">
      <c r="A98" s="666"/>
      <c r="B98" s="165" t="s">
        <v>209</v>
      </c>
      <c r="C98" s="442" t="e">
        <f ca="1">MATCH(C96,OFFSET(INDIRECT(C$36),0,0,1,C$38),0)</f>
        <v>#N/A</v>
      </c>
      <c r="D98" s="442" t="e">
        <f ca="1">MATCH(D96,OFFSET(INDIRECT(D$36),0,0,1,D$38),0)</f>
        <v>#N/A</v>
      </c>
      <c r="E98" s="442" t="e">
        <f ca="1">MATCH(E96,OFFSET(INDIRECT(E$36),0,0,1,E$38),0)</f>
        <v>#N/A</v>
      </c>
      <c r="F98" s="443" t="e">
        <f ca="1">MATCH(F96,OFFSET(INDIRECT(F$36),0,0,1,F$38),0)</f>
        <v>#N/A</v>
      </c>
      <c r="H98" s="155"/>
      <c r="I98" s="155"/>
      <c r="J98" s="155"/>
      <c r="K98" s="155"/>
    </row>
    <row r="99" spans="1:11" s="65" customFormat="1" outlineLevel="3" x14ac:dyDescent="0.2">
      <c r="A99" s="666"/>
      <c r="B99" s="165" t="s">
        <v>114</v>
      </c>
      <c r="C99" s="444" t="str">
        <f>LEFT(TRIM($B50),LEN(TRIM($B50))-4)</f>
        <v>Y Collimator</v>
      </c>
      <c r="D99" s="444" t="str">
        <f>LEFT(TRIM($B50),LEN(TRIM($B50))-4)</f>
        <v>Y Collimator</v>
      </c>
      <c r="E99" s="444" t="str">
        <f>LEFT(TRIM($B50),LEN(TRIM($B50))-4)</f>
        <v>Y Collimator</v>
      </c>
      <c r="F99" s="445" t="str">
        <f>LEFT(TRIM($B50),LEN(TRIM($B50))-4)</f>
        <v>Y Collimator</v>
      </c>
      <c r="H99" s="155"/>
      <c r="I99" s="155"/>
      <c r="J99" s="155"/>
      <c r="K99" s="155"/>
    </row>
    <row r="100" spans="1:11" s="65" customFormat="1" outlineLevel="3" x14ac:dyDescent="0.2">
      <c r="A100" s="666"/>
      <c r="B100" s="165" t="s">
        <v>207</v>
      </c>
      <c r="C100" s="446" t="str">
        <f>RIGHT(TRIM($B50),3)</f>
        <v>Max</v>
      </c>
      <c r="D100" s="446" t="str">
        <f>RIGHT(TRIM($B50),3)</f>
        <v>Max</v>
      </c>
      <c r="E100" s="446" t="str">
        <f>RIGHT(TRIM($B50),3)</f>
        <v>Max</v>
      </c>
      <c r="F100" s="447" t="str">
        <f>RIGHT(TRIM($B50),3)</f>
        <v>Max</v>
      </c>
      <c r="H100" s="155"/>
      <c r="I100" s="155"/>
      <c r="J100" s="155"/>
      <c r="K100" s="155"/>
    </row>
    <row r="101" spans="1:11" s="65" customFormat="1" outlineLevel="3" x14ac:dyDescent="0.2">
      <c r="A101" s="666"/>
      <c r="B101" s="165" t="s">
        <v>208</v>
      </c>
      <c r="C101" s="442" t="e">
        <f ca="1">MATCH(C99,OFFSET(INDIRECT(C$36),0,0,C$37,1),0)</f>
        <v>#N/A</v>
      </c>
      <c r="D101" s="442" t="e">
        <f ca="1">MATCH(D99,OFFSET(INDIRECT(D$36),0,0,D$37,1),0)</f>
        <v>#N/A</v>
      </c>
      <c r="E101" s="442" t="e">
        <f ca="1">MATCH(E99,OFFSET(INDIRECT(E$36),0,0,E$37,1),0)</f>
        <v>#N/A</v>
      </c>
      <c r="F101" s="443" t="e">
        <f ca="1">MATCH(F99,OFFSET(INDIRECT(F$36),0,0,F$37,1),0)</f>
        <v>#N/A</v>
      </c>
      <c r="H101" s="155"/>
      <c r="I101" s="155"/>
      <c r="J101" s="155"/>
      <c r="K101" s="155"/>
    </row>
    <row r="102" spans="1:11" s="65" customFormat="1" outlineLevel="3" x14ac:dyDescent="0.2">
      <c r="A102" s="666"/>
      <c r="B102" s="165" t="s">
        <v>209</v>
      </c>
      <c r="C102" s="442" t="e">
        <f ca="1">MATCH(C100,OFFSET(INDIRECT(C$36),0,0,1,C$38),0)</f>
        <v>#N/A</v>
      </c>
      <c r="D102" s="442" t="e">
        <f ca="1">MATCH(D100,OFFSET(INDIRECT(D$36),0,0,1,D$38),0)</f>
        <v>#N/A</v>
      </c>
      <c r="E102" s="442" t="e">
        <f ca="1">MATCH(E100,OFFSET(INDIRECT(E$36),0,0,1,E$38),0)</f>
        <v>#N/A</v>
      </c>
      <c r="F102" s="443" t="e">
        <f ca="1">MATCH(F100,OFFSET(INDIRECT(F$36),0,0,1,F$38),0)</f>
        <v>#N/A</v>
      </c>
      <c r="H102" s="155"/>
      <c r="I102" s="155"/>
      <c r="J102" s="155"/>
      <c r="K102" s="155"/>
    </row>
    <row r="103" spans="1:11" s="65" customFormat="1" outlineLevel="3" x14ac:dyDescent="0.2">
      <c r="A103" s="666"/>
      <c r="B103" s="165" t="s">
        <v>114</v>
      </c>
      <c r="C103" s="444" t="str">
        <f>LEFT(TRIM($B51),LEN(TRIM($B51))-4)</f>
        <v>Field Size</v>
      </c>
      <c r="D103" s="444" t="str">
        <f>LEFT(TRIM($B51),LEN(TRIM($B51))-4)</f>
        <v>Field Size</v>
      </c>
      <c r="E103" s="444" t="str">
        <f>LEFT(TRIM($B51),LEN(TRIM($B51))-4)</f>
        <v>Field Size</v>
      </c>
      <c r="F103" s="445" t="str">
        <f>LEFT(TRIM($B51),LEN(TRIM($B51))-4)</f>
        <v>Field Size</v>
      </c>
      <c r="H103" s="155"/>
      <c r="I103" s="155"/>
      <c r="J103" s="155"/>
      <c r="K103" s="155"/>
    </row>
    <row r="104" spans="1:11" s="65" customFormat="1" outlineLevel="3" x14ac:dyDescent="0.2">
      <c r="A104" s="666"/>
      <c r="B104" s="165" t="s">
        <v>207</v>
      </c>
      <c r="C104" s="446" t="str">
        <f>RIGHT(TRIM($B51),3)</f>
        <v>Min</v>
      </c>
      <c r="D104" s="446" t="str">
        <f>RIGHT(TRIM($B51),3)</f>
        <v>Min</v>
      </c>
      <c r="E104" s="446" t="str">
        <f>RIGHT(TRIM($B51),3)</f>
        <v>Min</v>
      </c>
      <c r="F104" s="447" t="str">
        <f>RIGHT(TRIM($B51),3)</f>
        <v>Min</v>
      </c>
      <c r="H104" s="155"/>
      <c r="I104" s="155"/>
      <c r="J104" s="155"/>
      <c r="K104" s="155"/>
    </row>
    <row r="105" spans="1:11" s="65" customFormat="1" outlineLevel="3" x14ac:dyDescent="0.2">
      <c r="A105" s="666"/>
      <c r="B105" s="165" t="s">
        <v>208</v>
      </c>
      <c r="C105" s="442" t="e">
        <f ca="1">MATCH(C103,OFFSET(INDIRECT(C$36),0,0,C$37,1),0)</f>
        <v>#N/A</v>
      </c>
      <c r="D105" s="442" t="e">
        <f ca="1">MATCH(D103,OFFSET(INDIRECT(D$36),0,0,D$37,1),0)</f>
        <v>#N/A</v>
      </c>
      <c r="E105" s="442" t="e">
        <f ca="1">MATCH(E103,OFFSET(INDIRECT(E$36),0,0,E$37,1),0)</f>
        <v>#N/A</v>
      </c>
      <c r="F105" s="443" t="e">
        <f ca="1">MATCH(F103,OFFSET(INDIRECT(F$36),0,0,F$37,1),0)</f>
        <v>#N/A</v>
      </c>
      <c r="H105" s="155"/>
      <c r="I105" s="155"/>
      <c r="J105" s="155"/>
      <c r="K105" s="155"/>
    </row>
    <row r="106" spans="1:11" s="65" customFormat="1" outlineLevel="3" x14ac:dyDescent="0.2">
      <c r="A106" s="666"/>
      <c r="B106" s="165" t="s">
        <v>209</v>
      </c>
      <c r="C106" s="442" t="e">
        <f ca="1">MATCH(C104,OFFSET(INDIRECT(C$36),0,0,1,C$38),0)</f>
        <v>#N/A</v>
      </c>
      <c r="D106" s="442" t="e">
        <f ca="1">MATCH(D104,OFFSET(INDIRECT(D$36),0,0,1,D$38),0)</f>
        <v>#N/A</v>
      </c>
      <c r="E106" s="442" t="e">
        <f ca="1">MATCH(E104,OFFSET(INDIRECT(E$36),0,0,1,E$38),0)</f>
        <v>#N/A</v>
      </c>
      <c r="F106" s="443" t="e">
        <f ca="1">MATCH(F104,OFFSET(INDIRECT(F$36),0,0,1,F$38),0)</f>
        <v>#N/A</v>
      </c>
      <c r="H106" s="155"/>
      <c r="I106" s="155"/>
      <c r="J106" s="155"/>
      <c r="K106" s="155"/>
    </row>
    <row r="107" spans="1:11" s="65" customFormat="1" outlineLevel="3" x14ac:dyDescent="0.2">
      <c r="A107" s="666"/>
      <c r="B107" s="165" t="s">
        <v>114</v>
      </c>
      <c r="C107" s="444" t="str">
        <f>LEFT(TRIM($B52),LEN(TRIM($B52))-4)</f>
        <v>Field Size</v>
      </c>
      <c r="D107" s="444" t="str">
        <f>LEFT(TRIM($B52),LEN(TRIM($B52))-4)</f>
        <v>Field Size</v>
      </c>
      <c r="E107" s="444" t="str">
        <f>LEFT(TRIM($B52),LEN(TRIM($B52))-4)</f>
        <v>Field Size</v>
      </c>
      <c r="F107" s="445" t="str">
        <f>LEFT(TRIM($B52),LEN(TRIM($B52))-4)</f>
        <v>Field Size</v>
      </c>
      <c r="H107" s="155"/>
      <c r="I107" s="155"/>
      <c r="J107" s="155"/>
      <c r="K107" s="155"/>
    </row>
    <row r="108" spans="1:11" s="65" customFormat="1" outlineLevel="3" x14ac:dyDescent="0.2">
      <c r="A108" s="666"/>
      <c r="B108" s="165" t="s">
        <v>207</v>
      </c>
      <c r="C108" s="446" t="str">
        <f>RIGHT(TRIM($B52),3)</f>
        <v>Max</v>
      </c>
      <c r="D108" s="446" t="str">
        <f>RIGHT(TRIM($B52),3)</f>
        <v>Max</v>
      </c>
      <c r="E108" s="446" t="str">
        <f>RIGHT(TRIM($B52),3)</f>
        <v>Max</v>
      </c>
      <c r="F108" s="447" t="str">
        <f>RIGHT(TRIM($B52),3)</f>
        <v>Max</v>
      </c>
      <c r="H108" s="155"/>
      <c r="I108" s="155"/>
      <c r="J108" s="155"/>
      <c r="K108" s="155"/>
    </row>
    <row r="109" spans="1:11" s="65" customFormat="1" outlineLevel="3" x14ac:dyDescent="0.2">
      <c r="A109" s="666"/>
      <c r="B109" s="165" t="s">
        <v>208</v>
      </c>
      <c r="C109" s="442" t="e">
        <f ca="1">MATCH(C107,OFFSET(INDIRECT(C$36),0,0,C$37,1),0)</f>
        <v>#N/A</v>
      </c>
      <c r="D109" s="442" t="e">
        <f ca="1">MATCH(D107,OFFSET(INDIRECT(D$36),0,0,D$37,1),0)</f>
        <v>#N/A</v>
      </c>
      <c r="E109" s="442" t="e">
        <f ca="1">MATCH(E107,OFFSET(INDIRECT(E$36),0,0,E$37,1),0)</f>
        <v>#N/A</v>
      </c>
      <c r="F109" s="443" t="e">
        <f ca="1">MATCH(F107,OFFSET(INDIRECT(F$36),0,0,F$37,1),0)</f>
        <v>#N/A</v>
      </c>
      <c r="H109" s="155"/>
      <c r="I109" s="155"/>
      <c r="J109" s="155"/>
      <c r="K109" s="155"/>
    </row>
    <row r="110" spans="1:11" s="65" customFormat="1" outlineLevel="3" x14ac:dyDescent="0.2">
      <c r="A110" s="666"/>
      <c r="B110" s="165" t="s">
        <v>209</v>
      </c>
      <c r="C110" s="442" t="e">
        <f ca="1">MATCH(C108,OFFSET(INDIRECT(C$36),0,0,1,C$38),0)</f>
        <v>#N/A</v>
      </c>
      <c r="D110" s="442" t="e">
        <f ca="1">MATCH(D108,OFFSET(INDIRECT(D$36),0,0,1,D$38),0)</f>
        <v>#N/A</v>
      </c>
      <c r="E110" s="442" t="e">
        <f ca="1">MATCH(E108,OFFSET(INDIRECT(E$36),0,0,1,E$38),0)</f>
        <v>#N/A</v>
      </c>
      <c r="F110" s="443" t="e">
        <f ca="1">MATCH(F108,OFFSET(INDIRECT(F$36),0,0,1,F$38),0)</f>
        <v>#N/A</v>
      </c>
      <c r="H110" s="155"/>
      <c r="I110" s="155"/>
      <c r="J110" s="155"/>
      <c r="K110" s="155"/>
    </row>
    <row r="111" spans="1:11" s="65" customFormat="1" outlineLevel="3" x14ac:dyDescent="0.2">
      <c r="A111" s="666"/>
      <c r="B111" s="165" t="s">
        <v>114</v>
      </c>
      <c r="C111" s="444" t="str">
        <f>LEFT(TRIM($B53),LEN(TRIM($B53))-4)</f>
        <v>Depth</v>
      </c>
      <c r="D111" s="444" t="str">
        <f>LEFT(TRIM($B53),LEN(TRIM($B53))-4)</f>
        <v>Depth</v>
      </c>
      <c r="E111" s="444" t="str">
        <f>LEFT(TRIM($B53),LEN(TRIM($B53))-4)</f>
        <v>Depth</v>
      </c>
      <c r="F111" s="445" t="str">
        <f>LEFT(TRIM($B53),LEN(TRIM($B53))-4)</f>
        <v>Depth</v>
      </c>
      <c r="H111" s="155"/>
      <c r="I111" s="155"/>
      <c r="J111" s="155"/>
      <c r="K111" s="155"/>
    </row>
    <row r="112" spans="1:11" s="65" customFormat="1" outlineLevel="3" x14ac:dyDescent="0.2">
      <c r="A112" s="666"/>
      <c r="B112" s="165" t="s">
        <v>207</v>
      </c>
      <c r="C112" s="446" t="str">
        <f>RIGHT(TRIM($B53),3)</f>
        <v>Min</v>
      </c>
      <c r="D112" s="446" t="str">
        <f>RIGHT(TRIM($B53),3)</f>
        <v>Min</v>
      </c>
      <c r="E112" s="446" t="str">
        <f>RIGHT(TRIM($B53),3)</f>
        <v>Min</v>
      </c>
      <c r="F112" s="447" t="str">
        <f>RIGHT(TRIM($B53),3)</f>
        <v>Min</v>
      </c>
      <c r="H112" s="155"/>
      <c r="I112" s="155"/>
      <c r="J112" s="155"/>
      <c r="K112" s="155"/>
    </row>
    <row r="113" spans="1:18" s="65" customFormat="1" outlineLevel="3" x14ac:dyDescent="0.2">
      <c r="A113" s="666"/>
      <c r="B113" s="165" t="s">
        <v>208</v>
      </c>
      <c r="C113" s="442" t="e">
        <f ca="1">MATCH(C111,OFFSET(INDIRECT(C$36),0,0,C$37,1),0)</f>
        <v>#N/A</v>
      </c>
      <c r="D113" s="442" t="e">
        <f ca="1">MATCH(D111,OFFSET(INDIRECT(D$36),0,0,D$37,1),0)</f>
        <v>#N/A</v>
      </c>
      <c r="E113" s="442" t="e">
        <f ca="1">MATCH(E111,OFFSET(INDIRECT(E$36),0,0,E$37,1),0)</f>
        <v>#N/A</v>
      </c>
      <c r="F113" s="443" t="e">
        <f ca="1">MATCH(F111,OFFSET(INDIRECT(F$36),0,0,F$37,1),0)</f>
        <v>#N/A</v>
      </c>
      <c r="H113" s="155"/>
      <c r="I113" s="155"/>
      <c r="J113" s="155"/>
      <c r="K113" s="155"/>
    </row>
    <row r="114" spans="1:18" s="65" customFormat="1" outlineLevel="3" x14ac:dyDescent="0.2">
      <c r="A114" s="666"/>
      <c r="B114" s="165" t="s">
        <v>209</v>
      </c>
      <c r="C114" s="442" t="e">
        <f ca="1">MATCH(C112,OFFSET(INDIRECT(C$36),0,0,1,C$38),0)</f>
        <v>#N/A</v>
      </c>
      <c r="D114" s="442" t="e">
        <f ca="1">MATCH(D112,OFFSET(INDIRECT(D$36),0,0,1,D$38),0)</f>
        <v>#N/A</v>
      </c>
      <c r="E114" s="442" t="e">
        <f ca="1">MATCH(E112,OFFSET(INDIRECT(E$36),0,0,1,E$38),0)</f>
        <v>#N/A</v>
      </c>
      <c r="F114" s="443" t="e">
        <f ca="1">MATCH(F112,OFFSET(INDIRECT(F$36),0,0,1,F$38),0)</f>
        <v>#N/A</v>
      </c>
      <c r="H114" s="155"/>
      <c r="I114" s="155"/>
      <c r="J114" s="155"/>
      <c r="K114" s="155"/>
    </row>
    <row r="115" spans="1:18" s="65" customFormat="1" outlineLevel="3" x14ac:dyDescent="0.2">
      <c r="A115" s="666"/>
      <c r="B115" s="165" t="s">
        <v>114</v>
      </c>
      <c r="C115" s="444" t="str">
        <f>LEFT(TRIM($B54),LEN(TRIM($B54))-4)</f>
        <v>Depth</v>
      </c>
      <c r="D115" s="444" t="str">
        <f>LEFT(TRIM($B54),LEN(TRIM($B54))-4)</f>
        <v>Depth</v>
      </c>
      <c r="E115" s="444" t="str">
        <f>LEFT(TRIM($B54),LEN(TRIM($B54))-4)</f>
        <v>Depth</v>
      </c>
      <c r="F115" s="445" t="str">
        <f>LEFT(TRIM($B54),LEN(TRIM($B54))-4)</f>
        <v>Depth</v>
      </c>
      <c r="H115" s="155"/>
      <c r="I115" s="155"/>
      <c r="J115" s="155"/>
      <c r="K115" s="155"/>
    </row>
    <row r="116" spans="1:18" s="65" customFormat="1" outlineLevel="3" x14ac:dyDescent="0.2">
      <c r="A116" s="666"/>
      <c r="B116" s="165" t="s">
        <v>207</v>
      </c>
      <c r="C116" s="446" t="str">
        <f>RIGHT(TRIM($B54),3)</f>
        <v>Max</v>
      </c>
      <c r="D116" s="446" t="str">
        <f>RIGHT(TRIM($B54),3)</f>
        <v>Max</v>
      </c>
      <c r="E116" s="446" t="str">
        <f>RIGHT(TRIM($B54),3)</f>
        <v>Max</v>
      </c>
      <c r="F116" s="447" t="str">
        <f>RIGHT(TRIM($B54),3)</f>
        <v>Max</v>
      </c>
      <c r="H116" s="155"/>
      <c r="I116" s="155"/>
      <c r="J116" s="155"/>
      <c r="K116" s="155"/>
    </row>
    <row r="117" spans="1:18" s="65" customFormat="1" outlineLevel="3" x14ac:dyDescent="0.2">
      <c r="A117" s="666"/>
      <c r="B117" s="165" t="s">
        <v>208</v>
      </c>
      <c r="C117" s="442" t="e">
        <f ca="1">MATCH(C115,OFFSET(INDIRECT(C$36),0,0,C$37,1),0)</f>
        <v>#N/A</v>
      </c>
      <c r="D117" s="442" t="e">
        <f ca="1">MATCH(D115,OFFSET(INDIRECT(D$36),0,0,D$37,1),0)</f>
        <v>#N/A</v>
      </c>
      <c r="E117" s="442" t="e">
        <f ca="1">MATCH(E115,OFFSET(INDIRECT(E$36),0,0,E$37,1),0)</f>
        <v>#N/A</v>
      </c>
      <c r="F117" s="443" t="e">
        <f ca="1">MATCH(F115,OFFSET(INDIRECT(F$36),0,0,F$37,1),0)</f>
        <v>#N/A</v>
      </c>
      <c r="H117" s="155"/>
      <c r="I117" s="155"/>
      <c r="J117" s="155"/>
      <c r="K117" s="155"/>
    </row>
    <row r="118" spans="1:18" s="65" customFormat="1" ht="13.5" outlineLevel="3" thickBot="1" x14ac:dyDescent="0.25">
      <c r="A118" s="667"/>
      <c r="B118" s="168" t="s">
        <v>209</v>
      </c>
      <c r="C118" s="455" t="e">
        <f ca="1">MATCH(C116,OFFSET(INDIRECT(C$36),0,0,1,C$38),0)</f>
        <v>#N/A</v>
      </c>
      <c r="D118" s="455" t="e">
        <f ca="1">MATCH(D116,OFFSET(INDIRECT(D$36),0,0,1,D$38),0)</f>
        <v>#N/A</v>
      </c>
      <c r="E118" s="455" t="e">
        <f ca="1">MATCH(E116,OFFSET(INDIRECT(E$36),0,0,1,E$38),0)</f>
        <v>#N/A</v>
      </c>
      <c r="F118" s="456" t="e">
        <f ca="1">MATCH(F116,OFFSET(INDIRECT(F$36),0,0,1,F$38),0)</f>
        <v>#N/A</v>
      </c>
      <c r="H118" s="155"/>
      <c r="I118" s="155"/>
      <c r="J118" s="155"/>
      <c r="K118" s="155"/>
    </row>
    <row r="119" spans="1:18" s="65" customFormat="1" x14ac:dyDescent="0.2">
      <c r="H119" s="155"/>
      <c r="I119" s="155"/>
      <c r="J119" s="155"/>
      <c r="K119" s="155"/>
    </row>
    <row r="120" spans="1:18" s="65" customFormat="1" x14ac:dyDescent="0.2">
      <c r="B120" s="155"/>
      <c r="C120" s="155"/>
      <c r="D120" s="155"/>
      <c r="E120" s="155"/>
      <c r="F120" s="155"/>
      <c r="H120" s="155"/>
      <c r="I120" s="155"/>
      <c r="J120" s="155"/>
      <c r="K120" s="155"/>
    </row>
    <row r="121" spans="1:18" s="65" customFormat="1" ht="12.75" customHeight="1" thickBot="1" x14ac:dyDescent="0.25">
      <c r="A121" s="155"/>
      <c r="B121" s="169"/>
      <c r="C121" s="169"/>
      <c r="H121" s="155"/>
      <c r="I121" s="155"/>
      <c r="J121" s="155"/>
      <c r="K121" s="155"/>
      <c r="R121" s="155"/>
    </row>
    <row r="122" spans="1:18" s="65" customFormat="1" ht="12.75" customHeight="1" outlineLevel="1" x14ac:dyDescent="0.2">
      <c r="A122" s="671" t="s">
        <v>346</v>
      </c>
      <c r="B122" s="457" t="s">
        <v>341</v>
      </c>
      <c r="C122" s="448" t="e">
        <f>C$19</f>
        <v>#N/A</v>
      </c>
      <c r="D122" s="448" t="e">
        <f t="shared" ref="D122:F122" si="0">D$19</f>
        <v>#N/A</v>
      </c>
      <c r="E122" s="448" t="e">
        <f t="shared" si="0"/>
        <v>#N/A</v>
      </c>
      <c r="F122" s="449" t="e">
        <f t="shared" si="0"/>
        <v>#N/A</v>
      </c>
      <c r="H122" s="155"/>
      <c r="I122" s="155"/>
      <c r="J122" s="155"/>
      <c r="K122" s="155"/>
      <c r="R122" s="155"/>
    </row>
    <row r="123" spans="1:18" s="65" customFormat="1" outlineLevel="1" x14ac:dyDescent="0.2">
      <c r="A123" s="672"/>
      <c r="B123" s="165" t="s">
        <v>249</v>
      </c>
      <c r="C123" s="442">
        <f>VLOOKUP("Shielding Factors",'Table References'!$D$37:$E$44,2)</f>
        <v>16</v>
      </c>
      <c r="D123" s="442">
        <f>VLOOKUP("Shielding Factors",'Table References'!$D$37:$E$44,2)</f>
        <v>16</v>
      </c>
      <c r="E123" s="442">
        <f>VLOOKUP("Shielding Factors",'Table References'!$D$37:$E$44,2)</f>
        <v>16</v>
      </c>
      <c r="F123" s="443">
        <f>VLOOKUP("Shielding Factors",'Table References'!$D$37:$E$44,2)</f>
        <v>16</v>
      </c>
      <c r="H123" s="155"/>
      <c r="I123" s="155"/>
      <c r="J123" s="155"/>
      <c r="K123" s="155"/>
      <c r="R123" s="155"/>
    </row>
    <row r="124" spans="1:18" s="65" customFormat="1" ht="12.75" customHeight="1" outlineLevel="1" x14ac:dyDescent="0.2">
      <c r="A124" s="672"/>
      <c r="B124" s="147" t="s">
        <v>118</v>
      </c>
      <c r="C124" s="442" t="e">
        <f>INDEX('Table References'!$D$3:$G$34,C123,MATCH(C122,'Table References'!$D$2:$G$2,0))</f>
        <v>#N/A</v>
      </c>
      <c r="D124" s="442" t="e">
        <f>INDEX('Table References'!$D$3:$G$34,D123,MATCH(D122,'Table References'!$D$2:$G$2,0))</f>
        <v>#N/A</v>
      </c>
      <c r="E124" s="442" t="e">
        <f>INDEX('Table References'!$D$3:$G$34,E123,MATCH(E122,'Table References'!$D$2:$G$2,0))</f>
        <v>#N/A</v>
      </c>
      <c r="F124" s="443" t="e">
        <f>INDEX('Table References'!$D$3:$G$34,F123,MATCH(F122,'Table References'!$D$2:$G$2,0))</f>
        <v>#N/A</v>
      </c>
      <c r="H124" s="155"/>
      <c r="I124" s="155"/>
      <c r="J124" s="155"/>
      <c r="K124" s="155"/>
      <c r="R124" s="155"/>
    </row>
    <row r="125" spans="1:18" s="65" customFormat="1" ht="12.75" customHeight="1" outlineLevel="1" thickBot="1" x14ac:dyDescent="0.25">
      <c r="A125" s="672"/>
      <c r="B125" s="147" t="s">
        <v>124</v>
      </c>
      <c r="C125" s="442" t="e">
        <f ca="1">ROWS(INDIRECT(C124))</f>
        <v>#N/A</v>
      </c>
      <c r="D125" s="442" t="e">
        <f t="shared" ref="D125:F125" ca="1" si="1">ROWS(INDIRECT(D124))</f>
        <v>#N/A</v>
      </c>
      <c r="E125" s="442" t="e">
        <f t="shared" ca="1" si="1"/>
        <v>#N/A</v>
      </c>
      <c r="F125" s="443" t="e">
        <f t="shared" ca="1" si="1"/>
        <v>#N/A</v>
      </c>
      <c r="H125" s="155"/>
      <c r="I125" s="155"/>
      <c r="J125" s="155"/>
      <c r="K125" s="155"/>
      <c r="R125" s="155"/>
    </row>
    <row r="126" spans="1:18" s="65" customFormat="1" outlineLevel="1" x14ac:dyDescent="0.2">
      <c r="A126" s="672"/>
      <c r="B126" s="457" t="s">
        <v>78</v>
      </c>
      <c r="C126" s="171" t="e">
        <f ca="1">MATCH($B126,OFFSET(INDIRECT(C$124),0,0,C$125,1),0)</f>
        <v>#N/A</v>
      </c>
      <c r="D126" s="171" t="e">
        <f t="shared" ref="D126:F126" ca="1" si="2">MATCH($B126,OFFSET(INDIRECT(D$124),0,0,D$125,1),0)</f>
        <v>#N/A</v>
      </c>
      <c r="E126" s="171" t="e">
        <f t="shared" ca="1" si="2"/>
        <v>#N/A</v>
      </c>
      <c r="F126" s="172" t="e">
        <f t="shared" ca="1" si="2"/>
        <v>#N/A</v>
      </c>
      <c r="H126" s="155"/>
      <c r="I126" s="155"/>
      <c r="J126" s="155"/>
      <c r="K126" s="155"/>
      <c r="R126" s="155"/>
    </row>
    <row r="127" spans="1:18" s="65" customFormat="1" outlineLevel="1" x14ac:dyDescent="0.2">
      <c r="A127" s="672"/>
      <c r="B127" s="165" t="s">
        <v>71</v>
      </c>
      <c r="C127" s="166" t="e">
        <f t="shared" ref="C127:F129" ca="1" si="3">MATCH($B127,OFFSET(INDIRECT(C$124),0,0,C$125,1),0)</f>
        <v>#N/A</v>
      </c>
      <c r="D127" s="166" t="e">
        <f t="shared" ca="1" si="3"/>
        <v>#N/A</v>
      </c>
      <c r="E127" s="166" t="e">
        <f t="shared" ca="1" si="3"/>
        <v>#N/A</v>
      </c>
      <c r="F127" s="167" t="e">
        <f t="shared" ca="1" si="3"/>
        <v>#N/A</v>
      </c>
      <c r="H127" s="155"/>
      <c r="I127" s="155"/>
      <c r="J127" s="155"/>
      <c r="K127" s="155"/>
      <c r="R127" s="155"/>
    </row>
    <row r="128" spans="1:18" s="65" customFormat="1" outlineLevel="1" x14ac:dyDescent="0.2">
      <c r="A128" s="672"/>
      <c r="B128" s="165" t="s">
        <v>72</v>
      </c>
      <c r="C128" s="166" t="e">
        <f t="shared" ca="1" si="3"/>
        <v>#N/A</v>
      </c>
      <c r="D128" s="166" t="e">
        <f t="shared" ca="1" si="3"/>
        <v>#N/A</v>
      </c>
      <c r="E128" s="166" t="e">
        <f t="shared" ca="1" si="3"/>
        <v>#N/A</v>
      </c>
      <c r="F128" s="167" t="e">
        <f t="shared" ca="1" si="3"/>
        <v>#N/A</v>
      </c>
      <c r="H128" s="155"/>
      <c r="I128" s="155"/>
      <c r="J128" s="155"/>
      <c r="K128" s="155"/>
      <c r="R128" s="155"/>
    </row>
    <row r="129" spans="1:18" s="65" customFormat="1" ht="13.5" outlineLevel="1" thickBot="1" x14ac:dyDescent="0.25">
      <c r="A129" s="672"/>
      <c r="B129" s="168" t="s">
        <v>73</v>
      </c>
      <c r="C129" s="173" t="e">
        <f t="shared" ca="1" si="3"/>
        <v>#N/A</v>
      </c>
      <c r="D129" s="173" t="e">
        <f t="shared" ca="1" si="3"/>
        <v>#N/A</v>
      </c>
      <c r="E129" s="173" t="e">
        <f t="shared" ca="1" si="3"/>
        <v>#N/A</v>
      </c>
      <c r="F129" s="174" t="e">
        <f t="shared" ca="1" si="3"/>
        <v>#N/A</v>
      </c>
      <c r="H129" s="155"/>
      <c r="I129" s="155"/>
      <c r="J129" s="155"/>
      <c r="K129" s="155"/>
      <c r="R129" s="155"/>
    </row>
    <row r="130" spans="1:18" s="65" customFormat="1" outlineLevel="1" x14ac:dyDescent="0.2">
      <c r="A130" s="672"/>
      <c r="B130" s="457" t="str">
        <f>B126</f>
        <v>None</v>
      </c>
      <c r="C130" s="175" t="str">
        <f t="shared" ref="C130:F133" ca="1" si="4">IF(OR(ISNA(C126),ISBLANK(INDEX(INDIRECT(C$124),C126,2))),"",INDEX(INDIRECT(C$124),C126,2))</f>
        <v/>
      </c>
      <c r="D130" s="175" t="str">
        <f t="shared" ca="1" si="4"/>
        <v/>
      </c>
      <c r="E130" s="175" t="str">
        <f t="shared" ca="1" si="4"/>
        <v/>
      </c>
      <c r="F130" s="176" t="str">
        <f t="shared" ca="1" si="4"/>
        <v/>
      </c>
      <c r="H130" s="155"/>
      <c r="I130" s="155"/>
      <c r="J130" s="155"/>
      <c r="K130" s="155"/>
      <c r="R130" s="155"/>
    </row>
    <row r="131" spans="1:18" s="65" customFormat="1" outlineLevel="1" x14ac:dyDescent="0.2">
      <c r="A131" s="672"/>
      <c r="B131" s="165" t="str">
        <f>B127</f>
        <v>Poured Block</v>
      </c>
      <c r="C131" s="177" t="str">
        <f t="shared" ca="1" si="4"/>
        <v/>
      </c>
      <c r="D131" s="177" t="str">
        <f t="shared" ca="1" si="4"/>
        <v/>
      </c>
      <c r="E131" s="177" t="str">
        <f t="shared" ca="1" si="4"/>
        <v/>
      </c>
      <c r="F131" s="178" t="str">
        <f t="shared" ca="1" si="4"/>
        <v/>
      </c>
      <c r="H131" s="155"/>
      <c r="I131" s="155"/>
      <c r="J131" s="155"/>
      <c r="K131" s="155"/>
      <c r="R131" s="155"/>
    </row>
    <row r="132" spans="1:18" s="65" customFormat="1" outlineLevel="1" x14ac:dyDescent="0.2">
      <c r="A132" s="672"/>
      <c r="B132" s="165" t="str">
        <f>B128</f>
        <v>Placed Block</v>
      </c>
      <c r="C132" s="177" t="str">
        <f t="shared" ca="1" si="4"/>
        <v/>
      </c>
      <c r="D132" s="177" t="str">
        <f t="shared" ca="1" si="4"/>
        <v/>
      </c>
      <c r="E132" s="177" t="str">
        <f t="shared" ca="1" si="4"/>
        <v/>
      </c>
      <c r="F132" s="178" t="str">
        <f t="shared" ca="1" si="4"/>
        <v/>
      </c>
      <c r="H132" s="155"/>
      <c r="I132" s="155"/>
      <c r="J132" s="155"/>
      <c r="K132" s="155"/>
    </row>
    <row r="133" spans="1:18" s="65" customFormat="1" ht="13.5" outlineLevel="1" thickBot="1" x14ac:dyDescent="0.25">
      <c r="A133" s="673"/>
      <c r="B133" s="168" t="str">
        <f>B129</f>
        <v>Slotted Block</v>
      </c>
      <c r="C133" s="179" t="str">
        <f t="shared" ca="1" si="4"/>
        <v/>
      </c>
      <c r="D133" s="179" t="str">
        <f t="shared" ca="1" si="4"/>
        <v/>
      </c>
      <c r="E133" s="179" t="str">
        <f t="shared" ca="1" si="4"/>
        <v/>
      </c>
      <c r="F133" s="180" t="str">
        <f t="shared" ca="1" si="4"/>
        <v/>
      </c>
      <c r="H133" s="155"/>
      <c r="I133" s="155"/>
      <c r="J133" s="155"/>
      <c r="K133" s="155"/>
    </row>
    <row r="134" spans="1:18" s="65" customFormat="1" ht="13.5" customHeight="1" thickBot="1" x14ac:dyDescent="0.25">
      <c r="A134" s="459"/>
      <c r="B134" s="670"/>
      <c r="C134" s="670"/>
      <c r="D134" s="460"/>
      <c r="E134" s="460"/>
      <c r="F134" s="460"/>
      <c r="H134" s="155"/>
      <c r="I134" s="155"/>
      <c r="J134" s="155"/>
      <c r="K134" s="155"/>
    </row>
    <row r="135" spans="1:18" s="65" customFormat="1" ht="12.75" customHeight="1" outlineLevel="2" x14ac:dyDescent="0.2">
      <c r="A135" s="671" t="s">
        <v>277</v>
      </c>
      <c r="B135" s="457" t="s">
        <v>202</v>
      </c>
      <c r="C135" s="448" t="e">
        <f>C$19</f>
        <v>#N/A</v>
      </c>
      <c r="D135" s="448" t="e">
        <f t="shared" ref="D135:F135" si="5">D$19</f>
        <v>#N/A</v>
      </c>
      <c r="E135" s="448" t="e">
        <f t="shared" si="5"/>
        <v>#N/A</v>
      </c>
      <c r="F135" s="449" t="e">
        <f t="shared" si="5"/>
        <v>#N/A</v>
      </c>
      <c r="H135" s="155"/>
      <c r="I135" s="155"/>
      <c r="J135" s="155"/>
      <c r="K135" s="155"/>
      <c r="R135" s="155"/>
    </row>
    <row r="136" spans="1:18" s="65" customFormat="1" outlineLevel="2" x14ac:dyDescent="0.2">
      <c r="A136" s="672"/>
      <c r="B136" s="165" t="s">
        <v>249</v>
      </c>
      <c r="C136" s="442">
        <f>VLOOKUP("Effective SSD",'Table References'!$D$37:$E$44,2)</f>
        <v>12</v>
      </c>
      <c r="D136" s="442">
        <f>VLOOKUP("Effective SSD",'Table References'!$D$37:$E$44,2)</f>
        <v>12</v>
      </c>
      <c r="E136" s="442">
        <f>VLOOKUP("Effective SSD",'Table References'!$D$37:$E$44,2)</f>
        <v>12</v>
      </c>
      <c r="F136" s="443">
        <f>VLOOKUP("Effective SSD",'Table References'!$D$37:$E$44,2)</f>
        <v>12</v>
      </c>
      <c r="H136" s="155"/>
      <c r="I136" s="155"/>
      <c r="J136" s="155"/>
      <c r="K136" s="155"/>
      <c r="R136" s="155"/>
    </row>
    <row r="137" spans="1:18" s="65" customFormat="1" ht="12.75" customHeight="1" outlineLevel="2" x14ac:dyDescent="0.2">
      <c r="A137" s="672"/>
      <c r="B137" s="147" t="s">
        <v>118</v>
      </c>
      <c r="C137" s="442" t="e">
        <f>INDEX('Table References'!$D$3:$G$34,C136,MATCH(C135,'Table References'!$D$2:$G$2,0))</f>
        <v>#N/A</v>
      </c>
      <c r="D137" s="442" t="e">
        <f>INDEX('Table References'!$D$3:$G$34,D136,MATCH(D135,'Table References'!$D$2:$G$2,0))</f>
        <v>#N/A</v>
      </c>
      <c r="E137" s="442" t="e">
        <f>INDEX('Table References'!$D$3:$G$34,E136,MATCH(E135,'Table References'!$D$2:$G$2,0))</f>
        <v>#N/A</v>
      </c>
      <c r="F137" s="443" t="e">
        <f>INDEX('Table References'!$D$3:$G$34,F136,MATCH(F135,'Table References'!$D$2:$G$2,0))</f>
        <v>#N/A</v>
      </c>
      <c r="H137" s="155"/>
      <c r="I137" s="155"/>
      <c r="J137" s="155"/>
      <c r="K137" s="155"/>
      <c r="R137" s="155"/>
    </row>
    <row r="138" spans="1:18" s="65" customFormat="1" ht="12.75" customHeight="1" outlineLevel="2" thickBot="1" x14ac:dyDescent="0.25">
      <c r="A138" s="672"/>
      <c r="B138" s="147" t="s">
        <v>124</v>
      </c>
      <c r="C138" s="442" t="e">
        <f ca="1">ROWS(INDIRECT(C137))</f>
        <v>#N/A</v>
      </c>
      <c r="D138" s="442" t="e">
        <f t="shared" ref="D138:F138" ca="1" si="6">ROWS(INDIRECT(D137))</f>
        <v>#N/A</v>
      </c>
      <c r="E138" s="442" t="e">
        <f t="shared" ca="1" si="6"/>
        <v>#N/A</v>
      </c>
      <c r="F138" s="443" t="e">
        <f t="shared" ca="1" si="6"/>
        <v>#N/A</v>
      </c>
      <c r="H138" s="155"/>
      <c r="I138" s="155"/>
      <c r="J138" s="155"/>
      <c r="K138" s="155"/>
      <c r="R138" s="155"/>
    </row>
    <row r="139" spans="1:18" s="65" customFormat="1" ht="13.5" outlineLevel="2" thickBot="1" x14ac:dyDescent="0.25">
      <c r="A139" s="673"/>
      <c r="B139" s="458" t="s">
        <v>277</v>
      </c>
      <c r="C139" s="181" t="e">
        <f ca="1">INDEX(INDIRECT(C137),1,2)</f>
        <v>#N/A</v>
      </c>
      <c r="D139" s="181" t="e">
        <f t="shared" ref="D139:F139" ca="1" si="7">INDEX(INDIRECT(D137),1,2)</f>
        <v>#N/A</v>
      </c>
      <c r="E139" s="181" t="e">
        <f t="shared" ca="1" si="7"/>
        <v>#N/A</v>
      </c>
      <c r="F139" s="182" t="e">
        <f t="shared" ca="1" si="7"/>
        <v>#N/A</v>
      </c>
      <c r="H139" s="155"/>
      <c r="I139" s="155"/>
      <c r="J139" s="155"/>
      <c r="K139" s="155"/>
      <c r="R139" s="155"/>
    </row>
    <row r="140" spans="1:18" s="65" customFormat="1" ht="13.5" thickBot="1" x14ac:dyDescent="0.25">
      <c r="A140" s="183"/>
      <c r="B140" s="676"/>
      <c r="C140" s="676"/>
      <c r="H140" s="155"/>
      <c r="I140" s="155"/>
      <c r="J140" s="155"/>
      <c r="K140" s="155"/>
    </row>
    <row r="141" spans="1:18" s="65" customFormat="1" outlineLevel="1" x14ac:dyDescent="0.2">
      <c r="A141" s="665" t="s">
        <v>105</v>
      </c>
      <c r="B141" s="170" t="s">
        <v>341</v>
      </c>
      <c r="C141" s="448" t="e">
        <f>C$19</f>
        <v>#N/A</v>
      </c>
      <c r="D141" s="448" t="e">
        <f>D$19</f>
        <v>#N/A</v>
      </c>
      <c r="E141" s="448" t="e">
        <f>E$19</f>
        <v>#N/A</v>
      </c>
      <c r="F141" s="449" t="e">
        <f>F$19</f>
        <v>#N/A</v>
      </c>
      <c r="H141" s="155"/>
      <c r="I141" s="155"/>
      <c r="J141" s="155"/>
      <c r="K141" s="155"/>
    </row>
    <row r="142" spans="1:18" s="65" customFormat="1" outlineLevel="1" x14ac:dyDescent="0.2">
      <c r="A142" s="666"/>
      <c r="B142" s="87" t="s">
        <v>249</v>
      </c>
      <c r="C142" s="442">
        <f>VLOOKUP("TPR",'Table References'!$D$37:$E$44,2)</f>
        <v>24</v>
      </c>
      <c r="D142" s="442">
        <f>VLOOKUP("TPR",'Table References'!$D$37:$E$44,2)</f>
        <v>24</v>
      </c>
      <c r="E142" s="442">
        <f>VLOOKUP("TPR",'Table References'!$D$37:$E$44,2)</f>
        <v>24</v>
      </c>
      <c r="F142" s="443">
        <f>VLOOKUP("TPR",'Table References'!$D$37:$E$44,2)</f>
        <v>24</v>
      </c>
      <c r="H142" s="155"/>
      <c r="I142" s="155"/>
      <c r="J142" s="155"/>
      <c r="K142" s="155"/>
    </row>
    <row r="143" spans="1:18" s="65" customFormat="1" outlineLevel="1" x14ac:dyDescent="0.2">
      <c r="A143" s="666"/>
      <c r="B143" s="1" t="s">
        <v>118</v>
      </c>
      <c r="C143" s="442" t="e">
        <f>INDEX('Table References'!$D$3:$G$34,C142,MATCH(C141,'Table References'!$D$2:$G$2,0))</f>
        <v>#N/A</v>
      </c>
      <c r="D143" s="442" t="e">
        <f>INDEX('Table References'!$D$3:$G$34,D142,MATCH(D141,'Table References'!$D$2:$G$2,0))</f>
        <v>#N/A</v>
      </c>
      <c r="E143" s="442" t="e">
        <f>INDEX('Table References'!$D$3:$G$34,E142,MATCH(E141,'Table References'!$D$2:$G$2,0))</f>
        <v>#N/A</v>
      </c>
      <c r="F143" s="443" t="e">
        <f>INDEX('Table References'!$D$3:$G$34,F142,MATCH(F141,'Table References'!$D$2:$G$2,0))</f>
        <v>#N/A</v>
      </c>
      <c r="H143" s="155"/>
      <c r="I143" s="155"/>
      <c r="J143" s="155"/>
      <c r="K143" s="155"/>
    </row>
    <row r="144" spans="1:18" s="65" customFormat="1" outlineLevel="1" x14ac:dyDescent="0.2">
      <c r="A144" s="666"/>
      <c r="B144" s="1" t="s">
        <v>124</v>
      </c>
      <c r="C144" s="442" t="e">
        <f ca="1">ROWS(INDIRECT(C143))</f>
        <v>#N/A</v>
      </c>
      <c r="D144" s="442" t="e">
        <f t="shared" ref="D144:F144" ca="1" si="8">ROWS(INDIRECT(D143))</f>
        <v>#N/A</v>
      </c>
      <c r="E144" s="442" t="e">
        <f t="shared" ca="1" si="8"/>
        <v>#N/A</v>
      </c>
      <c r="F144" s="443" t="e">
        <f t="shared" ca="1" si="8"/>
        <v>#N/A</v>
      </c>
      <c r="H144" s="155"/>
      <c r="I144" s="155"/>
      <c r="J144" s="155"/>
      <c r="K144" s="155"/>
    </row>
    <row r="145" spans="1:11" s="65" customFormat="1" outlineLevel="1" x14ac:dyDescent="0.2">
      <c r="A145" s="666"/>
      <c r="B145" s="1" t="s">
        <v>125</v>
      </c>
      <c r="C145" s="442" t="e">
        <f ca="1">COLUMNS(INDIRECT(C143))</f>
        <v>#N/A</v>
      </c>
      <c r="D145" s="442" t="e">
        <f t="shared" ref="D145:F145" ca="1" si="9">COLUMNS(INDIRECT(D143))</f>
        <v>#N/A</v>
      </c>
      <c r="E145" s="442" t="e">
        <f t="shared" ca="1" si="9"/>
        <v>#N/A</v>
      </c>
      <c r="F145" s="443" t="e">
        <f t="shared" ca="1" si="9"/>
        <v>#N/A</v>
      </c>
      <c r="H145" s="155"/>
      <c r="I145" s="155"/>
      <c r="J145" s="155"/>
      <c r="K145" s="155"/>
    </row>
    <row r="146" spans="1:11" s="65" customFormat="1" outlineLevel="1" x14ac:dyDescent="0.2">
      <c r="A146" s="666"/>
      <c r="B146" s="1" t="s">
        <v>24</v>
      </c>
      <c r="C146" s="444">
        <f>C$18</f>
        <v>100</v>
      </c>
      <c r="D146" s="444">
        <f t="shared" ref="D146:F146" si="10">D$18</f>
        <v>100</v>
      </c>
      <c r="E146" s="444">
        <f t="shared" si="10"/>
        <v>100</v>
      </c>
      <c r="F146" s="445">
        <f t="shared" si="10"/>
        <v>100</v>
      </c>
      <c r="H146" s="155"/>
      <c r="I146" s="155"/>
      <c r="J146" s="155"/>
      <c r="K146" s="155"/>
    </row>
    <row r="147" spans="1:11" s="65" customFormat="1" outlineLevel="1" x14ac:dyDescent="0.2">
      <c r="A147" s="666"/>
      <c r="B147" s="1" t="s">
        <v>31</v>
      </c>
      <c r="C147" s="446" t="e">
        <f>C$17</f>
        <v>#DIV/0!</v>
      </c>
      <c r="D147" s="446" t="e">
        <f t="shared" ref="D147:F147" si="11">D$17</f>
        <v>#DIV/0!</v>
      </c>
      <c r="E147" s="446" t="e">
        <f t="shared" si="11"/>
        <v>#DIV/0!</v>
      </c>
      <c r="F147" s="447" t="e">
        <f t="shared" si="11"/>
        <v>#DIV/0!</v>
      </c>
      <c r="H147" s="155"/>
      <c r="I147" s="155"/>
      <c r="J147" s="155"/>
      <c r="K147" s="155"/>
    </row>
    <row r="148" spans="1:11" s="65" customFormat="1" outlineLevel="1" x14ac:dyDescent="0.2">
      <c r="A148" s="666"/>
      <c r="B148" s="1" t="s">
        <v>157</v>
      </c>
      <c r="C148" s="442" t="e">
        <f ca="1">MATCH(C146,OFFSET(INDIRECT(C143),0,0,C144,1),1)</f>
        <v>#N/A</v>
      </c>
      <c r="D148" s="442" t="e">
        <f t="shared" ref="D148:F148" ca="1" si="12">MATCH(D146,OFFSET(INDIRECT(D143),0,0,D144,1),1)</f>
        <v>#N/A</v>
      </c>
      <c r="E148" s="442" t="e">
        <f t="shared" ca="1" si="12"/>
        <v>#N/A</v>
      </c>
      <c r="F148" s="443" t="e">
        <f t="shared" ca="1" si="12"/>
        <v>#N/A</v>
      </c>
      <c r="H148" s="155"/>
      <c r="I148" s="155"/>
      <c r="J148" s="155"/>
      <c r="K148" s="155"/>
    </row>
    <row r="149" spans="1:11" s="65" customFormat="1" outlineLevel="1" x14ac:dyDescent="0.2">
      <c r="A149" s="666"/>
      <c r="B149" s="1" t="s">
        <v>156</v>
      </c>
      <c r="C149" s="442" t="e">
        <f ca="1">MATCH(C147,OFFSET(INDIRECT(C143),0,0,1,C145),1)</f>
        <v>#DIV/0!</v>
      </c>
      <c r="D149" s="442" t="e">
        <f t="shared" ref="D149:F149" ca="1" si="13">MATCH(D147,OFFSET(INDIRECT(D143),0,0,1,D145),1)</f>
        <v>#DIV/0!</v>
      </c>
      <c r="E149" s="442" t="e">
        <f t="shared" ca="1" si="13"/>
        <v>#DIV/0!</v>
      </c>
      <c r="F149" s="443" t="e">
        <f t="shared" ca="1" si="13"/>
        <v>#DIV/0!</v>
      </c>
      <c r="H149" s="155"/>
      <c r="I149" s="155"/>
      <c r="J149" s="155"/>
      <c r="K149" s="155"/>
    </row>
    <row r="150" spans="1:11" s="65" customFormat="1" outlineLevel="1" x14ac:dyDescent="0.2">
      <c r="A150" s="666"/>
      <c r="B150" s="1" t="s">
        <v>36</v>
      </c>
      <c r="C150" s="160" t="e">
        <f ca="1">INDEX(INDIRECT(C143),C148,1)</f>
        <v>#N/A</v>
      </c>
      <c r="D150" s="160" t="e">
        <f t="shared" ref="D150:F150" ca="1" si="14">INDEX(INDIRECT(D143),D148,1)</f>
        <v>#N/A</v>
      </c>
      <c r="E150" s="160" t="e">
        <f t="shared" ca="1" si="14"/>
        <v>#N/A</v>
      </c>
      <c r="F150" s="461" t="e">
        <f t="shared" ca="1" si="14"/>
        <v>#N/A</v>
      </c>
      <c r="H150" s="155"/>
      <c r="I150" s="155"/>
      <c r="J150" s="155"/>
      <c r="K150" s="155"/>
    </row>
    <row r="151" spans="1:11" s="65" customFormat="1" outlineLevel="1" x14ac:dyDescent="0.2">
      <c r="A151" s="666"/>
      <c r="B151" s="1" t="s">
        <v>37</v>
      </c>
      <c r="C151" s="160" t="e">
        <f ca="1">INDEX(INDIRECT(C143),C148+1,1)</f>
        <v>#N/A</v>
      </c>
      <c r="D151" s="160" t="e">
        <f t="shared" ref="D151:F151" ca="1" si="15">INDEX(INDIRECT(D143),D148+1,1)</f>
        <v>#N/A</v>
      </c>
      <c r="E151" s="160" t="e">
        <f t="shared" ca="1" si="15"/>
        <v>#N/A</v>
      </c>
      <c r="F151" s="461" t="e">
        <f t="shared" ca="1" si="15"/>
        <v>#N/A</v>
      </c>
      <c r="H151" s="155"/>
      <c r="I151" s="155"/>
      <c r="J151" s="155"/>
      <c r="K151" s="155"/>
    </row>
    <row r="152" spans="1:11" s="65" customFormat="1" outlineLevel="1" x14ac:dyDescent="0.2">
      <c r="A152" s="666"/>
      <c r="B152" s="1" t="s">
        <v>38</v>
      </c>
      <c r="C152" s="160" t="e">
        <f ca="1">INDEX(INDIRECT(C143),1,C149)</f>
        <v>#N/A</v>
      </c>
      <c r="D152" s="160" t="e">
        <f t="shared" ref="D152:F152" ca="1" si="16">INDEX(INDIRECT(D143),1,D149)</f>
        <v>#N/A</v>
      </c>
      <c r="E152" s="160" t="e">
        <f t="shared" ca="1" si="16"/>
        <v>#N/A</v>
      </c>
      <c r="F152" s="461" t="e">
        <f t="shared" ca="1" si="16"/>
        <v>#N/A</v>
      </c>
      <c r="H152" s="155"/>
      <c r="I152" s="155"/>
      <c r="J152" s="155"/>
      <c r="K152" s="155"/>
    </row>
    <row r="153" spans="1:11" s="65" customFormat="1" outlineLevel="1" x14ac:dyDescent="0.2">
      <c r="A153" s="666"/>
      <c r="B153" s="1" t="s">
        <v>39</v>
      </c>
      <c r="C153" s="160" t="e">
        <f ca="1">INDEX(INDIRECT(C143),1,C149+1)</f>
        <v>#N/A</v>
      </c>
      <c r="D153" s="160" t="e">
        <f t="shared" ref="D153:F153" ca="1" si="17">INDEX(INDIRECT(D143),1,D149+1)</f>
        <v>#N/A</v>
      </c>
      <c r="E153" s="160" t="e">
        <f t="shared" ca="1" si="17"/>
        <v>#N/A</v>
      </c>
      <c r="F153" s="461" t="e">
        <f t="shared" ca="1" si="17"/>
        <v>#N/A</v>
      </c>
      <c r="H153" s="155"/>
      <c r="I153" s="155"/>
      <c r="J153" s="155"/>
      <c r="K153" s="155"/>
    </row>
    <row r="154" spans="1:11" s="65" customFormat="1" outlineLevel="1" x14ac:dyDescent="0.2">
      <c r="A154" s="666"/>
      <c r="B154" s="1" t="s">
        <v>44</v>
      </c>
      <c r="C154" s="462" t="e">
        <f ca="1">INDEX(INDIRECT(C143),C148,C149)</f>
        <v>#N/A</v>
      </c>
      <c r="D154" s="462" t="e">
        <f t="shared" ref="D154:F154" ca="1" si="18">INDEX(INDIRECT(D143),D148,D149)</f>
        <v>#N/A</v>
      </c>
      <c r="E154" s="462" t="e">
        <f t="shared" ca="1" si="18"/>
        <v>#N/A</v>
      </c>
      <c r="F154" s="463" t="e">
        <f t="shared" ca="1" si="18"/>
        <v>#N/A</v>
      </c>
      <c r="H154" s="155"/>
      <c r="I154" s="155"/>
      <c r="J154" s="155"/>
      <c r="K154" s="155"/>
    </row>
    <row r="155" spans="1:11" s="65" customFormat="1" outlineLevel="1" x14ac:dyDescent="0.2">
      <c r="A155" s="666"/>
      <c r="B155" s="1" t="s">
        <v>45</v>
      </c>
      <c r="C155" s="462" t="e">
        <f ca="1">INDEX(INDIRECT(C143),C148+1,C149)</f>
        <v>#N/A</v>
      </c>
      <c r="D155" s="462" t="e">
        <f t="shared" ref="D155:F155" ca="1" si="19">INDEX(INDIRECT(D143),D148+1,D149)</f>
        <v>#N/A</v>
      </c>
      <c r="E155" s="462" t="e">
        <f t="shared" ca="1" si="19"/>
        <v>#N/A</v>
      </c>
      <c r="F155" s="463" t="e">
        <f t="shared" ca="1" si="19"/>
        <v>#N/A</v>
      </c>
      <c r="H155" s="155"/>
      <c r="I155" s="155"/>
      <c r="J155" s="155"/>
      <c r="K155" s="155"/>
    </row>
    <row r="156" spans="1:11" s="65" customFormat="1" outlineLevel="1" x14ac:dyDescent="0.2">
      <c r="A156" s="666"/>
      <c r="B156" s="1" t="s">
        <v>46</v>
      </c>
      <c r="C156" s="462" t="e">
        <f ca="1">INDEX(INDIRECT(C143),C148,C149+1)</f>
        <v>#N/A</v>
      </c>
      <c r="D156" s="462" t="e">
        <f t="shared" ref="D156:F156" ca="1" si="20">INDEX(INDIRECT(D143),D148,D149+1)</f>
        <v>#N/A</v>
      </c>
      <c r="E156" s="462" t="e">
        <f t="shared" ca="1" si="20"/>
        <v>#N/A</v>
      </c>
      <c r="F156" s="463" t="e">
        <f t="shared" ca="1" si="20"/>
        <v>#N/A</v>
      </c>
      <c r="H156" s="155"/>
      <c r="I156" s="155"/>
      <c r="J156" s="155"/>
      <c r="K156" s="155"/>
    </row>
    <row r="157" spans="1:11" s="65" customFormat="1" outlineLevel="1" x14ac:dyDescent="0.2">
      <c r="A157" s="666"/>
      <c r="B157" s="1" t="s">
        <v>47</v>
      </c>
      <c r="C157" s="462" t="e">
        <f ca="1">INDEX(INDIRECT(C143),C148+1,C149+1)</f>
        <v>#N/A</v>
      </c>
      <c r="D157" s="462" t="e">
        <f t="shared" ref="D157:F157" ca="1" si="21">INDEX(INDIRECT(D143),D148+1,D149+1)</f>
        <v>#N/A</v>
      </c>
      <c r="E157" s="462" t="e">
        <f t="shared" ca="1" si="21"/>
        <v>#N/A</v>
      </c>
      <c r="F157" s="463" t="e">
        <f t="shared" ca="1" si="21"/>
        <v>#N/A</v>
      </c>
      <c r="H157" s="155"/>
      <c r="I157" s="155"/>
      <c r="J157" s="155"/>
      <c r="K157" s="155"/>
    </row>
    <row r="158" spans="1:11" s="65" customFormat="1" outlineLevel="1" x14ac:dyDescent="0.2">
      <c r="A158" s="666"/>
      <c r="B158" s="1" t="s">
        <v>25</v>
      </c>
      <c r="C158" s="441" t="e">
        <f ca="1">AVERAGE((C155-C154)/(C151-C150),(C157-C156)/(C151-C150))</f>
        <v>#N/A</v>
      </c>
      <c r="D158" s="441" t="e">
        <f t="shared" ref="D158:F158" ca="1" si="22">AVERAGE((D155-D154)/(D151-D150),(D157-D156)/(D151-D150))</f>
        <v>#N/A</v>
      </c>
      <c r="E158" s="441" t="e">
        <f t="shared" ca="1" si="22"/>
        <v>#N/A</v>
      </c>
      <c r="F158" s="464" t="e">
        <f t="shared" ca="1" si="22"/>
        <v>#N/A</v>
      </c>
      <c r="H158" s="155"/>
      <c r="I158" s="155"/>
      <c r="J158" s="155"/>
      <c r="K158" s="155"/>
    </row>
    <row r="159" spans="1:11" s="65" customFormat="1" outlineLevel="1" x14ac:dyDescent="0.2">
      <c r="A159" s="666"/>
      <c r="B159" s="1" t="s">
        <v>26</v>
      </c>
      <c r="C159" s="441" t="e">
        <f ca="1">AVERAGE((C156-C154)/(C153-C152),(C157-C155)/(C153-C152))</f>
        <v>#N/A</v>
      </c>
      <c r="D159" s="441" t="e">
        <f t="shared" ref="D159:F159" ca="1" si="23">AVERAGE((D156-D154)/(D153-D152),(D157-D155)/(D153-D152))</f>
        <v>#N/A</v>
      </c>
      <c r="E159" s="441" t="e">
        <f t="shared" ca="1" si="23"/>
        <v>#N/A</v>
      </c>
      <c r="F159" s="464" t="e">
        <f t="shared" ca="1" si="23"/>
        <v>#N/A</v>
      </c>
      <c r="H159" s="155"/>
      <c r="I159" s="155"/>
      <c r="J159" s="155"/>
      <c r="K159" s="155"/>
    </row>
    <row r="160" spans="1:11" s="65" customFormat="1" outlineLevel="1" x14ac:dyDescent="0.2">
      <c r="A160" s="666"/>
      <c r="B160" s="1" t="s">
        <v>27</v>
      </c>
      <c r="C160" s="441" t="e">
        <f ca="1">C154-C158*C150-C159*C152</f>
        <v>#N/A</v>
      </c>
      <c r="D160" s="441" t="e">
        <f t="shared" ref="D160:F160" ca="1" si="24">D154-D158*D150-D159*D152</f>
        <v>#N/A</v>
      </c>
      <c r="E160" s="441" t="e">
        <f t="shared" ca="1" si="24"/>
        <v>#N/A</v>
      </c>
      <c r="F160" s="464" t="e">
        <f t="shared" ca="1" si="24"/>
        <v>#N/A</v>
      </c>
      <c r="H160" s="155"/>
      <c r="I160" s="155"/>
      <c r="J160" s="155"/>
      <c r="K160" s="155"/>
    </row>
    <row r="161" spans="1:11" s="65" customFormat="1" ht="12.75" customHeight="1" outlineLevel="1" thickBot="1" x14ac:dyDescent="0.25">
      <c r="A161" s="667"/>
      <c r="B161" s="152" t="s">
        <v>8</v>
      </c>
      <c r="C161" s="465" t="e">
        <f ca="1">C158*C146+C159*C147+C160</f>
        <v>#N/A</v>
      </c>
      <c r="D161" s="465" t="e">
        <f t="shared" ref="D161:F161" ca="1" si="25">D158*D146+D159*D147+D160</f>
        <v>#N/A</v>
      </c>
      <c r="E161" s="465" t="e">
        <f t="shared" ca="1" si="25"/>
        <v>#N/A</v>
      </c>
      <c r="F161" s="466" t="e">
        <f t="shared" ca="1" si="25"/>
        <v>#N/A</v>
      </c>
      <c r="H161" s="155"/>
      <c r="I161" s="155"/>
      <c r="J161" s="155"/>
      <c r="K161" s="155"/>
    </row>
    <row r="162" spans="1:11" s="65" customFormat="1" ht="13.5" thickBot="1" x14ac:dyDescent="0.25">
      <c r="A162" s="155"/>
      <c r="B162" s="169"/>
      <c r="C162" s="169"/>
      <c r="H162" s="155"/>
      <c r="I162" s="155"/>
      <c r="J162" s="155"/>
      <c r="K162" s="155"/>
    </row>
    <row r="163" spans="1:11" s="65" customFormat="1" ht="12.75" customHeight="1" outlineLevel="1" x14ac:dyDescent="0.2">
      <c r="A163" s="665" t="s">
        <v>103</v>
      </c>
      <c r="B163" s="170" t="s">
        <v>341</v>
      </c>
      <c r="C163" s="448" t="e">
        <f>C$19</f>
        <v>#N/A</v>
      </c>
      <c r="D163" s="448" t="e">
        <f>D$19</f>
        <v>#N/A</v>
      </c>
      <c r="E163" s="448" t="e">
        <f>E$19</f>
        <v>#N/A</v>
      </c>
      <c r="F163" s="449" t="e">
        <f>F$19</f>
        <v>#N/A</v>
      </c>
      <c r="H163" s="155"/>
      <c r="I163" s="155"/>
      <c r="J163" s="155"/>
      <c r="K163" s="155"/>
    </row>
    <row r="164" spans="1:11" s="65" customFormat="1" outlineLevel="1" x14ac:dyDescent="0.2">
      <c r="A164" s="666"/>
      <c r="B164" s="87" t="s">
        <v>249</v>
      </c>
      <c r="C164" s="442">
        <f>VLOOKUP("RDF",'Table References'!$D$37:$E$44,2)</f>
        <v>4</v>
      </c>
      <c r="D164" s="442">
        <f>VLOOKUP("RDF",'Table References'!$D$37:$E$44,2)</f>
        <v>4</v>
      </c>
      <c r="E164" s="442">
        <f>VLOOKUP("RDF",'Table References'!$D$37:$E$44,2)</f>
        <v>4</v>
      </c>
      <c r="F164" s="443">
        <f>VLOOKUP("RDF",'Table References'!$D$37:$E$44,2)</f>
        <v>4</v>
      </c>
      <c r="H164" s="155"/>
      <c r="I164" s="155"/>
      <c r="J164" s="155"/>
      <c r="K164" s="155"/>
    </row>
    <row r="165" spans="1:11" s="65" customFormat="1" outlineLevel="1" x14ac:dyDescent="0.2">
      <c r="A165" s="666"/>
      <c r="B165" s="1" t="s">
        <v>118</v>
      </c>
      <c r="C165" s="442" t="e">
        <f>INDEX('Table References'!$D$3:$G$34,C164,MATCH(C163,'Table References'!$D$2:$G$2,0))</f>
        <v>#N/A</v>
      </c>
      <c r="D165" s="442" t="e">
        <f>INDEX('Table References'!$D$3:$G$34,D164,MATCH(D163,'Table References'!$D$2:$G$2,0))</f>
        <v>#N/A</v>
      </c>
      <c r="E165" s="442" t="e">
        <f>INDEX('Table References'!$D$3:$G$34,E164,MATCH(E163,'Table References'!$D$2:$G$2,0))</f>
        <v>#N/A</v>
      </c>
      <c r="F165" s="443" t="e">
        <f>INDEX('Table References'!$D$3:$G$34,F164,MATCH(F163,'Table References'!$D$2:$G$2,0))</f>
        <v>#N/A</v>
      </c>
      <c r="H165" s="155"/>
      <c r="I165" s="155"/>
      <c r="J165" s="155"/>
      <c r="K165" s="155"/>
    </row>
    <row r="166" spans="1:11" s="65" customFormat="1" outlineLevel="1" x14ac:dyDescent="0.2">
      <c r="A166" s="666"/>
      <c r="B166" s="1" t="s">
        <v>124</v>
      </c>
      <c r="C166" s="442" t="e">
        <f ca="1">ROWS(INDIRECT(C165))</f>
        <v>#N/A</v>
      </c>
      <c r="D166" s="442" t="e">
        <f ca="1">ROWS(INDIRECT(D165))</f>
        <v>#N/A</v>
      </c>
      <c r="E166" s="442" t="e">
        <f ca="1">ROWS(INDIRECT(E165))</f>
        <v>#N/A</v>
      </c>
      <c r="F166" s="443" t="e">
        <f ca="1">ROWS(INDIRECT(F165))</f>
        <v>#N/A</v>
      </c>
      <c r="H166" s="155"/>
      <c r="I166" s="155"/>
      <c r="J166" s="155"/>
      <c r="K166" s="155"/>
    </row>
    <row r="167" spans="1:11" s="65" customFormat="1" outlineLevel="1" x14ac:dyDescent="0.2">
      <c r="A167" s="666"/>
      <c r="B167" s="1" t="s">
        <v>125</v>
      </c>
      <c r="C167" s="442" t="e">
        <f ca="1">COLUMNS(INDIRECT(C165))</f>
        <v>#N/A</v>
      </c>
      <c r="D167" s="442" t="e">
        <f ca="1">COLUMNS(INDIRECT(D165))</f>
        <v>#N/A</v>
      </c>
      <c r="E167" s="442" t="e">
        <f ca="1">COLUMNS(INDIRECT(E165))</f>
        <v>#N/A</v>
      </c>
      <c r="F167" s="443" t="e">
        <f ca="1">COLUMNS(INDIRECT(F165))</f>
        <v>#N/A</v>
      </c>
      <c r="H167" s="155"/>
      <c r="I167" s="155"/>
      <c r="J167" s="155"/>
      <c r="K167" s="155"/>
    </row>
    <row r="168" spans="1:11" s="65" customFormat="1" outlineLevel="1" x14ac:dyDescent="0.2">
      <c r="A168" s="666"/>
      <c r="B168" s="1" t="s">
        <v>122</v>
      </c>
      <c r="C168" s="467">
        <f>C$15</f>
        <v>0</v>
      </c>
      <c r="D168" s="467">
        <f t="shared" ref="D168:F168" si="26">D$15</f>
        <v>0</v>
      </c>
      <c r="E168" s="467">
        <f t="shared" si="26"/>
        <v>0</v>
      </c>
      <c r="F168" s="468">
        <f t="shared" si="26"/>
        <v>0</v>
      </c>
      <c r="H168" s="155"/>
      <c r="I168" s="155"/>
      <c r="J168" s="155"/>
      <c r="K168" s="155"/>
    </row>
    <row r="169" spans="1:11" s="65" customFormat="1" outlineLevel="1" x14ac:dyDescent="0.2">
      <c r="A169" s="666"/>
      <c r="B169" s="1" t="s">
        <v>123</v>
      </c>
      <c r="C169" s="446">
        <f>C$16</f>
        <v>0</v>
      </c>
      <c r="D169" s="446">
        <f t="shared" ref="D169:F169" si="27">D$16</f>
        <v>0</v>
      </c>
      <c r="E169" s="446">
        <f t="shared" si="27"/>
        <v>0</v>
      </c>
      <c r="F169" s="447">
        <f t="shared" si="27"/>
        <v>0</v>
      </c>
      <c r="H169" s="155"/>
      <c r="I169" s="155"/>
      <c r="J169" s="155"/>
      <c r="K169" s="155"/>
    </row>
    <row r="170" spans="1:11" s="65" customFormat="1" ht="13.15" customHeight="1" outlineLevel="1" x14ac:dyDescent="0.2">
      <c r="A170" s="666"/>
      <c r="B170" s="1" t="s">
        <v>119</v>
      </c>
      <c r="C170" s="442" t="e">
        <f ca="1">MATCH(C168,OFFSET(INDIRECT(C165),0,0,C166,1),1)</f>
        <v>#N/A</v>
      </c>
      <c r="D170" s="442" t="e">
        <f ca="1">MATCH(D168,OFFSET(INDIRECT(D165),0,0,D166,1),1)</f>
        <v>#N/A</v>
      </c>
      <c r="E170" s="442" t="e">
        <f ca="1">MATCH(E168,OFFSET(INDIRECT(E165),0,0,E166,1),1)</f>
        <v>#N/A</v>
      </c>
      <c r="F170" s="443" t="e">
        <f ca="1">MATCH(F168,OFFSET(INDIRECT(F165),0,0,F166,1),1)</f>
        <v>#N/A</v>
      </c>
      <c r="H170" s="155"/>
      <c r="I170" s="155"/>
      <c r="J170" s="155"/>
      <c r="K170" s="155"/>
    </row>
    <row r="171" spans="1:11" s="65" customFormat="1" outlineLevel="1" x14ac:dyDescent="0.2">
      <c r="A171" s="666"/>
      <c r="B171" s="1" t="s">
        <v>120</v>
      </c>
      <c r="C171" s="442" t="e">
        <f ca="1">MATCH(C169,OFFSET(INDIRECT(C165),0,0,1,C167),1)</f>
        <v>#N/A</v>
      </c>
      <c r="D171" s="442" t="e">
        <f ca="1">MATCH(D169,OFFSET(INDIRECT(D165),0,0,1,D167),1)</f>
        <v>#N/A</v>
      </c>
      <c r="E171" s="442" t="e">
        <f ca="1">MATCH(E169,OFFSET(INDIRECT(E165),0,0,1,E167),1)</f>
        <v>#N/A</v>
      </c>
      <c r="F171" s="443" t="e">
        <f ca="1">MATCH(F169,OFFSET(INDIRECT(F165),0,0,1,F167),1)</f>
        <v>#N/A</v>
      </c>
      <c r="H171" s="155"/>
      <c r="I171" s="155"/>
      <c r="J171" s="155"/>
      <c r="K171" s="155"/>
    </row>
    <row r="172" spans="1:11" s="65" customFormat="1" outlineLevel="1" x14ac:dyDescent="0.2">
      <c r="A172" s="666"/>
      <c r="B172" s="1" t="s">
        <v>32</v>
      </c>
      <c r="C172" s="160" t="e">
        <f ca="1">INDEX(INDIRECT(C165),C170,1)</f>
        <v>#N/A</v>
      </c>
      <c r="D172" s="160" t="e">
        <f ca="1">INDEX(INDIRECT(D165),D170,1)</f>
        <v>#N/A</v>
      </c>
      <c r="E172" s="160" t="e">
        <f ca="1">INDEX(INDIRECT(E165),E170,1)</f>
        <v>#N/A</v>
      </c>
      <c r="F172" s="461" t="e">
        <f ca="1">INDEX(INDIRECT(F165),F170,1)</f>
        <v>#N/A</v>
      </c>
    </row>
    <row r="173" spans="1:11" s="65" customFormat="1" outlineLevel="1" x14ac:dyDescent="0.2">
      <c r="A173" s="666"/>
      <c r="B173" s="1" t="s">
        <v>33</v>
      </c>
      <c r="C173" s="160" t="e">
        <f ca="1">INDEX(INDIRECT(C165),C170+1,1)</f>
        <v>#N/A</v>
      </c>
      <c r="D173" s="160" t="e">
        <f ca="1">INDEX(INDIRECT(D165),D170+1,1)</f>
        <v>#N/A</v>
      </c>
      <c r="E173" s="160" t="e">
        <f ca="1">INDEX(INDIRECT(E165),E170+1,1)</f>
        <v>#N/A</v>
      </c>
      <c r="F173" s="461" t="e">
        <f ca="1">INDEX(INDIRECT(F165),F170+1,1)</f>
        <v>#N/A</v>
      </c>
    </row>
    <row r="174" spans="1:11" s="65" customFormat="1" outlineLevel="1" x14ac:dyDescent="0.2">
      <c r="A174" s="666"/>
      <c r="B174" s="1" t="s">
        <v>34</v>
      </c>
      <c r="C174" s="160" t="e">
        <f ca="1">INDEX(INDIRECT(C165),1,C171)</f>
        <v>#N/A</v>
      </c>
      <c r="D174" s="160" t="e">
        <f ca="1">INDEX(INDIRECT(D165),1,D171)</f>
        <v>#N/A</v>
      </c>
      <c r="E174" s="160" t="e">
        <f ca="1">INDEX(INDIRECT(E165),1,E171)</f>
        <v>#N/A</v>
      </c>
      <c r="F174" s="461" t="e">
        <f ca="1">INDEX(INDIRECT(F165),1,F171)</f>
        <v>#N/A</v>
      </c>
    </row>
    <row r="175" spans="1:11" s="65" customFormat="1" outlineLevel="1" x14ac:dyDescent="0.2">
      <c r="A175" s="666"/>
      <c r="B175" s="1" t="s">
        <v>35</v>
      </c>
      <c r="C175" s="160" t="e">
        <f ca="1">INDEX(INDIRECT(C165),1,C171+1)</f>
        <v>#N/A</v>
      </c>
      <c r="D175" s="160" t="e">
        <f ca="1">INDEX(INDIRECT(D165),1,D171+1)</f>
        <v>#N/A</v>
      </c>
      <c r="E175" s="160" t="e">
        <f ca="1">INDEX(INDIRECT(E165),1,E171+1)</f>
        <v>#N/A</v>
      </c>
      <c r="F175" s="461" t="e">
        <f ca="1">INDEX(INDIRECT(F165),1,F171+1)</f>
        <v>#N/A</v>
      </c>
    </row>
    <row r="176" spans="1:11" s="65" customFormat="1" outlineLevel="1" x14ac:dyDescent="0.2">
      <c r="A176" s="666"/>
      <c r="B176" s="1" t="s">
        <v>40</v>
      </c>
      <c r="C176" s="462" t="e">
        <f ca="1">INDEX(INDIRECT(C165),C170,C171)</f>
        <v>#N/A</v>
      </c>
      <c r="D176" s="462" t="e">
        <f ca="1">INDEX(INDIRECT(D165),D170,D171)</f>
        <v>#N/A</v>
      </c>
      <c r="E176" s="462" t="e">
        <f ca="1">INDEX(INDIRECT(E165),E170,E171)</f>
        <v>#N/A</v>
      </c>
      <c r="F176" s="463" t="e">
        <f ca="1">INDEX(INDIRECT(F165),F170,F171)</f>
        <v>#N/A</v>
      </c>
    </row>
    <row r="177" spans="1:6" s="65" customFormat="1" outlineLevel="1" x14ac:dyDescent="0.2">
      <c r="A177" s="666"/>
      <c r="B177" s="1" t="s">
        <v>41</v>
      </c>
      <c r="C177" s="462" t="e">
        <f ca="1">INDEX(INDIRECT(C165),C170+1,C171)</f>
        <v>#N/A</v>
      </c>
      <c r="D177" s="462" t="e">
        <f ca="1">INDEX(INDIRECT(D165),D170+1,D171)</f>
        <v>#N/A</v>
      </c>
      <c r="E177" s="462" t="e">
        <f ca="1">INDEX(INDIRECT(E165),E170+1,E171)</f>
        <v>#N/A</v>
      </c>
      <c r="F177" s="463" t="e">
        <f ca="1">INDEX(INDIRECT(F165),F170+1,F171)</f>
        <v>#N/A</v>
      </c>
    </row>
    <row r="178" spans="1:6" s="65" customFormat="1" outlineLevel="1" x14ac:dyDescent="0.2">
      <c r="A178" s="666"/>
      <c r="B178" s="1" t="s">
        <v>42</v>
      </c>
      <c r="C178" s="462" t="e">
        <f ca="1">INDEX(INDIRECT(C165),C170,C171+1)</f>
        <v>#N/A</v>
      </c>
      <c r="D178" s="462" t="e">
        <f ca="1">INDEX(INDIRECT(D165),D170,D171+1)</f>
        <v>#N/A</v>
      </c>
      <c r="E178" s="462" t="e">
        <f ca="1">INDEX(INDIRECT(E165),E170,E171+1)</f>
        <v>#N/A</v>
      </c>
      <c r="F178" s="463" t="e">
        <f ca="1">INDEX(INDIRECT(F165),F170,F171+1)</f>
        <v>#N/A</v>
      </c>
    </row>
    <row r="179" spans="1:6" s="65" customFormat="1" outlineLevel="1" x14ac:dyDescent="0.2">
      <c r="A179" s="666"/>
      <c r="B179" s="1" t="s">
        <v>43</v>
      </c>
      <c r="C179" s="462" t="e">
        <f ca="1">INDEX(INDIRECT(C165),C170+1,C171+1)</f>
        <v>#N/A</v>
      </c>
      <c r="D179" s="462" t="e">
        <f ca="1">INDEX(INDIRECT(D165),D170+1,D171+1)</f>
        <v>#N/A</v>
      </c>
      <c r="E179" s="462" t="e">
        <f ca="1">INDEX(INDIRECT(E165),E170+1,E171+1)</f>
        <v>#N/A</v>
      </c>
      <c r="F179" s="463" t="e">
        <f ca="1">INDEX(INDIRECT(F165),F170+1,F171+1)</f>
        <v>#N/A</v>
      </c>
    </row>
    <row r="180" spans="1:6" s="65" customFormat="1" outlineLevel="1" x14ac:dyDescent="0.2">
      <c r="A180" s="666"/>
      <c r="B180" s="1" t="s">
        <v>25</v>
      </c>
      <c r="C180" s="441" t="e">
        <f ca="1">AVERAGE((C177-C176)/(C173-C172),(C179-C178)/(C173-C172))</f>
        <v>#N/A</v>
      </c>
      <c r="D180" s="441" t="e">
        <f ca="1">AVERAGE((D177-D176)/(D173-D172),(D179-D178)/(D173-D172))</f>
        <v>#N/A</v>
      </c>
      <c r="E180" s="441" t="e">
        <f ca="1">AVERAGE((E177-E176)/(E173-E172),(E179-E178)/(E173-E172))</f>
        <v>#N/A</v>
      </c>
      <c r="F180" s="464" t="e">
        <f ca="1">AVERAGE((F177-F176)/(F173-F172),(F179-F178)/(F173-F172))</f>
        <v>#N/A</v>
      </c>
    </row>
    <row r="181" spans="1:6" s="65" customFormat="1" outlineLevel="1" x14ac:dyDescent="0.2">
      <c r="A181" s="666"/>
      <c r="B181" s="1" t="s">
        <v>26</v>
      </c>
      <c r="C181" s="441" t="e">
        <f ca="1">AVERAGE((C178-C176)/(C175-C174),(C179-C177)/(C175-C174))</f>
        <v>#N/A</v>
      </c>
      <c r="D181" s="441" t="e">
        <f ca="1">AVERAGE((D178-D176)/(D175-D174),(D179-D177)/(D175-D174))</f>
        <v>#N/A</v>
      </c>
      <c r="E181" s="441" t="e">
        <f ca="1">AVERAGE((E178-E176)/(E175-E174),(E179-E177)/(E175-E174))</f>
        <v>#N/A</v>
      </c>
      <c r="F181" s="464" t="e">
        <f ca="1">AVERAGE((F178-F176)/(F175-F174),(F179-F177)/(F175-F174))</f>
        <v>#N/A</v>
      </c>
    </row>
    <row r="182" spans="1:6" s="65" customFormat="1" outlineLevel="1" x14ac:dyDescent="0.2">
      <c r="A182" s="666"/>
      <c r="B182" s="1" t="s">
        <v>27</v>
      </c>
      <c r="C182" s="441" t="e">
        <f ca="1">C176-C180*C172-C181*C174</f>
        <v>#N/A</v>
      </c>
      <c r="D182" s="441" t="e">
        <f ca="1">D176-D180*D172-D181*D174</f>
        <v>#N/A</v>
      </c>
      <c r="E182" s="441" t="e">
        <f ca="1">E176-E180*E172-E181*E174</f>
        <v>#N/A</v>
      </c>
      <c r="F182" s="464" t="e">
        <f ca="1">F176-F180*F172-F181*F174</f>
        <v>#N/A</v>
      </c>
    </row>
    <row r="183" spans="1:6" s="65" customFormat="1" ht="12.75" customHeight="1" outlineLevel="1" thickBot="1" x14ac:dyDescent="0.25">
      <c r="A183" s="667"/>
      <c r="B183" s="152" t="s">
        <v>9</v>
      </c>
      <c r="C183" s="465" t="e">
        <f ca="1">C180*C168+C181*C169+C182</f>
        <v>#N/A</v>
      </c>
      <c r="D183" s="465" t="e">
        <f ca="1">D180*D168+D181*D169+D182</f>
        <v>#N/A</v>
      </c>
      <c r="E183" s="465" t="e">
        <f ca="1">E180*E168+E181*E169+E182</f>
        <v>#N/A</v>
      </c>
      <c r="F183" s="466" t="e">
        <f ca="1">F180*F168+F181*F169+F182</f>
        <v>#N/A</v>
      </c>
    </row>
    <row r="184" spans="1:6" s="65" customFormat="1" ht="13.5" thickBot="1" x14ac:dyDescent="0.25">
      <c r="A184" s="155"/>
      <c r="B184" s="169"/>
      <c r="C184" s="169"/>
    </row>
    <row r="185" spans="1:6" s="65" customFormat="1" outlineLevel="1" x14ac:dyDescent="0.2">
      <c r="A185" s="665" t="s">
        <v>104</v>
      </c>
      <c r="B185" s="170" t="s">
        <v>341</v>
      </c>
      <c r="C185" s="448" t="e">
        <f>C$19</f>
        <v>#N/A</v>
      </c>
      <c r="D185" s="448" t="e">
        <f>D$19</f>
        <v>#N/A</v>
      </c>
      <c r="E185" s="448" t="e">
        <f>E$19</f>
        <v>#N/A</v>
      </c>
      <c r="F185" s="449" t="e">
        <f>F$19</f>
        <v>#N/A</v>
      </c>
    </row>
    <row r="186" spans="1:6" s="65" customFormat="1" outlineLevel="1" x14ac:dyDescent="0.2">
      <c r="A186" s="666"/>
      <c r="B186" s="87" t="s">
        <v>249</v>
      </c>
      <c r="C186" s="442">
        <f>VLOOKUP("ROF",'Table References'!$D$37:$E$44,2)</f>
        <v>8</v>
      </c>
      <c r="D186" s="442">
        <f>VLOOKUP("ROF",'Table References'!$D$37:$E$44,2)</f>
        <v>8</v>
      </c>
      <c r="E186" s="442">
        <f>VLOOKUP("ROF",'Table References'!$D$37:$E$44,2)</f>
        <v>8</v>
      </c>
      <c r="F186" s="443">
        <f>VLOOKUP("ROF",'Table References'!$D$37:$E$44,2)</f>
        <v>8</v>
      </c>
    </row>
    <row r="187" spans="1:6" s="65" customFormat="1" outlineLevel="1" x14ac:dyDescent="0.2">
      <c r="A187" s="666"/>
      <c r="B187" s="1" t="s">
        <v>118</v>
      </c>
      <c r="C187" s="442" t="e">
        <f>INDEX('Table References'!$D$3:$G$34,C186,MATCH(C185,'Table References'!$D$2:$G$2,0))</f>
        <v>#N/A</v>
      </c>
      <c r="D187" s="442" t="e">
        <f>INDEX('Table References'!$D$3:$G$34,D186,MATCH(D185,'Table References'!$D$2:$G$2,0))</f>
        <v>#N/A</v>
      </c>
      <c r="E187" s="442" t="e">
        <f>INDEX('Table References'!$D$3:$G$34,E186,MATCH(E185,'Table References'!$D$2:$G$2,0))</f>
        <v>#N/A</v>
      </c>
      <c r="F187" s="443" t="e">
        <f>INDEX('Table References'!$D$3:$G$34,F186,MATCH(F185,'Table References'!$D$2:$G$2,0))</f>
        <v>#N/A</v>
      </c>
    </row>
    <row r="188" spans="1:6" s="65" customFormat="1" outlineLevel="1" x14ac:dyDescent="0.2">
      <c r="A188" s="666"/>
      <c r="B188" s="1" t="s">
        <v>124</v>
      </c>
      <c r="C188" s="442" t="e">
        <f ca="1">ROWS(INDIRECT(C187))</f>
        <v>#N/A</v>
      </c>
      <c r="D188" s="442" t="e">
        <f ca="1">ROWS(INDIRECT(D187))</f>
        <v>#N/A</v>
      </c>
      <c r="E188" s="442" t="e">
        <f ca="1">ROWS(INDIRECT(E187))</f>
        <v>#N/A</v>
      </c>
      <c r="F188" s="443" t="e">
        <f ca="1">ROWS(INDIRECT(F187))</f>
        <v>#N/A</v>
      </c>
    </row>
    <row r="189" spans="1:6" s="65" customFormat="1" outlineLevel="1" x14ac:dyDescent="0.2">
      <c r="A189" s="666"/>
      <c r="B189" s="1" t="s">
        <v>125</v>
      </c>
      <c r="C189" s="442" t="e">
        <f ca="1">COLUMNS(INDIRECT(C187))</f>
        <v>#N/A</v>
      </c>
      <c r="D189" s="442" t="e">
        <f ca="1">COLUMNS(INDIRECT(D187))</f>
        <v>#N/A</v>
      </c>
      <c r="E189" s="442" t="e">
        <f ca="1">COLUMNS(INDIRECT(E187))</f>
        <v>#N/A</v>
      </c>
      <c r="F189" s="443" t="e">
        <f ca="1">COLUMNS(INDIRECT(F187))</f>
        <v>#N/A</v>
      </c>
    </row>
    <row r="190" spans="1:6" s="65" customFormat="1" outlineLevel="1" x14ac:dyDescent="0.2">
      <c r="A190" s="666"/>
      <c r="B190" s="1" t="s">
        <v>122</v>
      </c>
      <c r="C190" s="467">
        <f>C$13</f>
        <v>0</v>
      </c>
      <c r="D190" s="467">
        <f t="shared" ref="D190:F190" si="28">D$13</f>
        <v>0</v>
      </c>
      <c r="E190" s="467">
        <f t="shared" si="28"/>
        <v>0</v>
      </c>
      <c r="F190" s="468">
        <f t="shared" si="28"/>
        <v>0</v>
      </c>
    </row>
    <row r="191" spans="1:6" s="65" customFormat="1" outlineLevel="1" x14ac:dyDescent="0.2">
      <c r="A191" s="666"/>
      <c r="B191" s="1" t="s">
        <v>123</v>
      </c>
      <c r="C191" s="446">
        <f>C$14</f>
        <v>0</v>
      </c>
      <c r="D191" s="446">
        <f t="shared" ref="D191:F191" si="29">D$14</f>
        <v>0</v>
      </c>
      <c r="E191" s="446">
        <f t="shared" si="29"/>
        <v>0</v>
      </c>
      <c r="F191" s="447">
        <f t="shared" si="29"/>
        <v>0</v>
      </c>
    </row>
    <row r="192" spans="1:6" s="65" customFormat="1" outlineLevel="1" x14ac:dyDescent="0.2">
      <c r="A192" s="666"/>
      <c r="B192" s="1" t="s">
        <v>119</v>
      </c>
      <c r="C192" s="442" t="e">
        <f ca="1">MATCH(C190,OFFSET(INDIRECT(C187),0,0,C188,1),1)</f>
        <v>#N/A</v>
      </c>
      <c r="D192" s="442" t="e">
        <f ca="1">MATCH(D190,OFFSET(INDIRECT(D187),0,0,D188,1),1)</f>
        <v>#N/A</v>
      </c>
      <c r="E192" s="442" t="e">
        <f ca="1">MATCH(E190,OFFSET(INDIRECT(E187),0,0,E188,1),1)</f>
        <v>#N/A</v>
      </c>
      <c r="F192" s="443" t="e">
        <f ca="1">MATCH(F190,OFFSET(INDIRECT(F187),0,0,F188,1),1)</f>
        <v>#N/A</v>
      </c>
    </row>
    <row r="193" spans="1:9" s="65" customFormat="1" outlineLevel="1" x14ac:dyDescent="0.2">
      <c r="A193" s="666"/>
      <c r="B193" s="1" t="s">
        <v>120</v>
      </c>
      <c r="C193" s="442" t="e">
        <f ca="1">MATCH(C191,OFFSET(INDIRECT(C187),0,0,1,C189),1)</f>
        <v>#N/A</v>
      </c>
      <c r="D193" s="442" t="e">
        <f ca="1">MATCH(D191,OFFSET(INDIRECT(D187),0,0,1,D189),1)</f>
        <v>#N/A</v>
      </c>
      <c r="E193" s="442" t="e">
        <f ca="1">MATCH(E191,OFFSET(INDIRECT(E187),0,0,1,E189),1)</f>
        <v>#N/A</v>
      </c>
      <c r="F193" s="443" t="e">
        <f ca="1">MATCH(F191,OFFSET(INDIRECT(F187),0,0,1,F189),1)</f>
        <v>#N/A</v>
      </c>
      <c r="I193" s="155"/>
    </row>
    <row r="194" spans="1:9" s="65" customFormat="1" outlineLevel="1" x14ac:dyDescent="0.2">
      <c r="A194" s="666"/>
      <c r="B194" s="1" t="s">
        <v>32</v>
      </c>
      <c r="C194" s="160" t="e">
        <f ca="1">INDEX(INDIRECT(C187),C192,1)</f>
        <v>#N/A</v>
      </c>
      <c r="D194" s="160" t="e">
        <f ca="1">INDEX(INDIRECT(D187),D192,1)</f>
        <v>#N/A</v>
      </c>
      <c r="E194" s="160" t="e">
        <f ca="1">INDEX(INDIRECT(E187),E192,1)</f>
        <v>#N/A</v>
      </c>
      <c r="F194" s="461" t="e">
        <f ca="1">INDEX(INDIRECT(F187),F192,1)</f>
        <v>#N/A</v>
      </c>
      <c r="I194" s="155"/>
    </row>
    <row r="195" spans="1:9" s="65" customFormat="1" outlineLevel="1" x14ac:dyDescent="0.2">
      <c r="A195" s="666"/>
      <c r="B195" s="1" t="s">
        <v>33</v>
      </c>
      <c r="C195" s="160" t="e">
        <f ca="1">INDEX(INDIRECT(C187),C192+1,1)</f>
        <v>#N/A</v>
      </c>
      <c r="D195" s="160" t="e">
        <f ca="1">INDEX(INDIRECT(D187),D192+1,1)</f>
        <v>#N/A</v>
      </c>
      <c r="E195" s="160" t="e">
        <f ca="1">INDEX(INDIRECT(E187),E192+1,1)</f>
        <v>#N/A</v>
      </c>
      <c r="F195" s="461" t="e">
        <f ca="1">INDEX(INDIRECT(F187),F192+1,1)</f>
        <v>#N/A</v>
      </c>
      <c r="I195" s="155"/>
    </row>
    <row r="196" spans="1:9" s="65" customFormat="1" outlineLevel="1" x14ac:dyDescent="0.2">
      <c r="A196" s="666"/>
      <c r="B196" s="1" t="s">
        <v>34</v>
      </c>
      <c r="C196" s="160" t="e">
        <f ca="1">INDEX(INDIRECT(C187),1,C193)</f>
        <v>#N/A</v>
      </c>
      <c r="D196" s="160" t="e">
        <f ca="1">INDEX(INDIRECT(D187),1,D193)</f>
        <v>#N/A</v>
      </c>
      <c r="E196" s="160" t="e">
        <f ca="1">INDEX(INDIRECT(E187),1,E193)</f>
        <v>#N/A</v>
      </c>
      <c r="F196" s="461" t="e">
        <f ca="1">INDEX(INDIRECT(F187),1,F193)</f>
        <v>#N/A</v>
      </c>
      <c r="I196" s="155"/>
    </row>
    <row r="197" spans="1:9" s="65" customFormat="1" outlineLevel="1" x14ac:dyDescent="0.2">
      <c r="A197" s="666"/>
      <c r="B197" s="1" t="s">
        <v>35</v>
      </c>
      <c r="C197" s="160" t="e">
        <f ca="1">INDEX(INDIRECT(C187),1,C193+1)</f>
        <v>#N/A</v>
      </c>
      <c r="D197" s="160" t="e">
        <f ca="1">INDEX(INDIRECT(D187),1,D193+1)</f>
        <v>#N/A</v>
      </c>
      <c r="E197" s="160" t="e">
        <f ca="1">INDEX(INDIRECT(E187),1,E193+1)</f>
        <v>#N/A</v>
      </c>
      <c r="F197" s="461" t="e">
        <f ca="1">INDEX(INDIRECT(F187),1,F193+1)</f>
        <v>#N/A</v>
      </c>
      <c r="I197" s="155"/>
    </row>
    <row r="198" spans="1:9" s="65" customFormat="1" outlineLevel="1" x14ac:dyDescent="0.2">
      <c r="A198" s="666"/>
      <c r="B198" s="1" t="s">
        <v>92</v>
      </c>
      <c r="C198" s="462" t="e">
        <f ca="1">INDEX(INDIRECT(C187),C192,C193)</f>
        <v>#N/A</v>
      </c>
      <c r="D198" s="462" t="e">
        <f ca="1">INDEX(INDIRECT(D187),D192,D193)</f>
        <v>#N/A</v>
      </c>
      <c r="E198" s="462" t="e">
        <f ca="1">INDEX(INDIRECT(E187),E192,E193)</f>
        <v>#N/A</v>
      </c>
      <c r="F198" s="463" t="e">
        <f ca="1">INDEX(INDIRECT(F187),F192,F193)</f>
        <v>#N/A</v>
      </c>
      <c r="I198" s="155"/>
    </row>
    <row r="199" spans="1:9" s="65" customFormat="1" outlineLevel="1" x14ac:dyDescent="0.2">
      <c r="A199" s="666"/>
      <c r="B199" s="1" t="s">
        <v>93</v>
      </c>
      <c r="C199" s="462" t="e">
        <f ca="1">INDEX(INDIRECT(C187),C192+1,C193)</f>
        <v>#N/A</v>
      </c>
      <c r="D199" s="462" t="e">
        <f ca="1">INDEX(INDIRECT(D187),D192+1,D193)</f>
        <v>#N/A</v>
      </c>
      <c r="E199" s="462" t="e">
        <f ca="1">INDEX(INDIRECT(E187),E192+1,E193)</f>
        <v>#N/A</v>
      </c>
      <c r="F199" s="463" t="e">
        <f ca="1">INDEX(INDIRECT(F187),F192+1,F193)</f>
        <v>#N/A</v>
      </c>
      <c r="I199" s="155"/>
    </row>
    <row r="200" spans="1:9" s="65" customFormat="1" outlineLevel="1" x14ac:dyDescent="0.2">
      <c r="A200" s="666"/>
      <c r="B200" s="1" t="s">
        <v>94</v>
      </c>
      <c r="C200" s="462" t="e">
        <f ca="1">INDEX(INDIRECT(C187),C192,C193+1)</f>
        <v>#N/A</v>
      </c>
      <c r="D200" s="462" t="e">
        <f ca="1">INDEX(INDIRECT(D187),D192,D193+1)</f>
        <v>#N/A</v>
      </c>
      <c r="E200" s="462" t="e">
        <f ca="1">INDEX(INDIRECT(E187),E192,E193+1)</f>
        <v>#N/A</v>
      </c>
      <c r="F200" s="463" t="e">
        <f ca="1">INDEX(INDIRECT(F187),F192,F193+1)</f>
        <v>#N/A</v>
      </c>
      <c r="I200" s="155"/>
    </row>
    <row r="201" spans="1:9" s="65" customFormat="1" outlineLevel="1" x14ac:dyDescent="0.2">
      <c r="A201" s="666"/>
      <c r="B201" s="1" t="s">
        <v>95</v>
      </c>
      <c r="C201" s="462" t="e">
        <f ca="1">INDEX(INDIRECT(C187),C192+1,C193+1)</f>
        <v>#N/A</v>
      </c>
      <c r="D201" s="462" t="e">
        <f ca="1">INDEX(INDIRECT(D187),D192+1,D193+1)</f>
        <v>#N/A</v>
      </c>
      <c r="E201" s="462" t="e">
        <f ca="1">INDEX(INDIRECT(E187),E192+1,E193+1)</f>
        <v>#N/A</v>
      </c>
      <c r="F201" s="463" t="e">
        <f ca="1">INDEX(INDIRECT(F187),F192+1,F193+1)</f>
        <v>#N/A</v>
      </c>
      <c r="I201" s="155"/>
    </row>
    <row r="202" spans="1:9" s="65" customFormat="1" outlineLevel="1" x14ac:dyDescent="0.2">
      <c r="A202" s="666"/>
      <c r="B202" s="1" t="s">
        <v>25</v>
      </c>
      <c r="C202" s="441" t="e">
        <f ca="1">AVERAGE((C199-C198)/(C195-C194),(C201-C200)/(C195-C194))</f>
        <v>#N/A</v>
      </c>
      <c r="D202" s="441" t="e">
        <f ca="1">AVERAGE((D199-D198)/(D195-D194),(D201-D200)/(D195-D194))</f>
        <v>#N/A</v>
      </c>
      <c r="E202" s="441" t="e">
        <f ca="1">AVERAGE((E199-E198)/(E195-E194),(E201-E200)/(E195-E194))</f>
        <v>#N/A</v>
      </c>
      <c r="F202" s="464" t="e">
        <f ca="1">AVERAGE((F199-F198)/(F195-F194),(F201-F200)/(F195-F194))</f>
        <v>#N/A</v>
      </c>
      <c r="I202" s="155"/>
    </row>
    <row r="203" spans="1:9" s="65" customFormat="1" outlineLevel="1" x14ac:dyDescent="0.2">
      <c r="A203" s="666"/>
      <c r="B203" s="1" t="s">
        <v>26</v>
      </c>
      <c r="C203" s="441" t="e">
        <f ca="1">AVERAGE((C200-C198)/(C197-C196),(C201-C199)/(C197-C196))</f>
        <v>#N/A</v>
      </c>
      <c r="D203" s="441" t="e">
        <f ca="1">AVERAGE((D200-D198)/(D197-D196),(D201-D199)/(D197-D196))</f>
        <v>#N/A</v>
      </c>
      <c r="E203" s="441" t="e">
        <f ca="1">AVERAGE((E200-E198)/(E197-E196),(E201-E199)/(E197-E196))</f>
        <v>#N/A</v>
      </c>
      <c r="F203" s="464" t="e">
        <f ca="1">AVERAGE((F200-F198)/(F197-F196),(F201-F199)/(F197-F196))</f>
        <v>#N/A</v>
      </c>
      <c r="I203" s="155"/>
    </row>
    <row r="204" spans="1:9" s="65" customFormat="1" outlineLevel="1" x14ac:dyDescent="0.2">
      <c r="A204" s="666"/>
      <c r="B204" s="1" t="s">
        <v>27</v>
      </c>
      <c r="C204" s="441" t="e">
        <f ca="1">C198-C202*C194-C203*C196</f>
        <v>#N/A</v>
      </c>
      <c r="D204" s="441" t="e">
        <f ca="1">D198-D202*D194-D203*D196</f>
        <v>#N/A</v>
      </c>
      <c r="E204" s="441" t="e">
        <f ca="1">E198-E202*E194-E203*E196</f>
        <v>#N/A</v>
      </c>
      <c r="F204" s="464" t="e">
        <f ca="1">F198-F202*F194-F203*F196</f>
        <v>#N/A</v>
      </c>
      <c r="I204" s="155"/>
    </row>
    <row r="205" spans="1:9" s="65" customFormat="1" ht="12.75" customHeight="1" outlineLevel="1" thickBot="1" x14ac:dyDescent="0.25">
      <c r="A205" s="667"/>
      <c r="B205" s="152" t="s">
        <v>91</v>
      </c>
      <c r="C205" s="465" t="e">
        <f ca="1">C202*C190+C203*C191+C204</f>
        <v>#N/A</v>
      </c>
      <c r="D205" s="465" t="e">
        <f ca="1">D202*D190+D203*D191+D204</f>
        <v>#N/A</v>
      </c>
      <c r="E205" s="465" t="e">
        <f ca="1">E202*E190+E203*E191+E204</f>
        <v>#N/A</v>
      </c>
      <c r="F205" s="466" t="e">
        <f ca="1">F202*F190+F203*F191+F204</f>
        <v>#N/A</v>
      </c>
      <c r="I205" s="155"/>
    </row>
    <row r="206" spans="1:9" s="65" customFormat="1" ht="13.5" thickBot="1" x14ac:dyDescent="0.25">
      <c r="A206" s="155"/>
      <c r="C206" s="184"/>
      <c r="D206" s="184"/>
      <c r="E206" s="184"/>
      <c r="F206" s="184"/>
      <c r="I206" s="155"/>
    </row>
    <row r="207" spans="1:9" s="65" customFormat="1" outlineLevel="1" x14ac:dyDescent="0.2">
      <c r="A207" s="665" t="s">
        <v>107</v>
      </c>
      <c r="B207" s="170" t="s">
        <v>341</v>
      </c>
      <c r="C207" s="448" t="e">
        <f>C$19</f>
        <v>#N/A</v>
      </c>
      <c r="D207" s="448" t="e">
        <f>D$19</f>
        <v>#N/A</v>
      </c>
      <c r="E207" s="448" t="e">
        <f>E$19</f>
        <v>#N/A</v>
      </c>
      <c r="F207" s="449" t="e">
        <f>F$19</f>
        <v>#N/A</v>
      </c>
      <c r="I207" s="155"/>
    </row>
    <row r="208" spans="1:9" s="65" customFormat="1" outlineLevel="1" x14ac:dyDescent="0.2">
      <c r="A208" s="666"/>
      <c r="B208" s="87" t="s">
        <v>249</v>
      </c>
      <c r="C208" s="442">
        <f>VLOOKUP("PSF",'Table References'!$D$37:$E$44,2)</f>
        <v>28</v>
      </c>
      <c r="D208" s="442">
        <f>VLOOKUP("PSF",'Table References'!$D$37:$E$44,2)</f>
        <v>28</v>
      </c>
      <c r="E208" s="442">
        <f>VLOOKUP("PSF",'Table References'!$D$37:$E$44,2)</f>
        <v>28</v>
      </c>
      <c r="F208" s="443">
        <f>VLOOKUP("PSF",'Table References'!$D$37:$E$44,2)</f>
        <v>28</v>
      </c>
      <c r="I208" s="155"/>
    </row>
    <row r="209" spans="1:9" s="65" customFormat="1" outlineLevel="1" x14ac:dyDescent="0.2">
      <c r="A209" s="666"/>
      <c r="B209" s="1" t="s">
        <v>118</v>
      </c>
      <c r="C209" s="442" t="e">
        <f>INDEX('Table References'!$D$3:$G$34,C208,MATCH(C207,'Table References'!$D$2:$G$2,0))</f>
        <v>#N/A</v>
      </c>
      <c r="D209" s="442" t="e">
        <f>INDEX('Table References'!$D$3:$G$34,D208,MATCH(D207,'Table References'!$D$2:$G$2,0))</f>
        <v>#N/A</v>
      </c>
      <c r="E209" s="442" t="e">
        <f>INDEX('Table References'!$D$3:$G$34,E208,MATCH(E207,'Table References'!$D$2:$G$2,0))</f>
        <v>#N/A</v>
      </c>
      <c r="F209" s="443" t="e">
        <f>INDEX('Table References'!$D$3:$G$34,F208,MATCH(F207,'Table References'!$D$2:$G$2,0))</f>
        <v>#N/A</v>
      </c>
      <c r="I209" s="155"/>
    </row>
    <row r="210" spans="1:9" s="65" customFormat="1" outlineLevel="1" x14ac:dyDescent="0.2">
      <c r="A210" s="666"/>
      <c r="B210" s="1" t="s">
        <v>124</v>
      </c>
      <c r="C210" s="442" t="e">
        <f ca="1">ROWS(INDIRECT(C209))</f>
        <v>#N/A</v>
      </c>
      <c r="D210" s="442" t="e">
        <f ca="1">ROWS(INDIRECT(D209))</f>
        <v>#N/A</v>
      </c>
      <c r="E210" s="442" t="e">
        <f ca="1">ROWS(INDIRECT(E209))</f>
        <v>#N/A</v>
      </c>
      <c r="F210" s="443" t="e">
        <f ca="1">ROWS(INDIRECT(F209))</f>
        <v>#N/A</v>
      </c>
      <c r="I210" s="155"/>
    </row>
    <row r="211" spans="1:9" s="65" customFormat="1" outlineLevel="1" x14ac:dyDescent="0.2">
      <c r="A211" s="666"/>
      <c r="B211" s="1" t="s">
        <v>31</v>
      </c>
      <c r="C211" s="446" t="e">
        <f>C$17</f>
        <v>#DIV/0!</v>
      </c>
      <c r="D211" s="446" t="e">
        <f>D$17</f>
        <v>#DIV/0!</v>
      </c>
      <c r="E211" s="446" t="e">
        <f>E$17</f>
        <v>#DIV/0!</v>
      </c>
      <c r="F211" s="447" t="e">
        <f>F$17</f>
        <v>#DIV/0!</v>
      </c>
      <c r="I211" s="155"/>
    </row>
    <row r="212" spans="1:9" s="65" customFormat="1" outlineLevel="1" x14ac:dyDescent="0.2">
      <c r="A212" s="666"/>
      <c r="B212" s="1" t="s">
        <v>126</v>
      </c>
      <c r="C212" s="442" t="e">
        <f ca="1">MATCH(C211,OFFSET(INDIRECT(C209),0,0,C210,1),1)</f>
        <v>#DIV/0!</v>
      </c>
      <c r="D212" s="442" t="e">
        <f ca="1">MATCH(D211,OFFSET(INDIRECT(D209),0,0,D210,1),1)</f>
        <v>#DIV/0!</v>
      </c>
      <c r="E212" s="442" t="e">
        <f ca="1">MATCH(E211,OFFSET(INDIRECT(E209),0,0,E210,1),1)</f>
        <v>#DIV/0!</v>
      </c>
      <c r="F212" s="443" t="e">
        <f ca="1">MATCH(F211,OFFSET(INDIRECT(F209),0,0,F210,1),1)</f>
        <v>#DIV/0!</v>
      </c>
      <c r="I212" s="155"/>
    </row>
    <row r="213" spans="1:9" s="65" customFormat="1" outlineLevel="1" x14ac:dyDescent="0.2">
      <c r="A213" s="666"/>
      <c r="B213" s="1" t="s">
        <v>38</v>
      </c>
      <c r="C213" s="160" t="e">
        <f ca="1">INDEX(INDIRECT(C209),C212,1)</f>
        <v>#N/A</v>
      </c>
      <c r="D213" s="160" t="e">
        <f ca="1">INDEX(INDIRECT(D209),D212,1)</f>
        <v>#N/A</v>
      </c>
      <c r="E213" s="160" t="e">
        <f ca="1">INDEX(INDIRECT(E209),E212,1)</f>
        <v>#N/A</v>
      </c>
      <c r="F213" s="461" t="e">
        <f ca="1">INDEX(INDIRECT(F209),F212,1)</f>
        <v>#N/A</v>
      </c>
    </row>
    <row r="214" spans="1:9" s="65" customFormat="1" outlineLevel="1" x14ac:dyDescent="0.2">
      <c r="A214" s="666"/>
      <c r="B214" s="1" t="s">
        <v>39</v>
      </c>
      <c r="C214" s="160" t="e">
        <f ca="1">INDEX(INDIRECT(C209),C212+1,1)</f>
        <v>#N/A</v>
      </c>
      <c r="D214" s="160" t="e">
        <f ca="1">INDEX(INDIRECT(D209),D212+1,1)</f>
        <v>#N/A</v>
      </c>
      <c r="E214" s="160" t="e">
        <f ca="1">INDEX(INDIRECT(E209),E212+1,1)</f>
        <v>#N/A</v>
      </c>
      <c r="F214" s="461" t="e">
        <f ca="1">INDEX(INDIRECT(F209),F212+1,1)</f>
        <v>#N/A</v>
      </c>
    </row>
    <row r="215" spans="1:9" s="65" customFormat="1" outlineLevel="1" x14ac:dyDescent="0.2">
      <c r="A215" s="666"/>
      <c r="B215" s="1" t="s">
        <v>101</v>
      </c>
      <c r="C215" s="462" t="e">
        <f ca="1">INDEX(INDIRECT(C209),C212,2)</f>
        <v>#N/A</v>
      </c>
      <c r="D215" s="462" t="e">
        <f ca="1">INDEX(INDIRECT(D209),D212,2)</f>
        <v>#N/A</v>
      </c>
      <c r="E215" s="462" t="e">
        <f ca="1">INDEX(INDIRECT(E209),E212,2)</f>
        <v>#N/A</v>
      </c>
      <c r="F215" s="463" t="e">
        <f ca="1">INDEX(INDIRECT(F209),F212,2)</f>
        <v>#N/A</v>
      </c>
    </row>
    <row r="216" spans="1:9" s="65" customFormat="1" outlineLevel="1" x14ac:dyDescent="0.2">
      <c r="A216" s="666"/>
      <c r="B216" s="1" t="s">
        <v>102</v>
      </c>
      <c r="C216" s="462" t="e">
        <f ca="1">INDEX(INDIRECT(C209),C212+1,2)</f>
        <v>#N/A</v>
      </c>
      <c r="D216" s="462" t="e">
        <f ca="1">INDEX(INDIRECT(D209),D212+1,2)</f>
        <v>#N/A</v>
      </c>
      <c r="E216" s="462" t="e">
        <f ca="1">INDEX(INDIRECT(E209),E212+1,2)</f>
        <v>#N/A</v>
      </c>
      <c r="F216" s="463" t="e">
        <f ca="1">INDEX(INDIRECT(F209),F212+1,2)</f>
        <v>#N/A</v>
      </c>
    </row>
    <row r="217" spans="1:9" s="65" customFormat="1" outlineLevel="1" x14ac:dyDescent="0.2">
      <c r="A217" s="666"/>
      <c r="B217" s="1" t="s">
        <v>25</v>
      </c>
      <c r="C217" s="441" t="e">
        <f ca="1">(C216-C215)/(C214-C213)</f>
        <v>#N/A</v>
      </c>
      <c r="D217" s="441" t="e">
        <f ca="1">(D216-D215)/(D214-D213)</f>
        <v>#N/A</v>
      </c>
      <c r="E217" s="441" t="e">
        <f ca="1">(E216-E215)/(E214-E213)</f>
        <v>#N/A</v>
      </c>
      <c r="F217" s="464" t="e">
        <f ca="1">(F216-F215)/(F214-F213)</f>
        <v>#N/A</v>
      </c>
    </row>
    <row r="218" spans="1:9" s="65" customFormat="1" outlineLevel="1" x14ac:dyDescent="0.2">
      <c r="A218" s="666"/>
      <c r="B218" s="1" t="s">
        <v>27</v>
      </c>
      <c r="C218" s="441" t="e">
        <f ca="1">C215-C217*C213</f>
        <v>#N/A</v>
      </c>
      <c r="D218" s="441" t="e">
        <f ca="1">D215-D217*D213</f>
        <v>#N/A</v>
      </c>
      <c r="E218" s="441" t="e">
        <f ca="1">E215-E217*E213</f>
        <v>#N/A</v>
      </c>
      <c r="F218" s="464" t="e">
        <f ca="1">F215-F217*F213</f>
        <v>#N/A</v>
      </c>
    </row>
    <row r="219" spans="1:9" s="65" customFormat="1" ht="13.5" outlineLevel="1" thickBot="1" x14ac:dyDescent="0.25">
      <c r="A219" s="667"/>
      <c r="B219" s="152" t="s">
        <v>99</v>
      </c>
      <c r="C219" s="465" t="e">
        <f ca="1">C217*C211+C218</f>
        <v>#N/A</v>
      </c>
      <c r="D219" s="465" t="e">
        <f ca="1">D217*D211+D218</f>
        <v>#N/A</v>
      </c>
      <c r="E219" s="465" t="e">
        <f ca="1">E217*E211+E218</f>
        <v>#N/A</v>
      </c>
      <c r="F219" s="466" t="e">
        <f ca="1">F217*F211+F218</f>
        <v>#N/A</v>
      </c>
    </row>
    <row r="220" spans="1:9" s="65" customFormat="1" ht="13.5" thickBot="1" x14ac:dyDescent="0.25">
      <c r="A220" s="155"/>
      <c r="C220" s="184"/>
      <c r="D220" s="184"/>
      <c r="E220" s="184"/>
      <c r="F220" s="184"/>
    </row>
    <row r="221" spans="1:9" s="65" customFormat="1" ht="12.75" customHeight="1" outlineLevel="1" x14ac:dyDescent="0.2">
      <c r="A221" s="665" t="s">
        <v>106</v>
      </c>
      <c r="B221" s="170" t="s">
        <v>341</v>
      </c>
      <c r="C221" s="469" t="e">
        <f>C$19</f>
        <v>#N/A</v>
      </c>
      <c r="D221" s="469" t="e">
        <f>D$19</f>
        <v>#N/A</v>
      </c>
      <c r="E221" s="469" t="e">
        <f>E$19</f>
        <v>#N/A</v>
      </c>
      <c r="F221" s="470" t="e">
        <f>F$19</f>
        <v>#N/A</v>
      </c>
    </row>
    <row r="222" spans="1:9" s="65" customFormat="1" outlineLevel="1" x14ac:dyDescent="0.2">
      <c r="A222" s="666"/>
      <c r="B222" s="87" t="s">
        <v>249</v>
      </c>
      <c r="C222" s="451">
        <f>VLOOKUP("EDW WF",'Table References'!$D$37:$E$44,2)</f>
        <v>32</v>
      </c>
      <c r="D222" s="451">
        <f>VLOOKUP("EDW WF",'Table References'!$D$37:$E$44,2)</f>
        <v>32</v>
      </c>
      <c r="E222" s="451">
        <f>VLOOKUP("EDW WF",'Table References'!$D$37:$E$44,2)</f>
        <v>32</v>
      </c>
      <c r="F222" s="471">
        <f>VLOOKUP("EDW WF",'Table References'!$D$37:$E$44,2)</f>
        <v>32</v>
      </c>
    </row>
    <row r="223" spans="1:9" s="65" customFormat="1" outlineLevel="1" x14ac:dyDescent="0.2">
      <c r="A223" s="666"/>
      <c r="B223" s="1" t="s">
        <v>118</v>
      </c>
      <c r="C223" s="451" t="e">
        <f>INDEX('Table References'!$D$3:$G$34,C222,MATCH(C221,'Table References'!$D$2:$G$2,0))</f>
        <v>#N/A</v>
      </c>
      <c r="D223" s="451" t="e">
        <f>INDEX('Table References'!$D$3:$G$34,D222,MATCH(D221,'Table References'!$D$2:$G$2,0))</f>
        <v>#N/A</v>
      </c>
      <c r="E223" s="451" t="e">
        <f>INDEX('Table References'!$D$3:$G$34,E222,MATCH(E221,'Table References'!$D$2:$G$2,0))</f>
        <v>#N/A</v>
      </c>
      <c r="F223" s="471" t="e">
        <f>INDEX('Table References'!$D$3:$G$34,F222,MATCH(F221,'Table References'!$D$2:$G$2,0))</f>
        <v>#N/A</v>
      </c>
    </row>
    <row r="224" spans="1:9" s="65" customFormat="1" outlineLevel="1" x14ac:dyDescent="0.2">
      <c r="A224" s="666"/>
      <c r="B224" s="1" t="s">
        <v>124</v>
      </c>
      <c r="C224" s="451" t="e">
        <f ca="1">ROWS(INDIRECT(C223))</f>
        <v>#N/A</v>
      </c>
      <c r="D224" s="451" t="e">
        <f ca="1">ROWS(INDIRECT(D223))</f>
        <v>#N/A</v>
      </c>
      <c r="E224" s="451" t="e">
        <f ca="1">ROWS(INDIRECT(E223))</f>
        <v>#N/A</v>
      </c>
      <c r="F224" s="471" t="e">
        <f ca="1">ROWS(INDIRECT(F223))</f>
        <v>#N/A</v>
      </c>
    </row>
    <row r="225" spans="1:11" s="65" customFormat="1" outlineLevel="1" x14ac:dyDescent="0.2">
      <c r="A225" s="666"/>
      <c r="B225" s="1" t="s">
        <v>125</v>
      </c>
      <c r="C225" s="451" t="e">
        <f ca="1">COLUMNS(INDIRECT(C223))</f>
        <v>#N/A</v>
      </c>
      <c r="D225" s="451" t="e">
        <f ca="1">COLUMNS(INDIRECT(D223))</f>
        <v>#N/A</v>
      </c>
      <c r="E225" s="451" t="e">
        <f ca="1">COLUMNS(INDIRECT(E223))</f>
        <v>#N/A</v>
      </c>
      <c r="F225" s="471" t="e">
        <f ca="1">COLUMNS(INDIRECT(F223))</f>
        <v>#N/A</v>
      </c>
    </row>
    <row r="226" spans="1:11" s="65" customFormat="1" outlineLevel="1" x14ac:dyDescent="0.2">
      <c r="A226" s="666"/>
      <c r="B226" s="1" t="s">
        <v>158</v>
      </c>
      <c r="C226" s="451">
        <f>C$28</f>
        <v>0</v>
      </c>
      <c r="D226" s="451">
        <f>D$28</f>
        <v>0</v>
      </c>
      <c r="E226" s="451">
        <f>E$28</f>
        <v>0</v>
      </c>
      <c r="F226" s="471">
        <f>F$28</f>
        <v>0</v>
      </c>
    </row>
    <row r="227" spans="1:11" s="65" customFormat="1" outlineLevel="1" x14ac:dyDescent="0.2">
      <c r="A227" s="666"/>
      <c r="B227" s="1" t="s">
        <v>49</v>
      </c>
      <c r="C227" s="451">
        <f>C$27</f>
        <v>0</v>
      </c>
      <c r="D227" s="451">
        <f>D$27</f>
        <v>0</v>
      </c>
      <c r="E227" s="451">
        <f>E$27</f>
        <v>0</v>
      </c>
      <c r="F227" s="471">
        <f>F$27</f>
        <v>0</v>
      </c>
    </row>
    <row r="228" spans="1:11" s="65" customFormat="1" outlineLevel="1" x14ac:dyDescent="0.2">
      <c r="A228" s="666"/>
      <c r="B228" s="1" t="s">
        <v>127</v>
      </c>
      <c r="C228" s="451" t="e">
        <f ca="1">MATCH(C227,OFFSET(INDIRECT(C223),0,0,C224,1),0)</f>
        <v>#N/A</v>
      </c>
      <c r="D228" s="451" t="e">
        <f ca="1">MATCH(D227,OFFSET(INDIRECT(D223),0,0,D224,1),0)</f>
        <v>#N/A</v>
      </c>
      <c r="E228" s="451" t="e">
        <f ca="1">MATCH(E227,OFFSET(INDIRECT(E223),0,0,E224,1),0)</f>
        <v>#N/A</v>
      </c>
      <c r="F228" s="471" t="e">
        <f ca="1">MATCH(F227,OFFSET(INDIRECT(F223),0,0,F224,1),0)</f>
        <v>#N/A</v>
      </c>
    </row>
    <row r="229" spans="1:11" s="65" customFormat="1" outlineLevel="1" x14ac:dyDescent="0.2">
      <c r="A229" s="666"/>
      <c r="B229" s="1" t="s">
        <v>128</v>
      </c>
      <c r="C229" s="451" t="e">
        <f ca="1">MATCH(C226,OFFSET(INDIRECT(C223),0,0,1,C225),0)</f>
        <v>#N/A</v>
      </c>
      <c r="D229" s="451" t="e">
        <f ca="1">MATCH(D226,OFFSET(INDIRECT(D223),0,0,1,D225),0)</f>
        <v>#N/A</v>
      </c>
      <c r="E229" s="451" t="e">
        <f ca="1">MATCH(E226,OFFSET(INDIRECT(E223),0,0,1,E225),0)</f>
        <v>#N/A</v>
      </c>
      <c r="F229" s="471" t="e">
        <f ca="1">MATCH(F226,OFFSET(INDIRECT(F223),0,0,1,F225),0)</f>
        <v>#N/A</v>
      </c>
    </row>
    <row r="230" spans="1:11" s="65" customFormat="1" outlineLevel="1" x14ac:dyDescent="0.2">
      <c r="A230" s="666"/>
      <c r="B230" s="1" t="s">
        <v>61</v>
      </c>
      <c r="C230" s="451" t="e">
        <f ca="1">INDEX(INDIRECT(C223),C228,1)</f>
        <v>#N/A</v>
      </c>
      <c r="D230" s="451" t="e">
        <f ca="1">INDEX(INDIRECT(D223),D228,1)</f>
        <v>#N/A</v>
      </c>
      <c r="E230" s="451" t="e">
        <f ca="1">INDEX(INDIRECT(E223),E228,1)</f>
        <v>#N/A</v>
      </c>
      <c r="F230" s="471" t="e">
        <f ca="1">INDEX(INDIRECT(F223),F228,1)</f>
        <v>#N/A</v>
      </c>
    </row>
    <row r="231" spans="1:11" s="65" customFormat="1" outlineLevel="1" x14ac:dyDescent="0.2">
      <c r="A231" s="666"/>
      <c r="B231" s="1" t="s">
        <v>62</v>
      </c>
      <c r="C231" s="451" t="e">
        <f ca="1">INDEX(INDIRECT(C223),C228+1,1)</f>
        <v>#N/A</v>
      </c>
      <c r="D231" s="451" t="e">
        <f ca="1">INDEX(INDIRECT(D223),D228+1,1)</f>
        <v>#N/A</v>
      </c>
      <c r="E231" s="451" t="e">
        <f ca="1">INDEX(INDIRECT(E223),E228+1,1)</f>
        <v>#N/A</v>
      </c>
      <c r="F231" s="471" t="e">
        <f ca="1">INDEX(INDIRECT(F223),F228+1,1)</f>
        <v>#N/A</v>
      </c>
    </row>
    <row r="232" spans="1:11" s="65" customFormat="1" outlineLevel="1" x14ac:dyDescent="0.2">
      <c r="A232" s="666"/>
      <c r="B232" s="1" t="s">
        <v>63</v>
      </c>
      <c r="C232" s="472" t="e">
        <f ca="1">INDEX(INDIRECT(C223),C228,C229)</f>
        <v>#N/A</v>
      </c>
      <c r="D232" s="472" t="e">
        <f ca="1">INDEX(INDIRECT(D223),D228,D229)</f>
        <v>#N/A</v>
      </c>
      <c r="E232" s="472" t="e">
        <f ca="1">INDEX(INDIRECT(E223),E228,E229)</f>
        <v>#N/A</v>
      </c>
      <c r="F232" s="473" t="e">
        <f ca="1">INDEX(INDIRECT(F223),F228,F229)</f>
        <v>#N/A</v>
      </c>
    </row>
    <row r="233" spans="1:11" outlineLevel="1" x14ac:dyDescent="0.2">
      <c r="A233" s="666"/>
      <c r="B233" s="1" t="s">
        <v>64</v>
      </c>
      <c r="C233" s="472" t="e">
        <f ca="1">INDEX(INDIRECT(C223),C228+1,C229)</f>
        <v>#N/A</v>
      </c>
      <c r="D233" s="472" t="e">
        <f ca="1">INDEX(INDIRECT(D223),D228+1,D229)</f>
        <v>#N/A</v>
      </c>
      <c r="E233" s="472" t="e">
        <f ca="1">INDEX(INDIRECT(E223),E228+1,E229)</f>
        <v>#N/A</v>
      </c>
      <c r="F233" s="473" t="e">
        <f ca="1">INDEX(INDIRECT(F223),F228+1,F229)</f>
        <v>#N/A</v>
      </c>
      <c r="H233" s="65"/>
      <c r="I233" s="65"/>
      <c r="J233" s="65"/>
      <c r="K233" s="65"/>
    </row>
    <row r="234" spans="1:11" outlineLevel="1" x14ac:dyDescent="0.2">
      <c r="A234" s="666"/>
      <c r="B234" s="1" t="s">
        <v>25</v>
      </c>
      <c r="C234" s="451" t="e">
        <f ca="1">(C233-C232)/(C231-C230)</f>
        <v>#N/A</v>
      </c>
      <c r="D234" s="451" t="e">
        <f ca="1">(D233-D232)/(D231-D230)</f>
        <v>#N/A</v>
      </c>
      <c r="E234" s="451" t="e">
        <f ca="1">(E233-E232)/(E231-E230)</f>
        <v>#N/A</v>
      </c>
      <c r="F234" s="471" t="e">
        <f ca="1">(F233-F232)/(F231-F230)</f>
        <v>#N/A</v>
      </c>
      <c r="H234" s="65"/>
      <c r="I234" s="65"/>
      <c r="J234" s="65"/>
      <c r="K234" s="65"/>
    </row>
    <row r="235" spans="1:11" outlineLevel="1" x14ac:dyDescent="0.2">
      <c r="A235" s="666"/>
      <c r="B235" s="1" t="s">
        <v>27</v>
      </c>
      <c r="C235" s="451" t="e">
        <f ca="1">C232-C234*C230</f>
        <v>#N/A</v>
      </c>
      <c r="D235" s="451" t="e">
        <f ca="1">D232-D234*D230</f>
        <v>#N/A</v>
      </c>
      <c r="E235" s="451" t="e">
        <f ca="1">E232-E234*E230</f>
        <v>#N/A</v>
      </c>
      <c r="F235" s="471" t="e">
        <f ca="1">F232-F234*F230</f>
        <v>#N/A</v>
      </c>
      <c r="H235" s="65"/>
      <c r="I235" s="65"/>
      <c r="J235" s="65"/>
      <c r="K235" s="65"/>
    </row>
    <row r="236" spans="1:11" ht="13.5" outlineLevel="1" thickBot="1" x14ac:dyDescent="0.25">
      <c r="A236" s="667"/>
      <c r="B236" s="152" t="s">
        <v>58</v>
      </c>
      <c r="C236" s="474" t="e">
        <f ca="1">C234*C227+C235</f>
        <v>#N/A</v>
      </c>
      <c r="D236" s="474" t="e">
        <f ca="1">D234*D227+D235</f>
        <v>#N/A</v>
      </c>
      <c r="E236" s="474" t="e">
        <f ca="1">E234*E227+E235</f>
        <v>#N/A</v>
      </c>
      <c r="F236" s="475" t="e">
        <f ca="1">F234*F227+F235</f>
        <v>#N/A</v>
      </c>
      <c r="H236" s="65"/>
      <c r="I236" s="65"/>
      <c r="J236" s="65"/>
      <c r="K236" s="65"/>
    </row>
    <row r="237" spans="1:11" x14ac:dyDescent="0.2">
      <c r="B237" s="65"/>
      <c r="C237" s="65"/>
      <c r="D237" s="65"/>
      <c r="E237" s="65"/>
      <c r="F237" s="65"/>
      <c r="H237" s="65"/>
      <c r="I237" s="65"/>
      <c r="J237" s="65"/>
      <c r="K237" s="65"/>
    </row>
    <row r="238" spans="1:11" x14ac:dyDescent="0.2">
      <c r="H238" s="65"/>
      <c r="I238" s="65"/>
      <c r="J238" s="65"/>
      <c r="K238" s="65"/>
    </row>
    <row r="239" spans="1:11" x14ac:dyDescent="0.2">
      <c r="H239" s="65"/>
      <c r="I239" s="65"/>
      <c r="J239" s="65"/>
      <c r="K239" s="65"/>
    </row>
    <row r="240" spans="1:11" x14ac:dyDescent="0.2">
      <c r="H240" s="65"/>
      <c r="I240" s="65"/>
      <c r="J240" s="65"/>
      <c r="K240" s="65"/>
    </row>
    <row r="241" spans="8:11" x14ac:dyDescent="0.2">
      <c r="H241" s="65"/>
      <c r="I241" s="65"/>
      <c r="J241" s="65"/>
      <c r="K241" s="65"/>
    </row>
    <row r="242" spans="8:11" x14ac:dyDescent="0.2">
      <c r="H242" s="65"/>
      <c r="I242" s="65"/>
      <c r="J242" s="65"/>
      <c r="K242" s="65"/>
    </row>
    <row r="243" spans="8:11" x14ac:dyDescent="0.2">
      <c r="H243" s="65"/>
      <c r="I243" s="65"/>
      <c r="J243" s="65"/>
      <c r="K243" s="65"/>
    </row>
    <row r="244" spans="8:11" x14ac:dyDescent="0.2">
      <c r="H244" s="65"/>
      <c r="I244" s="65"/>
      <c r="J244" s="65"/>
      <c r="K244" s="65"/>
    </row>
    <row r="245" spans="8:11" x14ac:dyDescent="0.2">
      <c r="H245" s="65"/>
      <c r="I245" s="65"/>
      <c r="J245" s="65"/>
      <c r="K245" s="65"/>
    </row>
    <row r="246" spans="8:11" x14ac:dyDescent="0.2">
      <c r="H246" s="65"/>
      <c r="I246" s="65"/>
      <c r="J246" s="65"/>
      <c r="K246" s="65"/>
    </row>
    <row r="247" spans="8:11" x14ac:dyDescent="0.2">
      <c r="H247" s="65"/>
      <c r="I247" s="65"/>
      <c r="J247" s="65"/>
      <c r="K247" s="65"/>
    </row>
    <row r="248" spans="8:11" x14ac:dyDescent="0.2">
      <c r="H248" s="65"/>
      <c r="I248" s="65"/>
      <c r="J248" s="65"/>
      <c r="K248" s="65"/>
    </row>
  </sheetData>
  <sheetProtection sheet="1" objects="1" scenarios="1"/>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zoomScale="106" zoomScaleNormal="106" workbookViewId="0">
      <selection activeCell="A2" sqref="A2:A30"/>
    </sheetView>
  </sheetViews>
  <sheetFormatPr defaultColWidth="8.85546875" defaultRowHeight="11.25" x14ac:dyDescent="0.2"/>
  <cols>
    <col min="1" max="1" width="4.140625" style="185" bestFit="1" customWidth="1"/>
    <col min="2" max="2" width="4" style="185" bestFit="1" customWidth="1"/>
    <col min="3" max="3" width="11.7109375" style="185" bestFit="1" customWidth="1"/>
    <col min="4" max="4" width="29.28515625" style="185" bestFit="1" customWidth="1"/>
    <col min="5" max="7" width="30.85546875" style="185" bestFit="1" customWidth="1"/>
    <col min="8" max="8" width="10" style="185" customWidth="1"/>
    <col min="9" max="16384" width="8.85546875" style="185"/>
  </cols>
  <sheetData>
    <row r="1" spans="1:7" x14ac:dyDescent="0.2">
      <c r="B1" s="186"/>
      <c r="C1" s="187"/>
      <c r="D1" s="677" t="s">
        <v>22</v>
      </c>
      <c r="E1" s="677"/>
      <c r="F1" s="677"/>
      <c r="G1" s="678"/>
    </row>
    <row r="2" spans="1:7" ht="12" thickBot="1" x14ac:dyDescent="0.25">
      <c r="A2" s="695" t="s">
        <v>114</v>
      </c>
      <c r="B2" s="188"/>
      <c r="C2" s="189" t="s">
        <v>121</v>
      </c>
      <c r="D2" s="190" t="s">
        <v>30</v>
      </c>
      <c r="E2" s="190" t="s">
        <v>166</v>
      </c>
      <c r="F2" s="190" t="s">
        <v>362</v>
      </c>
      <c r="G2" s="191" t="s">
        <v>171</v>
      </c>
    </row>
    <row r="3" spans="1:7" x14ac:dyDescent="0.2">
      <c r="A3" s="695"/>
      <c r="B3" s="679" t="s">
        <v>9</v>
      </c>
      <c r="C3" s="187" t="s">
        <v>115</v>
      </c>
      <c r="D3" s="192" t="str">
        <f ca="1">CELL("address",'CL6 6MV'!A86)</f>
        <v>'[MU calc RT.xlsx]CL6 6MV'!$A$86</v>
      </c>
      <c r="E3" s="193" t="str">
        <f ca="1">CELL("address",'6MV'!$A$86)</f>
        <v>'[MU calc RT.xlsx]6MV'!$A$86</v>
      </c>
      <c r="F3" s="193" t="str">
        <f ca="1">CELL("address",'10MV'!A86)</f>
        <v>'[MU calc RT.xlsx]10MV'!$A$86</v>
      </c>
      <c r="G3" s="194" t="str">
        <f ca="1">CELL("address",'15MV'!$A$86)</f>
        <v>'[MU calc RT.xlsx]15MV'!$A$86</v>
      </c>
    </row>
    <row r="4" spans="1:7" x14ac:dyDescent="0.2">
      <c r="A4" s="695"/>
      <c r="B4" s="680"/>
      <c r="C4" s="189" t="s">
        <v>116</v>
      </c>
      <c r="D4" s="195" t="str">
        <f ca="1">CELL("address",'CL6 6MV'!AM124)</f>
        <v>'[MU calc RT.xlsx]CL6 6MV'!$AM$124</v>
      </c>
      <c r="E4" s="196" t="str">
        <f ca="1">CELL("address",'6MV'!$AM$124)</f>
        <v>'[MU calc RT.xlsx]6MV'!$AM$124</v>
      </c>
      <c r="F4" s="196" t="str">
        <f ca="1">CELL("address",'10MV'!$AM$124)</f>
        <v>'[MU calc RT.xlsx]10MV'!$AM$124</v>
      </c>
      <c r="G4" s="197" t="str">
        <f ca="1">CELL("address",'15MV'!$AM$124)</f>
        <v>'[MU calc RT.xlsx]15MV'!$AM$124</v>
      </c>
    </row>
    <row r="5" spans="1:7" x14ac:dyDescent="0.2">
      <c r="A5" s="695"/>
      <c r="B5" s="680"/>
      <c r="C5" s="189" t="s">
        <v>117</v>
      </c>
      <c r="D5" s="188" t="str">
        <f t="shared" ref="D5:F5" ca="1" si="0">MID(D3,SEARCH("]",D3)+1,SEARCH("!",D3)-SEARCH("]",D3))</f>
        <v>CL6 6MV'!</v>
      </c>
      <c r="E5" s="189" t="str">
        <f t="shared" ca="1" si="0"/>
        <v>6MV'!</v>
      </c>
      <c r="F5" s="189" t="str">
        <f t="shared" ca="1" si="0"/>
        <v>10MV'!</v>
      </c>
      <c r="G5" s="198" t="str">
        <f ca="1">MID(G3,SEARCH("]",G3)+1,SEARCH("!",G3)-SEARCH("]",G3))</f>
        <v>15MV'!</v>
      </c>
    </row>
    <row r="6" spans="1:7" ht="12" thickBot="1" x14ac:dyDescent="0.25">
      <c r="A6" s="695"/>
      <c r="B6" s="681"/>
      <c r="C6" s="199" t="s">
        <v>118</v>
      </c>
      <c r="D6" s="200" t="str">
        <f t="shared" ref="D6" ca="1" si="1">CONCATENATE("'",D5,ADDRESS(ROW(INDIRECT(D3)),COLUMN(INDIRECT(D3))),":",ADDRESS(ROW(INDIRECT(D4)),COLUMN(INDIRECT(D4))))</f>
        <v>'CL6 6MV'!$A$86:$AM$124</v>
      </c>
      <c r="E6" s="201" t="str">
        <f t="shared" ref="E6:F6" ca="1" si="2">CONCATENATE("'",E5,ADDRESS(ROW(INDIRECT(E3)),COLUMN(INDIRECT(E3))),":",ADDRESS(ROW(INDIRECT(E4)),COLUMN(INDIRECT(E4))))</f>
        <v>'6MV'!$A$86:$AM$124</v>
      </c>
      <c r="F6" s="201" t="str">
        <f t="shared" ca="1" si="2"/>
        <v>'10MV'!$A$86:$AM$124</v>
      </c>
      <c r="G6" s="202" t="str">
        <f ca="1">CONCATENATE("'",G5,ADDRESS(ROW(INDIRECT(G3)),COLUMN(INDIRECT(G3))),":",ADDRESS(ROW(INDIRECT(G4)),COLUMN(INDIRECT(G4))))</f>
        <v>'15MV'!$A$86:$AM$124</v>
      </c>
    </row>
    <row r="7" spans="1:7" x14ac:dyDescent="0.2">
      <c r="A7" s="695"/>
      <c r="B7" s="679" t="s">
        <v>91</v>
      </c>
      <c r="C7" s="187" t="s">
        <v>115</v>
      </c>
      <c r="D7" s="192" t="str">
        <f ca="1">CELL("address",'CL6 6MV'!A297)</f>
        <v>'[MU calc RT.xlsx]CL6 6MV'!$A$297</v>
      </c>
      <c r="E7" s="193" t="str">
        <f ca="1">CELL("address",'6MV'!$A$298)</f>
        <v>'[MU calc RT.xlsx]6MV'!$A$298</v>
      </c>
      <c r="F7" s="193" t="str">
        <f ca="1">CELL("address",'10MV'!$A$298)</f>
        <v>'[MU calc RT.xlsx]10MV'!$A$298</v>
      </c>
      <c r="G7" s="194" t="str">
        <f ca="1">CELL("address",'15MV'!$A$298)</f>
        <v>'[MU calc RT.xlsx]15MV'!$A$298</v>
      </c>
    </row>
    <row r="8" spans="1:7" x14ac:dyDescent="0.2">
      <c r="A8" s="695"/>
      <c r="B8" s="680"/>
      <c r="C8" s="189" t="s">
        <v>116</v>
      </c>
      <c r="D8" s="195" t="str">
        <f ca="1">CELL("address",'CL6 6MV'!AM335)</f>
        <v>'[MU calc RT.xlsx]CL6 6MV'!$AM$335</v>
      </c>
      <c r="E8" s="196" t="str">
        <f ca="1">CELL("address",'6MV'!$AM$336)</f>
        <v>'[MU calc RT.xlsx]6MV'!$AM$336</v>
      </c>
      <c r="F8" s="196" t="str">
        <f ca="1">CELL("address",'10MV'!$AM$336)</f>
        <v>'[MU calc RT.xlsx]10MV'!$AM$336</v>
      </c>
      <c r="G8" s="197" t="str">
        <f ca="1">CELL("address",'15MV'!$AM$336)</f>
        <v>'[MU calc RT.xlsx]15MV'!$AM$336</v>
      </c>
    </row>
    <row r="9" spans="1:7" x14ac:dyDescent="0.2">
      <c r="A9" s="695"/>
      <c r="B9" s="680"/>
      <c r="C9" s="189" t="s">
        <v>117</v>
      </c>
      <c r="D9" s="188" t="str">
        <f t="shared" ref="D9:F9" ca="1" si="3">MID(D7,SEARCH("]",D7)+1,SEARCH("!",D7)-SEARCH("]",D7))</f>
        <v>CL6 6MV'!</v>
      </c>
      <c r="E9" s="189" t="str">
        <f t="shared" ca="1" si="3"/>
        <v>6MV'!</v>
      </c>
      <c r="F9" s="189" t="str">
        <f t="shared" ca="1" si="3"/>
        <v>10MV'!</v>
      </c>
      <c r="G9" s="198" t="str">
        <f ca="1">MID(G7,SEARCH("]",G7)+1,SEARCH("!",G7)-SEARCH("]",G7))</f>
        <v>15MV'!</v>
      </c>
    </row>
    <row r="10" spans="1:7" ht="12" thickBot="1" x14ac:dyDescent="0.25">
      <c r="A10" s="695"/>
      <c r="B10" s="681"/>
      <c r="C10" s="199" t="s">
        <v>118</v>
      </c>
      <c r="D10" s="200" t="str">
        <f t="shared" ref="D10:F10" ca="1" si="4">CONCATENATE("'",D9,ADDRESS(ROW(INDIRECT(D7)),COLUMN(INDIRECT(D7))),":",ADDRESS(ROW(INDIRECT(D8)),COLUMN(INDIRECT(D8))))</f>
        <v>'CL6 6MV'!$A$297:$AM$335</v>
      </c>
      <c r="E10" s="201" t="str">
        <f t="shared" ca="1" si="4"/>
        <v>'6MV'!$A$298:$AM$336</v>
      </c>
      <c r="F10" s="201" t="str">
        <f t="shared" ca="1" si="4"/>
        <v>'10MV'!$A$298:$AM$336</v>
      </c>
      <c r="G10" s="202" t="str">
        <f ca="1">CONCATENATE("'",G9,ADDRESS(ROW(INDIRECT(G7)),COLUMN(INDIRECT(G7))),":",ADDRESS(ROW(INDIRECT(G8)),COLUMN(INDIRECT(G8))))</f>
        <v>'15MV'!$A$298:$AM$336</v>
      </c>
    </row>
    <row r="11" spans="1:7" x14ac:dyDescent="0.2">
      <c r="A11" s="695"/>
      <c r="B11" s="687" t="s">
        <v>277</v>
      </c>
      <c r="C11" s="187" t="s">
        <v>115</v>
      </c>
      <c r="D11" s="192" t="str">
        <f ca="1">CELL("address",'CL6 6MV'!A16)</f>
        <v>'[MU calc RT.xlsx]CL6 6MV'!$A$16</v>
      </c>
      <c r="E11" s="193" t="str">
        <f ca="1">CELL("address",'6MV'!A16)</f>
        <v>'[MU calc RT.xlsx]6MV'!$A$16</v>
      </c>
      <c r="F11" s="193" t="str">
        <f ca="1">CELL("address",'10MV'!A16)</f>
        <v>'[MU calc RT.xlsx]10MV'!$A$16</v>
      </c>
      <c r="G11" s="194" t="str">
        <f ca="1">CELL("address",'15MV'!A16)</f>
        <v>'[MU calc RT.xlsx]15MV'!$A$16</v>
      </c>
    </row>
    <row r="12" spans="1:7" x14ac:dyDescent="0.2">
      <c r="A12" s="695"/>
      <c r="B12" s="688"/>
      <c r="C12" s="189" t="s">
        <v>116</v>
      </c>
      <c r="D12" s="195" t="str">
        <f ca="1">CELL("address",'CL6 6MV'!B16)</f>
        <v>'[MU calc RT.xlsx]CL6 6MV'!$B$16</v>
      </c>
      <c r="E12" s="196" t="str">
        <f ca="1">CELL("address",'6MV'!B16)</f>
        <v>'[MU calc RT.xlsx]6MV'!$B$16</v>
      </c>
      <c r="F12" s="196" t="str">
        <f ca="1">CELL("address",'10MV'!B16)</f>
        <v>'[MU calc RT.xlsx]10MV'!$B$16</v>
      </c>
      <c r="G12" s="197" t="str">
        <f ca="1">CELL("address",'15MV'!B16)</f>
        <v>'[MU calc RT.xlsx]15MV'!$B$16</v>
      </c>
    </row>
    <row r="13" spans="1:7" x14ac:dyDescent="0.2">
      <c r="A13" s="695"/>
      <c r="B13" s="688"/>
      <c r="C13" s="189" t="s">
        <v>117</v>
      </c>
      <c r="D13" s="188" t="str">
        <f t="shared" ref="D13:F13" ca="1" si="5">MID(D11,SEARCH("]",D11)+1,SEARCH("!",D11)-SEARCH("]",D11))</f>
        <v>CL6 6MV'!</v>
      </c>
      <c r="E13" s="189" t="str">
        <f t="shared" ca="1" si="5"/>
        <v>6MV'!</v>
      </c>
      <c r="F13" s="189" t="str">
        <f t="shared" ca="1" si="5"/>
        <v>10MV'!</v>
      </c>
      <c r="G13" s="198" t="str">
        <f ca="1">MID(G11,SEARCH("]",G11)+1,SEARCH("!",G11)-SEARCH("]",G11))</f>
        <v>15MV'!</v>
      </c>
    </row>
    <row r="14" spans="1:7" ht="12" thickBot="1" x14ac:dyDescent="0.25">
      <c r="A14" s="695"/>
      <c r="B14" s="689"/>
      <c r="C14" s="199" t="s">
        <v>118</v>
      </c>
      <c r="D14" s="200" t="str">
        <f t="shared" ref="D14:F14" ca="1" si="6">CONCATENATE("'",D13,ADDRESS(ROW(INDIRECT(D11)),COLUMN(INDIRECT(D11))),":",ADDRESS(ROW(INDIRECT(D12)),COLUMN(INDIRECT(D12))))</f>
        <v>'CL6 6MV'!$A$16:$B$16</v>
      </c>
      <c r="E14" s="201" t="str">
        <f t="shared" ca="1" si="6"/>
        <v>'6MV'!$A$16:$B$16</v>
      </c>
      <c r="F14" s="201" t="str">
        <f t="shared" ca="1" si="6"/>
        <v>'10MV'!$A$16:$B$16</v>
      </c>
      <c r="G14" s="202" t="str">
        <f ca="1">CONCATENATE("'",G13,ADDRESS(ROW(INDIRECT(G11)),COLUMN(INDIRECT(G11))),":",ADDRESS(ROW(INDIRECT(G12)),COLUMN(INDIRECT(G12))))</f>
        <v>'15MV'!$A$16:$B$16</v>
      </c>
    </row>
    <row r="15" spans="1:7" ht="11.25" customHeight="1" x14ac:dyDescent="0.2">
      <c r="A15" s="695"/>
      <c r="B15" s="687" t="s">
        <v>345</v>
      </c>
      <c r="C15" s="187" t="s">
        <v>115</v>
      </c>
      <c r="D15" s="192" t="str">
        <f ca="1">CELL("address",'CL6 6MV'!A20)</f>
        <v>'[MU calc RT.xlsx]CL6 6MV'!$A$20</v>
      </c>
      <c r="E15" s="193" t="str">
        <f ca="1">CELL("address",'6MV'!A20)</f>
        <v>'[MU calc RT.xlsx]6MV'!$A$20</v>
      </c>
      <c r="F15" s="193" t="str">
        <f ca="1">CELL("address",'10MV'!A20)</f>
        <v>'[MU calc RT.xlsx]10MV'!$A$20</v>
      </c>
      <c r="G15" s="194" t="str">
        <f ca="1">CELL("address",'15MV'!A20)</f>
        <v>'[MU calc RT.xlsx]15MV'!$A$20</v>
      </c>
    </row>
    <row r="16" spans="1:7" x14ac:dyDescent="0.2">
      <c r="A16" s="695"/>
      <c r="B16" s="688"/>
      <c r="C16" s="189" t="s">
        <v>116</v>
      </c>
      <c r="D16" s="195" t="str">
        <f ca="1">CELL("address",'CL6 6MV'!B24)</f>
        <v>'[MU calc RT.xlsx]CL6 6MV'!$B$24</v>
      </c>
      <c r="E16" s="196" t="str">
        <f ca="1">CELL("address",'6MV'!B24)</f>
        <v>'[MU calc RT.xlsx]6MV'!$B$24</v>
      </c>
      <c r="F16" s="196" t="str">
        <f ca="1">CELL("address",'10MV'!B24)</f>
        <v>'[MU calc RT.xlsx]10MV'!$B$24</v>
      </c>
      <c r="G16" s="197" t="str">
        <f ca="1">CELL("address",'15MV'!B24)</f>
        <v>'[MU calc RT.xlsx]15MV'!$B$24</v>
      </c>
    </row>
    <row r="17" spans="1:7" x14ac:dyDescent="0.2">
      <c r="A17" s="695"/>
      <c r="B17" s="688"/>
      <c r="C17" s="189" t="s">
        <v>117</v>
      </c>
      <c r="D17" s="188" t="str">
        <f t="shared" ref="D17:F17" ca="1" si="7">MID(D15,SEARCH("]",D15)+1,SEARCH("!",D15)-SEARCH("]",D15))</f>
        <v>CL6 6MV'!</v>
      </c>
      <c r="E17" s="189" t="str">
        <f t="shared" ca="1" si="7"/>
        <v>6MV'!</v>
      </c>
      <c r="F17" s="189" t="str">
        <f t="shared" ca="1" si="7"/>
        <v>10MV'!</v>
      </c>
      <c r="G17" s="198" t="str">
        <f ca="1">MID(G15,SEARCH("]",G15)+1,SEARCH("!",G15)-SEARCH("]",G15))</f>
        <v>15MV'!</v>
      </c>
    </row>
    <row r="18" spans="1:7" ht="12" thickBot="1" x14ac:dyDescent="0.25">
      <c r="A18" s="695"/>
      <c r="B18" s="689"/>
      <c r="C18" s="199" t="s">
        <v>118</v>
      </c>
      <c r="D18" s="200" t="str">
        <f t="shared" ref="D18:F18" ca="1" si="8">CONCATENATE("'",D17,ADDRESS(ROW(INDIRECT(D15)),COLUMN(INDIRECT(D15))),":",ADDRESS(ROW(INDIRECT(D16)),COLUMN(INDIRECT(D16))))</f>
        <v>'CL6 6MV'!$A$20:$B$24</v>
      </c>
      <c r="E18" s="201" t="str">
        <f t="shared" ca="1" si="8"/>
        <v>'6MV'!$A$20:$B$24</v>
      </c>
      <c r="F18" s="201" t="str">
        <f t="shared" ca="1" si="8"/>
        <v>'10MV'!$A$20:$B$24</v>
      </c>
      <c r="G18" s="202" t="str">
        <f ca="1">CONCATENATE("'",G17,ADDRESS(ROW(INDIRECT(G15)),COLUMN(INDIRECT(G15))),":",ADDRESS(ROW(INDIRECT(G16)),COLUMN(INDIRECT(G16))))</f>
        <v>'15MV'!$A$20:$B$24</v>
      </c>
    </row>
    <row r="19" spans="1:7" ht="11.25" customHeight="1" x14ac:dyDescent="0.2">
      <c r="A19" s="695"/>
      <c r="B19" s="679" t="s">
        <v>194</v>
      </c>
      <c r="C19" s="187" t="s">
        <v>115</v>
      </c>
      <c r="D19" s="192" t="str">
        <f ca="1">CELL("address",'CL6 6MV'!A4)</f>
        <v>'[MU calc RT.xlsx]CL6 6MV'!$A$4</v>
      </c>
      <c r="E19" s="193" t="str">
        <f ca="1">CELL("address",'6MV'!A4)</f>
        <v>'[MU calc RT.xlsx]6MV'!$A$4</v>
      </c>
      <c r="F19" s="193" t="str">
        <f ca="1">CELL("address",'10MV'!A4)</f>
        <v>'[MU calc RT.xlsx]10MV'!$A$4</v>
      </c>
      <c r="G19" s="194" t="str">
        <f ca="1">CELL("address",'15MV'!A4)</f>
        <v>'[MU calc RT.xlsx]15MV'!$A$4</v>
      </c>
    </row>
    <row r="20" spans="1:7" x14ac:dyDescent="0.2">
      <c r="A20" s="695"/>
      <c r="B20" s="680"/>
      <c r="C20" s="189" t="s">
        <v>116</v>
      </c>
      <c r="D20" s="195" t="str">
        <f ca="1">CELL("address",'CL6 6MV'!C12)</f>
        <v>'[MU calc RT.xlsx]CL6 6MV'!$C$12</v>
      </c>
      <c r="E20" s="196" t="str">
        <f ca="1">CELL("address",'6MV'!C12)</f>
        <v>'[MU calc RT.xlsx]6MV'!$C$12</v>
      </c>
      <c r="F20" s="196" t="str">
        <f ca="1">CELL("address",'10MV'!C12)</f>
        <v>'[MU calc RT.xlsx]10MV'!$C$12</v>
      </c>
      <c r="G20" s="197" t="str">
        <f ca="1">CELL("address",'15MV'!C12)</f>
        <v>'[MU calc RT.xlsx]15MV'!$C$12</v>
      </c>
    </row>
    <row r="21" spans="1:7" x14ac:dyDescent="0.2">
      <c r="A21" s="695"/>
      <c r="B21" s="680"/>
      <c r="C21" s="189" t="s">
        <v>117</v>
      </c>
      <c r="D21" s="188" t="str">
        <f t="shared" ref="D21:F21" ca="1" si="9">MID(D19,SEARCH("]",D19)+1,SEARCH("!",D19)-SEARCH("]",D19))</f>
        <v>CL6 6MV'!</v>
      </c>
      <c r="E21" s="189" t="str">
        <f t="shared" ca="1" si="9"/>
        <v>6MV'!</v>
      </c>
      <c r="F21" s="189" t="str">
        <f t="shared" ca="1" si="9"/>
        <v>10MV'!</v>
      </c>
      <c r="G21" s="198" t="str">
        <f ca="1">MID(G19,SEARCH("]",G19)+1,SEARCH("!",G19)-SEARCH("]",G19))</f>
        <v>15MV'!</v>
      </c>
    </row>
    <row r="22" spans="1:7" ht="12" thickBot="1" x14ac:dyDescent="0.25">
      <c r="A22" s="695"/>
      <c r="B22" s="681"/>
      <c r="C22" s="199" t="s">
        <v>118</v>
      </c>
      <c r="D22" s="200" t="str">
        <f t="shared" ref="D22:F22" ca="1" si="10">CONCATENATE("'",D21,ADDRESS(ROW(INDIRECT(D19)),COLUMN(INDIRECT(D19))),":",ADDRESS(ROW(INDIRECT(D20)),COLUMN(INDIRECT(D20))))</f>
        <v>'CL6 6MV'!$A$4:$C$12</v>
      </c>
      <c r="E22" s="201" t="str">
        <f t="shared" ca="1" si="10"/>
        <v>'6MV'!$A$4:$C$12</v>
      </c>
      <c r="F22" s="201" t="str">
        <f t="shared" ca="1" si="10"/>
        <v>'10MV'!$A$4:$C$12</v>
      </c>
      <c r="G22" s="202" t="str">
        <f ca="1">CONCATENATE("'",G21,ADDRESS(ROW(INDIRECT(G19)),COLUMN(INDIRECT(G19))),":",ADDRESS(ROW(INDIRECT(G20)),COLUMN(INDIRECT(G20))))</f>
        <v>'15MV'!$A$4:$C$12</v>
      </c>
    </row>
    <row r="23" spans="1:7" x14ac:dyDescent="0.2">
      <c r="A23" s="695"/>
      <c r="B23" s="679" t="s">
        <v>8</v>
      </c>
      <c r="C23" s="187" t="s">
        <v>115</v>
      </c>
      <c r="D23" s="192" t="str">
        <f ca="1">CELL("address",'CL6 6MV'!$A$29)</f>
        <v>'[MU calc RT.xlsx]CL6 6MV'!$A$29</v>
      </c>
      <c r="E23" s="193" t="str">
        <f ca="1">CELL("address",'6MV'!$A$29)</f>
        <v>'[MU calc RT.xlsx]6MV'!$A$29</v>
      </c>
      <c r="F23" s="193" t="str">
        <f ca="1">CELL("address",'10MV'!$A$29)</f>
        <v>'[MU calc RT.xlsx]10MV'!$A$29</v>
      </c>
      <c r="G23" s="194" t="str">
        <f ca="1">CELL("address",'15MV'!$A$29)</f>
        <v>'[MU calc RT.xlsx]15MV'!$A$29</v>
      </c>
    </row>
    <row r="24" spans="1:7" x14ac:dyDescent="0.2">
      <c r="A24" s="695"/>
      <c r="B24" s="680"/>
      <c r="C24" s="189" t="s">
        <v>116</v>
      </c>
      <c r="D24" s="195" t="str">
        <f ca="1">CELL("address",'CL6 6MV'!$BG$81)</f>
        <v>'[MU calc RT.xlsx]CL6 6MV'!$BG$81</v>
      </c>
      <c r="E24" s="196" t="str">
        <f ca="1">CELL("address",'6MV'!$BG$81)</f>
        <v>'[MU calc RT.xlsx]6MV'!$BG$81</v>
      </c>
      <c r="F24" s="196" t="str">
        <f ca="1">CELL("address",'10MV'!$BG$81)</f>
        <v>'[MU calc RT.xlsx]10MV'!$BG$81</v>
      </c>
      <c r="G24" s="197" t="str">
        <f ca="1">CELL("address",'15MV'!$BG$81)</f>
        <v>'[MU calc RT.xlsx]15MV'!$BG$81</v>
      </c>
    </row>
    <row r="25" spans="1:7" x14ac:dyDescent="0.2">
      <c r="A25" s="695"/>
      <c r="B25" s="680"/>
      <c r="C25" s="189" t="s">
        <v>117</v>
      </c>
      <c r="D25" s="188" t="str">
        <f t="shared" ref="D25:F25" ca="1" si="11">MID(D23,SEARCH("]",D23)+1,SEARCH("!",D23)-SEARCH("]",D23))</f>
        <v>CL6 6MV'!</v>
      </c>
      <c r="E25" s="189" t="str">
        <f t="shared" ca="1" si="11"/>
        <v>6MV'!</v>
      </c>
      <c r="F25" s="189" t="str">
        <f t="shared" ca="1" si="11"/>
        <v>10MV'!</v>
      </c>
      <c r="G25" s="198" t="str">
        <f ca="1">MID(G23,SEARCH("]",G23)+1,SEARCH("!",G23)-SEARCH("]",G23))</f>
        <v>15MV'!</v>
      </c>
    </row>
    <row r="26" spans="1:7" ht="12" thickBot="1" x14ac:dyDescent="0.25">
      <c r="A26" s="695"/>
      <c r="B26" s="681"/>
      <c r="C26" s="199" t="s">
        <v>118</v>
      </c>
      <c r="D26" s="200" t="str">
        <f t="shared" ref="D26:F26" ca="1" si="12">CONCATENATE("'",D25,ADDRESS(ROW(INDIRECT(D23)),COLUMN(INDIRECT(D23))),":",ADDRESS(ROW(INDIRECT(D24)),COLUMN(INDIRECT(D24))))</f>
        <v>'CL6 6MV'!$A$29:$BG$81</v>
      </c>
      <c r="E26" s="201" t="str">
        <f t="shared" ca="1" si="12"/>
        <v>'6MV'!$A$29:$BG$81</v>
      </c>
      <c r="F26" s="201" t="str">
        <f t="shared" ca="1" si="12"/>
        <v>'10MV'!$A$29:$BG$81</v>
      </c>
      <c r="G26" s="202" t="str">
        <f ca="1">CONCATENATE("'",G25,ADDRESS(ROW(INDIRECT(G23)),COLUMN(INDIRECT(G23))),":",ADDRESS(ROW(INDIRECT(G24)),COLUMN(INDIRECT(G24))))</f>
        <v>'15MV'!$A$29:$BG$81</v>
      </c>
    </row>
    <row r="27" spans="1:7" x14ac:dyDescent="0.2">
      <c r="A27" s="695"/>
      <c r="B27" s="679" t="s">
        <v>99</v>
      </c>
      <c r="C27" s="187" t="s">
        <v>115</v>
      </c>
      <c r="D27" s="192" t="str">
        <f ca="1">CELL("address",'CL6 6MV'!$A$235)</f>
        <v>'[MU calc RT.xlsx]CL6 6MV'!$A$235</v>
      </c>
      <c r="E27" s="193" t="str">
        <f ca="1">CELL("address",'6MV'!$A$235)</f>
        <v>'[MU calc RT.xlsx]6MV'!$A$235</v>
      </c>
      <c r="F27" s="193" t="str">
        <f ca="1">CELL("address",'10MV'!$A$235)</f>
        <v>'[MU calc RT.xlsx]10MV'!$A$235</v>
      </c>
      <c r="G27" s="194" t="str">
        <f ca="1">CELL("address",'15MV'!$A$235)</f>
        <v>'[MU calc RT.xlsx]15MV'!$A$235</v>
      </c>
    </row>
    <row r="28" spans="1:7" x14ac:dyDescent="0.2">
      <c r="A28" s="695"/>
      <c r="B28" s="680"/>
      <c r="C28" s="189" t="s">
        <v>116</v>
      </c>
      <c r="D28" s="195" t="str">
        <f ca="1">CELL("address",'CL6 6MV'!$B$292)</f>
        <v>'[MU calc RT.xlsx]CL6 6MV'!$B$292</v>
      </c>
      <c r="E28" s="196" t="str">
        <f ca="1">CELL("address",'6MV'!$B$293)</f>
        <v>'[MU calc RT.xlsx]6MV'!$B$293</v>
      </c>
      <c r="F28" s="196" t="str">
        <f ca="1">CELL("address",'10MV'!$B$293)</f>
        <v>'[MU calc RT.xlsx]10MV'!$B$293</v>
      </c>
      <c r="G28" s="197" t="str">
        <f ca="1">CELL("address",'15MV'!$B$293)</f>
        <v>'[MU calc RT.xlsx]15MV'!$B$293</v>
      </c>
    </row>
    <row r="29" spans="1:7" x14ac:dyDescent="0.2">
      <c r="A29" s="695"/>
      <c r="B29" s="680"/>
      <c r="C29" s="189" t="s">
        <v>117</v>
      </c>
      <c r="D29" s="188" t="str">
        <f t="shared" ref="D29:F29" ca="1" si="13">MID(D27,SEARCH("]",D27)+1,SEARCH("!",D27)-SEARCH("]",D27))</f>
        <v>CL6 6MV'!</v>
      </c>
      <c r="E29" s="189" t="str">
        <f t="shared" ca="1" si="13"/>
        <v>6MV'!</v>
      </c>
      <c r="F29" s="189" t="str">
        <f t="shared" ca="1" si="13"/>
        <v>10MV'!</v>
      </c>
      <c r="G29" s="198" t="str">
        <f ca="1">MID(G27,SEARCH("]",G27)+1,SEARCH("!",G27)-SEARCH("]",G27))</f>
        <v>15MV'!</v>
      </c>
    </row>
    <row r="30" spans="1:7" ht="12" thickBot="1" x14ac:dyDescent="0.25">
      <c r="A30" s="695"/>
      <c r="B30" s="681"/>
      <c r="C30" s="199" t="s">
        <v>118</v>
      </c>
      <c r="D30" s="200" t="str">
        <f t="shared" ref="D30:F30" ca="1" si="14">CONCATENATE("'",D29,ADDRESS(ROW(INDIRECT(D27)),COLUMN(INDIRECT(D27))),":",ADDRESS(ROW(INDIRECT(D28)),COLUMN(INDIRECT(D28))))</f>
        <v>'CL6 6MV'!$A$235:$B$292</v>
      </c>
      <c r="E30" s="201" t="str">
        <f t="shared" ca="1" si="14"/>
        <v>'6MV'!$A$235:$B$293</v>
      </c>
      <c r="F30" s="201" t="str">
        <f t="shared" ca="1" si="14"/>
        <v>'10MV'!$A$235:$B$293</v>
      </c>
      <c r="G30" s="202" t="str">
        <f ca="1">CONCATENATE("'",G29,ADDRESS(ROW(INDIRECT(G27)),COLUMN(INDIRECT(G27))),":",ADDRESS(ROW(INDIRECT(G28)),COLUMN(INDIRECT(G28))))</f>
        <v>'15MV'!$A$235:$B$293</v>
      </c>
    </row>
    <row r="31" spans="1:7" x14ac:dyDescent="0.2">
      <c r="B31" s="679" t="s">
        <v>66</v>
      </c>
      <c r="C31" s="187" t="s">
        <v>115</v>
      </c>
      <c r="D31" s="192" t="str">
        <f ca="1">CELL("address",'CL6 6MV'!$A$129)</f>
        <v>'[MU calc RT.xlsx]CL6 6MV'!$A$129</v>
      </c>
      <c r="E31" s="193" t="str">
        <f ca="1">CELL("address",'6MV'!$A$129)</f>
        <v>'[MU calc RT.xlsx]6MV'!$A$129</v>
      </c>
      <c r="F31" s="193" t="str">
        <f ca="1">CELL("address",'10MV'!$A$129)</f>
        <v>'[MU calc RT.xlsx]10MV'!$A$129</v>
      </c>
      <c r="G31" s="194" t="str">
        <f ca="1">CELL("address",'15MV'!$A$129)</f>
        <v>'[MU calc RT.xlsx]15MV'!$A$129</v>
      </c>
    </row>
    <row r="32" spans="1:7" x14ac:dyDescent="0.2">
      <c r="B32" s="680"/>
      <c r="C32" s="189" t="s">
        <v>116</v>
      </c>
      <c r="D32" s="195" t="str">
        <f ca="1">CELL("address",'CL6 6MV'!$H$231)</f>
        <v>'[MU calc RT.xlsx]CL6 6MV'!$H$231</v>
      </c>
      <c r="E32" s="196" t="str">
        <f ca="1">CELL("address",'6MV'!$H$231)</f>
        <v>'[MU calc RT.xlsx]6MV'!$H$231</v>
      </c>
      <c r="F32" s="196" t="str">
        <f ca="1">CELL("address",'10MV'!$H$231)</f>
        <v>'[MU calc RT.xlsx]10MV'!$H$231</v>
      </c>
      <c r="G32" s="197" t="str">
        <f ca="1">CELL("address",'15MV'!$H$231)</f>
        <v>'[MU calc RT.xlsx]15MV'!$H$231</v>
      </c>
    </row>
    <row r="33" spans="2:15" x14ac:dyDescent="0.2">
      <c r="B33" s="680"/>
      <c r="C33" s="189" t="s">
        <v>117</v>
      </c>
      <c r="D33" s="188" t="str">
        <f t="shared" ref="D33:F33" ca="1" si="15">MID(D31,SEARCH("]",D31)+1,SEARCH("!",D31)-SEARCH("]",D31))</f>
        <v>CL6 6MV'!</v>
      </c>
      <c r="E33" s="189" t="str">
        <f t="shared" ca="1" si="15"/>
        <v>6MV'!</v>
      </c>
      <c r="F33" s="189" t="str">
        <f t="shared" ca="1" si="15"/>
        <v>10MV'!</v>
      </c>
      <c r="G33" s="198" t="str">
        <f ca="1">MID(G31,SEARCH("]",G31)+1,SEARCH("!",G31)-SEARCH("]",G31))</f>
        <v>15MV'!</v>
      </c>
    </row>
    <row r="34" spans="2:15" ht="12" thickBot="1" x14ac:dyDescent="0.25">
      <c r="B34" s="681"/>
      <c r="C34" s="199" t="s">
        <v>118</v>
      </c>
      <c r="D34" s="200" t="str">
        <f t="shared" ref="D34:F34" ca="1" si="16">CONCATENATE("'",D33,ADDRESS(ROW(INDIRECT(D31)),COLUMN(INDIRECT(D31))),":",ADDRESS(ROW(INDIRECT(D32)),COLUMN(INDIRECT(D32))))</f>
        <v>'CL6 6MV'!$A$129:$H$231</v>
      </c>
      <c r="E34" s="201" t="str">
        <f t="shared" ca="1" si="16"/>
        <v>'6MV'!$A$129:$H$231</v>
      </c>
      <c r="F34" s="201" t="str">
        <f t="shared" ca="1" si="16"/>
        <v>'10MV'!$A$129:$H$231</v>
      </c>
      <c r="G34" s="202" t="str">
        <f ca="1">CONCATENATE("'",G33,ADDRESS(ROW(INDIRECT(G31)),COLUMN(INDIRECT(G31))),":",ADDRESS(ROW(INDIRECT(G32)),COLUMN(INDIRECT(G32))))</f>
        <v>'15MV'!$A$129:$H$231</v>
      </c>
    </row>
    <row r="35" spans="2:15" s="65" customFormat="1" ht="13.5" thickBot="1" x14ac:dyDescent="0.25"/>
    <row r="36" spans="2:15" s="65" customFormat="1" ht="12.75" x14ac:dyDescent="0.2">
      <c r="C36" s="185"/>
      <c r="D36" s="685" t="s">
        <v>278</v>
      </c>
      <c r="E36" s="686"/>
    </row>
    <row r="37" spans="2:15" s="65" customFormat="1" ht="12.75" x14ac:dyDescent="0.2">
      <c r="C37" s="185"/>
      <c r="D37" s="203" t="s">
        <v>66</v>
      </c>
      <c r="E37" s="150">
        <f>ROWS(D3:D34)</f>
        <v>32</v>
      </c>
    </row>
    <row r="38" spans="2:15" s="65" customFormat="1" ht="12.75" x14ac:dyDescent="0.2">
      <c r="C38" s="185"/>
      <c r="D38" s="204" t="s">
        <v>277</v>
      </c>
      <c r="E38" s="150">
        <f>ROWS(D3:D14)</f>
        <v>12</v>
      </c>
    </row>
    <row r="39" spans="2:15" s="65" customFormat="1" ht="12.75" x14ac:dyDescent="0.2">
      <c r="C39" s="185"/>
      <c r="D39" s="203" t="s">
        <v>194</v>
      </c>
      <c r="E39" s="150">
        <f>ROWS(D3:D22)</f>
        <v>20</v>
      </c>
    </row>
    <row r="40" spans="2:15" s="65" customFormat="1" ht="12.75" x14ac:dyDescent="0.2">
      <c r="C40" s="185"/>
      <c r="D40" s="203" t="s">
        <v>99</v>
      </c>
      <c r="E40" s="150">
        <f>ROWS(D3:D30)</f>
        <v>28</v>
      </c>
    </row>
    <row r="41" spans="2:15" s="65" customFormat="1" ht="12.75" x14ac:dyDescent="0.2">
      <c r="C41" s="185"/>
      <c r="D41" s="203" t="s">
        <v>9</v>
      </c>
      <c r="E41" s="150">
        <f>ROWS(D3:D6)</f>
        <v>4</v>
      </c>
    </row>
    <row r="42" spans="2:15" s="65" customFormat="1" ht="12.75" x14ac:dyDescent="0.2">
      <c r="C42" s="185"/>
      <c r="D42" s="203" t="s">
        <v>91</v>
      </c>
      <c r="E42" s="150">
        <f>ROWS(D3:D10)</f>
        <v>8</v>
      </c>
    </row>
    <row r="43" spans="2:15" s="65" customFormat="1" ht="12.75" x14ac:dyDescent="0.2">
      <c r="C43" s="185"/>
      <c r="D43" s="203" t="s">
        <v>248</v>
      </c>
      <c r="E43" s="150">
        <f>ROWS(D3:D18)</f>
        <v>16</v>
      </c>
    </row>
    <row r="44" spans="2:15" s="65" customFormat="1" ht="13.5" thickBot="1" x14ac:dyDescent="0.25">
      <c r="C44" s="185"/>
      <c r="D44" s="205" t="s">
        <v>8</v>
      </c>
      <c r="E44" s="206">
        <f>ROWS(D3:D26)</f>
        <v>24</v>
      </c>
    </row>
    <row r="45" spans="2:15" s="65" customFormat="1" ht="12.75" x14ac:dyDescent="0.2"/>
    <row r="46" spans="2:15" s="65" customFormat="1" ht="12.75" x14ac:dyDescent="0.2"/>
    <row r="47" spans="2:15" ht="12" customHeight="1" x14ac:dyDescent="0.2">
      <c r="O47" s="65"/>
    </row>
    <row r="48" spans="2:15" ht="21.75" customHeight="1" thickBot="1" x14ac:dyDescent="0.4">
      <c r="C48" s="694" t="s">
        <v>84</v>
      </c>
      <c r="D48" s="694"/>
      <c r="E48" s="694"/>
      <c r="F48" s="694"/>
      <c r="G48" s="694"/>
      <c r="O48" s="65"/>
    </row>
    <row r="49" spans="2:15" ht="12" customHeight="1" thickBot="1" x14ac:dyDescent="0.25">
      <c r="B49" s="682" t="s">
        <v>80</v>
      </c>
      <c r="C49" s="207"/>
      <c r="D49" s="208" t="s">
        <v>30</v>
      </c>
      <c r="E49" s="208" t="s">
        <v>166</v>
      </c>
      <c r="F49" s="208" t="s">
        <v>362</v>
      </c>
      <c r="G49" s="209" t="s">
        <v>171</v>
      </c>
      <c r="O49" s="65"/>
    </row>
    <row r="50" spans="2:15" ht="12" customHeight="1" x14ac:dyDescent="0.2">
      <c r="B50" s="683"/>
      <c r="C50" s="210" t="s">
        <v>194</v>
      </c>
      <c r="D50" s="207">
        <f ca="1">SUM(INDIRECT(D22))</f>
        <v>238</v>
      </c>
      <c r="E50" s="211">
        <f t="shared" ref="E50:G50" ca="1" si="17">SUM(INDIRECT(E22))</f>
        <v>238</v>
      </c>
      <c r="F50" s="211">
        <f t="shared" ca="1" si="17"/>
        <v>238</v>
      </c>
      <c r="G50" s="212">
        <f t="shared" ca="1" si="17"/>
        <v>238</v>
      </c>
      <c r="O50" s="65"/>
    </row>
    <row r="51" spans="2:15" ht="12" customHeight="1" x14ac:dyDescent="0.2">
      <c r="B51" s="683"/>
      <c r="C51" s="210" t="s">
        <v>138</v>
      </c>
      <c r="D51" s="213">
        <f ca="1">SUM(INDIRECT(D14))</f>
        <v>98</v>
      </c>
      <c r="E51" s="214">
        <f ca="1">SUM(INDIRECT(E14))</f>
        <v>100</v>
      </c>
      <c r="F51" s="214">
        <f t="shared" ref="F51:G51" ca="1" si="18">SUM(INDIRECT(F14))</f>
        <v>100</v>
      </c>
      <c r="G51" s="215">
        <f t="shared" ca="1" si="18"/>
        <v>100</v>
      </c>
      <c r="O51" s="65"/>
    </row>
    <row r="52" spans="2:15" ht="12" customHeight="1" x14ac:dyDescent="0.2">
      <c r="B52" s="683"/>
      <c r="C52" s="210" t="s">
        <v>248</v>
      </c>
      <c r="D52" s="213">
        <v>4.9000000000000004</v>
      </c>
      <c r="E52" s="214">
        <f ca="1">SUM(INDIRECT(E18))</f>
        <v>3.9</v>
      </c>
      <c r="F52" s="214">
        <f ca="1">SUM(INDIRECT(F18))</f>
        <v>3.9099999999999997</v>
      </c>
      <c r="G52" s="215">
        <v>4.9399999999999995</v>
      </c>
      <c r="O52" s="65"/>
    </row>
    <row r="53" spans="2:15" ht="12" customHeight="1" x14ac:dyDescent="0.2">
      <c r="B53" s="684"/>
      <c r="C53" s="216" t="str">
        <f>B3</f>
        <v>RDF</v>
      </c>
      <c r="D53" s="213">
        <f ca="1">SUM(INDIRECT(D6))</f>
        <v>3194.5586236676909</v>
      </c>
      <c r="E53" s="214">
        <f ca="1">SUM(INDIRECT(E6))</f>
        <v>3207.5723926621099</v>
      </c>
      <c r="F53" s="214">
        <f ca="1">SUM(INDIRECT(F6))</f>
        <v>3208.2336811558816</v>
      </c>
      <c r="G53" s="215">
        <f ca="1">SUM(INDIRECT(G6))</f>
        <v>3214.3732057484813</v>
      </c>
      <c r="O53" s="65"/>
    </row>
    <row r="54" spans="2:15" ht="12" customHeight="1" x14ac:dyDescent="0.2">
      <c r="B54" s="684"/>
      <c r="C54" s="216" t="str">
        <f>B7</f>
        <v>ROF</v>
      </c>
      <c r="D54" s="213">
        <f ca="1">SUM(INDIRECT(D10))</f>
        <v>3172.114842445761</v>
      </c>
      <c r="E54" s="214">
        <f ca="1">SUM(INDIRECT(E10))</f>
        <v>3180.0530896271989</v>
      </c>
      <c r="F54" s="214">
        <f ca="1">SUM(INDIRECT(F10))</f>
        <v>3177.0746202407227</v>
      </c>
      <c r="G54" s="215">
        <f ca="1">SUM(INDIRECT(G10))</f>
        <v>3175.7411395387562</v>
      </c>
      <c r="O54" s="65"/>
    </row>
    <row r="55" spans="2:15" ht="12" customHeight="1" x14ac:dyDescent="0.2">
      <c r="B55" s="684"/>
      <c r="C55" s="216" t="str">
        <f>B23</f>
        <v>TPR</v>
      </c>
      <c r="D55" s="213">
        <f ca="1">SUM(INDIRECT(D26))</f>
        <v>4805.3245747739893</v>
      </c>
      <c r="E55" s="214">
        <f ca="1">SUM(INDIRECT(E26))</f>
        <v>4815.5148659144379</v>
      </c>
      <c r="F55" s="214">
        <f ca="1">SUM(INDIRECT(F26))</f>
        <v>4957.7149231188159</v>
      </c>
      <c r="G55" s="215">
        <f ca="1">SUM(INDIRECT(G26))</f>
        <v>5009.1236435870624</v>
      </c>
      <c r="O55" s="65"/>
    </row>
    <row r="56" spans="2:15" ht="12" customHeight="1" x14ac:dyDescent="0.2">
      <c r="B56" s="684"/>
      <c r="C56" s="216" t="str">
        <f>B27</f>
        <v>PSF</v>
      </c>
      <c r="D56" s="213">
        <f ca="1">SUM(INDIRECT(D30))</f>
        <v>1881.5433715137804</v>
      </c>
      <c r="E56" s="214">
        <f ca="1">SUM(INDIRECT(E30))</f>
        <v>1943.8137973205594</v>
      </c>
      <c r="F56" s="214">
        <f ca="1">SUM(INDIRECT(F30))</f>
        <v>1944.0242175847736</v>
      </c>
      <c r="G56" s="215">
        <f ca="1">SUM(INDIRECT(G30))</f>
        <v>1944.2595921597024</v>
      </c>
    </row>
    <row r="57" spans="2:15" ht="12" customHeight="1" thickBot="1" x14ac:dyDescent="0.25">
      <c r="B57" s="684"/>
      <c r="C57" s="217" t="str">
        <f>B31</f>
        <v>EDW WF</v>
      </c>
      <c r="D57" s="218">
        <f ca="1">SUM(INDIRECT(D34))</f>
        <v>1121.58046655456</v>
      </c>
      <c r="E57" s="219">
        <f ca="1">SUM(INDIRECT(E34))</f>
        <v>515.00099999999998</v>
      </c>
      <c r="F57" s="219">
        <f ca="1">SUM(INDIRECT(F34))</f>
        <v>515.00099999999998</v>
      </c>
      <c r="G57" s="220">
        <f ca="1">SUM(INDIRECT(G34))</f>
        <v>515.00099999999998</v>
      </c>
    </row>
    <row r="58" spans="2:15" ht="12" customHeight="1" thickBot="1" x14ac:dyDescent="0.25"/>
    <row r="59" spans="2:15" ht="12" customHeight="1" thickTop="1" thickBot="1" x14ac:dyDescent="0.25">
      <c r="D59" s="221" t="s">
        <v>82</v>
      </c>
      <c r="E59" s="222">
        <f ca="1">SUM(D50:G57)</f>
        <v>56865.274047614272</v>
      </c>
      <c r="F59" s="223"/>
    </row>
    <row r="60" spans="2:15" ht="12" customHeight="1" thickTop="1" thickBot="1" x14ac:dyDescent="0.25"/>
    <row r="61" spans="2:15" ht="12" customHeight="1" thickBot="1" x14ac:dyDescent="0.25">
      <c r="B61" s="690" t="s">
        <v>81</v>
      </c>
      <c r="C61" s="211"/>
      <c r="D61" s="208" t="s">
        <v>30</v>
      </c>
      <c r="E61" s="208" t="s">
        <v>166</v>
      </c>
      <c r="F61" s="208" t="s">
        <v>167</v>
      </c>
      <c r="G61" s="209" t="s">
        <v>171</v>
      </c>
    </row>
    <row r="62" spans="2:15" ht="12" customHeight="1" x14ac:dyDescent="0.2">
      <c r="B62" s="691"/>
      <c r="C62" s="210" t="s">
        <v>194</v>
      </c>
      <c r="D62" s="207">
        <v>238</v>
      </c>
      <c r="E62" s="211">
        <v>238</v>
      </c>
      <c r="F62" s="211">
        <v>238</v>
      </c>
      <c r="G62" s="212">
        <v>238</v>
      </c>
      <c r="O62" s="65"/>
    </row>
    <row r="63" spans="2:15" ht="12" customHeight="1" x14ac:dyDescent="0.2">
      <c r="B63" s="691"/>
      <c r="C63" s="210" t="s">
        <v>138</v>
      </c>
      <c r="D63" s="213">
        <v>98</v>
      </c>
      <c r="E63" s="214">
        <v>100</v>
      </c>
      <c r="F63" s="214">
        <v>100</v>
      </c>
      <c r="G63" s="215">
        <v>100</v>
      </c>
      <c r="O63" s="65"/>
    </row>
    <row r="64" spans="2:15" ht="12" customHeight="1" x14ac:dyDescent="0.2">
      <c r="B64" s="691"/>
      <c r="C64" s="210" t="s">
        <v>248</v>
      </c>
      <c r="D64" s="213">
        <v>4.9000000000000004</v>
      </c>
      <c r="E64" s="214">
        <v>3.9</v>
      </c>
      <c r="F64" s="214">
        <v>3.9099999999999997</v>
      </c>
      <c r="G64" s="215">
        <v>4.9399999999999995</v>
      </c>
      <c r="O64" s="65"/>
    </row>
    <row r="65" spans="2:7" ht="12" customHeight="1" x14ac:dyDescent="0.2">
      <c r="B65" s="692"/>
      <c r="C65" s="224" t="s">
        <v>9</v>
      </c>
      <c r="D65" s="213">
        <v>3194.5586236676909</v>
      </c>
      <c r="E65" s="214">
        <v>3207.5723926621099</v>
      </c>
      <c r="F65" s="214">
        <v>3208.2336811558816</v>
      </c>
      <c r="G65" s="215">
        <v>3214.3732057484813</v>
      </c>
    </row>
    <row r="66" spans="2:7" ht="12" customHeight="1" x14ac:dyDescent="0.2">
      <c r="B66" s="692"/>
      <c r="C66" s="224" t="s">
        <v>91</v>
      </c>
      <c r="D66" s="213">
        <v>3172.114842445761</v>
      </c>
      <c r="E66" s="214">
        <v>3180.0530896271989</v>
      </c>
      <c r="F66" s="214">
        <v>3177.0746202407227</v>
      </c>
      <c r="G66" s="215">
        <v>3175.7411395387562</v>
      </c>
    </row>
    <row r="67" spans="2:7" ht="12" customHeight="1" x14ac:dyDescent="0.2">
      <c r="B67" s="692"/>
      <c r="C67" s="224" t="s">
        <v>8</v>
      </c>
      <c r="D67" s="213">
        <v>4805.3245747739893</v>
      </c>
      <c r="E67" s="214">
        <v>4815.5148659144379</v>
      </c>
      <c r="F67" s="214">
        <v>4957.7149231188159</v>
      </c>
      <c r="G67" s="215">
        <v>5009.1236435870624</v>
      </c>
    </row>
    <row r="68" spans="2:7" ht="12" customHeight="1" x14ac:dyDescent="0.2">
      <c r="B68" s="692"/>
      <c r="C68" s="224" t="s">
        <v>99</v>
      </c>
      <c r="D68" s="213">
        <v>1881.5433715137804</v>
      </c>
      <c r="E68" s="214">
        <v>1943.8137973205594</v>
      </c>
      <c r="F68" s="214">
        <v>1944.0242175847736</v>
      </c>
      <c r="G68" s="215">
        <v>1944.2595921597024</v>
      </c>
    </row>
    <row r="69" spans="2:7" ht="12" customHeight="1" thickBot="1" x14ac:dyDescent="0.25">
      <c r="B69" s="693"/>
      <c r="C69" s="225" t="s">
        <v>66</v>
      </c>
      <c r="D69" s="218">
        <v>1121.58046655456</v>
      </c>
      <c r="E69" s="219">
        <v>515.00099999999998</v>
      </c>
      <c r="F69" s="219">
        <v>515.00099999999998</v>
      </c>
      <c r="G69" s="220">
        <v>515.00099999999998</v>
      </c>
    </row>
    <row r="70" spans="2:7" ht="12" customHeight="1" x14ac:dyDescent="0.2"/>
    <row r="71" spans="2:7" ht="12" thickBot="1" x14ac:dyDescent="0.25"/>
    <row r="72" spans="2:7" ht="12.75" thickTop="1" thickBot="1" x14ac:dyDescent="0.25">
      <c r="D72" s="221" t="s">
        <v>337</v>
      </c>
      <c r="E72" s="222">
        <v>56865.274047614272</v>
      </c>
      <c r="F72" s="223"/>
    </row>
    <row r="73" spans="2:7" ht="12.75" thickTop="1" thickBot="1" x14ac:dyDescent="0.25">
      <c r="D73" s="226"/>
      <c r="E73" s="227"/>
      <c r="F73" s="227"/>
    </row>
    <row r="74" spans="2:7" ht="13.5" thickBot="1" x14ac:dyDescent="0.25">
      <c r="D74" s="228" t="s">
        <v>83</v>
      </c>
      <c r="E74" s="229" t="b">
        <f ca="1">(E59=E72)</f>
        <v>1</v>
      </c>
      <c r="F74" s="230"/>
    </row>
  </sheetData>
  <sheetProtection sheet="1" objects="1" scenarios="1"/>
  <sortState ref="D33:E39">
    <sortCondition ref="D33:D39"/>
  </sortState>
  <mergeCells count="14">
    <mergeCell ref="B61:B69"/>
    <mergeCell ref="C48:G48"/>
    <mergeCell ref="A2:A30"/>
    <mergeCell ref="B27:B30"/>
    <mergeCell ref="B31:B34"/>
    <mergeCell ref="B3:B6"/>
    <mergeCell ref="B15:B18"/>
    <mergeCell ref="D1:G1"/>
    <mergeCell ref="B7:B10"/>
    <mergeCell ref="B23:B26"/>
    <mergeCell ref="B19:B22"/>
    <mergeCell ref="B49:B57"/>
    <mergeCell ref="D36:E36"/>
    <mergeCell ref="B11:B14"/>
  </mergeCells>
  <phoneticPr fontId="0" type="noConversion"/>
  <conditionalFormatting sqref="E59:F59">
    <cfRule type="cellIs" dxfId="1" priority="7" stopIfTrue="1" operator="notEqual">
      <formula>E72</formula>
    </cfRule>
  </conditionalFormatting>
  <conditionalFormatting sqref="D50:G57">
    <cfRule type="cellIs" dxfId="0"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zoomScale="75" zoomScaleNormal="75" workbookViewId="0">
      <selection activeCell="F3" sqref="F3"/>
    </sheetView>
  </sheetViews>
  <sheetFormatPr defaultColWidth="5.28515625" defaultRowHeight="17.45" customHeight="1" x14ac:dyDescent="0.2"/>
  <cols>
    <col min="1" max="1" width="13.140625" style="233" customWidth="1"/>
    <col min="2" max="2" width="7.5703125" style="232" customWidth="1"/>
    <col min="3" max="3" width="8" style="232" customWidth="1"/>
    <col min="4" max="4" width="7.85546875" style="232" customWidth="1"/>
    <col min="5" max="5" width="8.140625" style="232" customWidth="1"/>
    <col min="6" max="6" width="7.28515625" style="232" customWidth="1"/>
    <col min="7" max="8" width="7.42578125" style="232" customWidth="1"/>
    <col min="9" max="58" width="5.28515625" style="232"/>
    <col min="59" max="59" width="5.7109375" style="232" bestFit="1" customWidth="1"/>
    <col min="60" max="16384" width="5.28515625" style="232"/>
  </cols>
  <sheetData>
    <row r="1" spans="1:17" ht="17.45" customHeight="1" x14ac:dyDescent="0.2">
      <c r="A1" s="92" t="s">
        <v>30</v>
      </c>
      <c r="B1" s="231"/>
      <c r="C1" s="231"/>
      <c r="D1" s="231"/>
      <c r="E1" s="231"/>
      <c r="F1" s="14" t="s">
        <v>9</v>
      </c>
      <c r="G1" s="14" t="s">
        <v>143</v>
      </c>
      <c r="H1" s="231"/>
      <c r="I1" s="231"/>
      <c r="J1" s="231"/>
      <c r="K1" s="14" t="s">
        <v>144</v>
      </c>
      <c r="L1" s="231"/>
      <c r="M1" s="231"/>
      <c r="N1" s="231"/>
      <c r="O1" s="231"/>
      <c r="P1" s="14" t="s">
        <v>91</v>
      </c>
      <c r="Q1" s="231"/>
    </row>
    <row r="2" spans="1:17" ht="17.45" customHeight="1" thickBot="1" x14ac:dyDescent="0.25"/>
    <row r="3" spans="1:17" ht="17.45" customHeight="1" thickTop="1" thickBot="1" x14ac:dyDescent="0.25">
      <c r="A3" s="696" t="s">
        <v>194</v>
      </c>
      <c r="B3" s="697"/>
      <c r="C3" s="697"/>
      <c r="D3" s="698"/>
    </row>
    <row r="4" spans="1:17" ht="17.45" customHeight="1" thickBot="1" x14ac:dyDescent="0.25">
      <c r="A4" s="234"/>
      <c r="B4" s="235" t="s">
        <v>198</v>
      </c>
      <c r="C4" s="236" t="s">
        <v>197</v>
      </c>
      <c r="D4" s="237"/>
    </row>
    <row r="5" spans="1:17" ht="17.45" customHeight="1" x14ac:dyDescent="0.2">
      <c r="A5" s="238" t="s">
        <v>196</v>
      </c>
      <c r="B5" s="239">
        <v>-2</v>
      </c>
      <c r="C5" s="240">
        <v>20</v>
      </c>
      <c r="D5" s="237"/>
    </row>
    <row r="6" spans="1:17" ht="17.45" customHeight="1" x14ac:dyDescent="0.2">
      <c r="A6" s="238" t="s">
        <v>199</v>
      </c>
      <c r="B6" s="241">
        <v>-2</v>
      </c>
      <c r="C6" s="242">
        <v>20</v>
      </c>
      <c r="D6" s="237"/>
    </row>
    <row r="7" spans="1:17" ht="17.45" customHeight="1" x14ac:dyDescent="0.2">
      <c r="A7" s="238" t="s">
        <v>200</v>
      </c>
      <c r="B7" s="241">
        <v>-10</v>
      </c>
      <c r="C7" s="242">
        <v>20</v>
      </c>
      <c r="D7" s="237"/>
    </row>
    <row r="8" spans="1:17" ht="17.45" customHeight="1" x14ac:dyDescent="0.2">
      <c r="A8" s="238" t="s">
        <v>201</v>
      </c>
      <c r="B8" s="241">
        <v>-10</v>
      </c>
      <c r="C8" s="242">
        <v>20</v>
      </c>
      <c r="D8" s="237"/>
    </row>
    <row r="9" spans="1:17" ht="17.45" customHeight="1" x14ac:dyDescent="0.2">
      <c r="A9" s="238" t="s">
        <v>292</v>
      </c>
      <c r="B9" s="241">
        <f>MIN(MIN(A87:A123),MIN(A298:A334))</f>
        <v>4</v>
      </c>
      <c r="C9" s="242">
        <f>MAX(MAX(A87:A123),MAX(A298:A334))</f>
        <v>40</v>
      </c>
      <c r="D9" s="237"/>
    </row>
    <row r="10" spans="1:17" ht="17.45" customHeight="1" x14ac:dyDescent="0.2">
      <c r="A10" s="238" t="s">
        <v>293</v>
      </c>
      <c r="B10" s="241">
        <f>MIN(MIN(B86:AL86),MIN(B297:AL297))</f>
        <v>4</v>
      </c>
      <c r="C10" s="242">
        <f>MAX(MAX(B86:AL86),MAX(B297:AL297))</f>
        <v>40</v>
      </c>
      <c r="D10" s="237"/>
    </row>
    <row r="11" spans="1:17" ht="17.45" customHeight="1" x14ac:dyDescent="0.2">
      <c r="A11" s="238" t="s">
        <v>31</v>
      </c>
      <c r="B11" s="241">
        <f>MIN(B29:BF29)</f>
        <v>4</v>
      </c>
      <c r="C11" s="242">
        <f>MAX(B29:BF29)</f>
        <v>60</v>
      </c>
      <c r="D11" s="237"/>
    </row>
    <row r="12" spans="1:17" ht="17.45" customHeight="1" thickBot="1" x14ac:dyDescent="0.25">
      <c r="A12" s="243" t="s">
        <v>24</v>
      </c>
      <c r="B12" s="244">
        <f>MIN(A30:A80)</f>
        <v>0</v>
      </c>
      <c r="C12" s="245">
        <f>MAX(A30:A80)</f>
        <v>30</v>
      </c>
      <c r="D12" s="237"/>
    </row>
    <row r="13" spans="1:17" ht="17.45" customHeight="1"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98</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7.45" customHeight="1" thickTop="1" thickBot="1" x14ac:dyDescent="0.25"/>
    <row r="27" spans="1:60" ht="20.45" customHeight="1" thickTop="1" x14ac:dyDescent="0.2">
      <c r="A27" s="696" t="s">
        <v>8</v>
      </c>
      <c r="B27" s="697"/>
      <c r="C27" s="697"/>
      <c r="D27" s="697"/>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7.45" customHeight="1"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2.6" customHeight="1"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7.45" customHeight="1"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ht="17.45" customHeight="1"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ht="17.45" customHeight="1"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ht="17.45" customHeight="1"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ht="17.45" customHeight="1"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ht="17.45" customHeight="1"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ht="17.45" customHeight="1"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ht="17.45" customHeight="1"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ht="17.45" customHeight="1"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ht="17.45" customHeight="1"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ht="17.45" customHeight="1"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ht="17.45" customHeight="1"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ht="17.45" customHeight="1"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ht="17.45" customHeight="1"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ht="17.45" customHeight="1"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ht="17.45" customHeight="1"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ht="17.45" customHeight="1"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ht="17.45" customHeight="1"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ht="17.45" customHeight="1"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ht="17.45" customHeight="1" x14ac:dyDescent="0.2">
      <c r="A49" s="280">
        <v>9.5</v>
      </c>
      <c r="B49" s="290">
        <v>0.74184573215937488</v>
      </c>
      <c r="C49" s="291">
        <v>0.75381141596872048</v>
      </c>
      <c r="D49" s="291">
        <v>0.76403649074801605</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ht="17.45" customHeight="1"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ht="17.45" customHeight="1"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ht="17.45" customHeight="1"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ht="17.45" customHeight="1"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ht="17.45" customHeight="1"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ht="17.45" customHeight="1"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ht="17.45" customHeight="1"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ht="17.45" customHeight="1"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ht="17.45" customHeight="1"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ht="17.45" customHeight="1"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ht="17.45" customHeight="1"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ht="17.45" customHeight="1"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ht="17.45" customHeight="1"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ht="17.45" customHeight="1"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ht="17.45" customHeight="1"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ht="17.45" customHeight="1"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ht="17.45" customHeight="1"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ht="17.45" customHeight="1"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ht="17.45" customHeight="1"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ht="17.45" customHeight="1"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ht="17.45" customHeight="1"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ht="17.45" customHeight="1"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ht="17.45" customHeight="1"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ht="17.45" customHeight="1"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ht="17.45" customHeight="1"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ht="17.45" customHeight="1"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ht="17.45" customHeight="1"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ht="17.45" customHeight="1"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ht="17.45" customHeight="1"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ht="17.45" customHeight="1"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7.45" customHeight="1"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7.45" customHeight="1"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7.45" customHeight="1"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7.45" customHeight="1" thickTop="1" thickBot="1" x14ac:dyDescent="0.25"/>
    <row r="84" spans="1:60" ht="17.45" customHeight="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7.45" customHeight="1"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7.45" customHeight="1"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7.45" customHeight="1" thickTop="1" x14ac:dyDescent="0.2">
      <c r="A87" s="303">
        <v>4</v>
      </c>
      <c r="B87" s="304">
        <v>0.93769184651687654</v>
      </c>
      <c r="C87" s="304">
        <v>0.94535797778900654</v>
      </c>
      <c r="D87" s="304">
        <v>0.95250069851913932</v>
      </c>
      <c r="E87" s="304">
        <v>0.95712506691063681</v>
      </c>
      <c r="F87" s="304">
        <v>0.96060352053646281</v>
      </c>
      <c r="G87" s="304">
        <v>0.96355656384493082</v>
      </c>
      <c r="H87" s="304">
        <v>0.96533490011750878</v>
      </c>
      <c r="I87" s="304">
        <v>0.96697996540323161</v>
      </c>
      <c r="J87" s="305">
        <v>0.96850178838254197</v>
      </c>
      <c r="K87" s="304">
        <v>0.96992939368069653</v>
      </c>
      <c r="L87" s="304">
        <v>0.97129180592295128</v>
      </c>
      <c r="M87" s="304">
        <v>0.97261804973456256</v>
      </c>
      <c r="N87" s="304">
        <v>0.97364444264958128</v>
      </c>
      <c r="O87" s="304">
        <v>0.97422403109403355</v>
      </c>
      <c r="P87" s="304">
        <v>0.97456093303113978</v>
      </c>
      <c r="Q87" s="304">
        <v>0.97485926642411946</v>
      </c>
      <c r="R87" s="304">
        <v>0.97532314923619279</v>
      </c>
      <c r="S87" s="305">
        <v>0.97591909327783277</v>
      </c>
      <c r="T87" s="304">
        <v>0.97648005269017712</v>
      </c>
      <c r="U87" s="304">
        <v>0.97700980893244282</v>
      </c>
      <c r="V87" s="304">
        <v>0.9775121434638474</v>
      </c>
      <c r="W87" s="304">
        <v>0.97799083774360751</v>
      </c>
      <c r="X87" s="304">
        <v>0.9784496732309409</v>
      </c>
      <c r="Y87" s="304">
        <v>0.9788924313850641</v>
      </c>
      <c r="Z87" s="304">
        <v>0.97932289366519498</v>
      </c>
      <c r="AA87" s="304">
        <v>0.97974484153054997</v>
      </c>
      <c r="AB87" s="305">
        <v>0.98016205644034649</v>
      </c>
      <c r="AC87" s="304">
        <v>0.98050763546264308</v>
      </c>
      <c r="AD87" s="304">
        <v>0.98072700309187077</v>
      </c>
      <c r="AE87" s="304">
        <v>0.98084243192680631</v>
      </c>
      <c r="AF87" s="304">
        <v>0.9808761945662271</v>
      </c>
      <c r="AG87" s="304">
        <v>0.98085056360890954</v>
      </c>
      <c r="AH87" s="304">
        <v>0.9807878116536306</v>
      </c>
      <c r="AI87" s="304">
        <v>0.9807102112991668</v>
      </c>
      <c r="AJ87" s="304">
        <v>0.98064003514429576</v>
      </c>
      <c r="AK87" s="304">
        <v>0.98059955578779356</v>
      </c>
      <c r="AL87" s="305">
        <v>0.98061104582843728</v>
      </c>
      <c r="AM87" s="305">
        <f>AL87</f>
        <v>0.98061104582843728</v>
      </c>
      <c r="AN87" s="299"/>
    </row>
    <row r="88" spans="1:60" ht="17.45" customHeight="1" x14ac:dyDescent="0.2">
      <c r="A88" s="306">
        <v>5</v>
      </c>
      <c r="B88" s="307">
        <v>0.9429015188153641</v>
      </c>
      <c r="C88" s="307">
        <v>0.95063850066765621</v>
      </c>
      <c r="D88" s="307">
        <v>0.95776070427911786</v>
      </c>
      <c r="E88" s="307">
        <v>0.96306173743625911</v>
      </c>
      <c r="F88" s="307">
        <v>0.96846890350389025</v>
      </c>
      <c r="G88" s="307">
        <v>0.97201601013861638</v>
      </c>
      <c r="H88" s="307">
        <v>0.97430050015726222</v>
      </c>
      <c r="I88" s="307">
        <v>0.97627278611398938</v>
      </c>
      <c r="J88" s="308">
        <v>0.97805260635226998</v>
      </c>
      <c r="K88" s="307">
        <v>0.97954749722532453</v>
      </c>
      <c r="L88" s="307">
        <v>0.98146481095629046</v>
      </c>
      <c r="M88" s="307">
        <v>0.98319543440083534</v>
      </c>
      <c r="N88" s="307">
        <v>0.9844546256024419</v>
      </c>
      <c r="O88" s="307">
        <v>0.98527026716719912</v>
      </c>
      <c r="P88" s="307">
        <v>0.98544467055898866</v>
      </c>
      <c r="Q88" s="307">
        <v>0.98614396289614292</v>
      </c>
      <c r="R88" s="307">
        <v>0.98679993771606078</v>
      </c>
      <c r="S88" s="308">
        <v>0.98728371190979591</v>
      </c>
      <c r="T88" s="307">
        <v>0.98776534840854013</v>
      </c>
      <c r="U88" s="307">
        <v>0.98818748961358571</v>
      </c>
      <c r="V88" s="307">
        <v>0.98846933474033483</v>
      </c>
      <c r="W88" s="307">
        <v>0.98847280692077333</v>
      </c>
      <c r="X88" s="307">
        <v>0.98819232384182265</v>
      </c>
      <c r="Y88" s="307">
        <v>0.98788219198768656</v>
      </c>
      <c r="Z88" s="307">
        <v>0.9878263206912965</v>
      </c>
      <c r="AA88" s="307">
        <v>0.98807724981305556</v>
      </c>
      <c r="AB88" s="308">
        <v>0.98849316780876217</v>
      </c>
      <c r="AC88" s="307">
        <v>0.98890073464983996</v>
      </c>
      <c r="AD88" s="307">
        <v>0.989419512887171</v>
      </c>
      <c r="AE88" s="307">
        <v>0.99022923082105208</v>
      </c>
      <c r="AF88" s="307">
        <v>0.99129908018503476</v>
      </c>
      <c r="AG88" s="307">
        <v>0.99226244152056864</v>
      </c>
      <c r="AH88" s="307">
        <v>0.99289221286496887</v>
      </c>
      <c r="AI88" s="307">
        <v>0.99321364834599113</v>
      </c>
      <c r="AJ88" s="307">
        <v>0.99339630897497766</v>
      </c>
      <c r="AK88" s="307">
        <v>0.99355837014184822</v>
      </c>
      <c r="AL88" s="308">
        <v>0.99380498273155626</v>
      </c>
      <c r="AM88" s="308">
        <f t="shared" ref="AM88:AM123" si="2">AL88</f>
        <v>0.99380498273155626</v>
      </c>
      <c r="AN88" s="299"/>
    </row>
    <row r="89" spans="1:60" ht="17.45" customHeight="1" x14ac:dyDescent="0.2">
      <c r="A89" s="303">
        <v>6</v>
      </c>
      <c r="B89" s="304">
        <v>0.94775076837105343</v>
      </c>
      <c r="C89" s="304">
        <v>0.95550798005447413</v>
      </c>
      <c r="D89" s="304">
        <v>0.96298472385428913</v>
      </c>
      <c r="E89" s="304">
        <v>0.96978549306258044</v>
      </c>
      <c r="F89" s="304">
        <v>0.97569153394803021</v>
      </c>
      <c r="G89" s="304">
        <v>0.97990298874259651</v>
      </c>
      <c r="H89" s="304">
        <v>0.98267672534227424</v>
      </c>
      <c r="I89" s="304">
        <v>0.98495058314993444</v>
      </c>
      <c r="J89" s="305">
        <v>0.98710511145279178</v>
      </c>
      <c r="K89" s="304">
        <v>0.98910063764701317</v>
      </c>
      <c r="L89" s="304">
        <v>0.99089748912876585</v>
      </c>
      <c r="M89" s="304">
        <v>0.99245599329421619</v>
      </c>
      <c r="N89" s="304">
        <v>0.99381155359959261</v>
      </c>
      <c r="O89" s="304">
        <v>0.99500134384904237</v>
      </c>
      <c r="P89" s="304">
        <v>0.99598834696061278</v>
      </c>
      <c r="Q89" s="304">
        <v>0.99673554585235047</v>
      </c>
      <c r="R89" s="304">
        <v>0.9972059234423023</v>
      </c>
      <c r="S89" s="305">
        <v>0.99740063486139607</v>
      </c>
      <c r="T89" s="304">
        <v>0.9972909713676632</v>
      </c>
      <c r="U89" s="304">
        <v>0.99687356267009819</v>
      </c>
      <c r="V89" s="304">
        <v>0.99628681664020813</v>
      </c>
      <c r="W89" s="304">
        <v>0.99585508129346278</v>
      </c>
      <c r="X89" s="304">
        <v>0.99576885899706202</v>
      </c>
      <c r="Y89" s="304">
        <v>0.99587319177325329</v>
      </c>
      <c r="Z89" s="304">
        <v>0.99612544210220366</v>
      </c>
      <c r="AA89" s="304">
        <v>0.99648949555636723</v>
      </c>
      <c r="AB89" s="305">
        <v>0.99692128098483623</v>
      </c>
      <c r="AC89" s="304">
        <v>0.99734050122196005</v>
      </c>
      <c r="AD89" s="304">
        <v>0.9977763655308185</v>
      </c>
      <c r="AE89" s="304">
        <v>0.99830190221090587</v>
      </c>
      <c r="AF89" s="304">
        <v>0.99896766602022924</v>
      </c>
      <c r="AG89" s="304">
        <v>0.99982252196436394</v>
      </c>
      <c r="AH89" s="304">
        <v>1.0011284881462372</v>
      </c>
      <c r="AI89" s="304">
        <v>1.0026183510200806</v>
      </c>
      <c r="AJ89" s="304">
        <v>1.0039057180798809</v>
      </c>
      <c r="AK89" s="304">
        <v>1.0048817608726657</v>
      </c>
      <c r="AL89" s="305">
        <v>1.0055881531153954</v>
      </c>
      <c r="AM89" s="305">
        <f t="shared" si="2"/>
        <v>1.0055881531153954</v>
      </c>
      <c r="AN89" s="299"/>
    </row>
    <row r="90" spans="1:60" ht="17.45" customHeight="1" x14ac:dyDescent="0.2">
      <c r="A90" s="303">
        <v>7</v>
      </c>
      <c r="B90" s="304">
        <v>0.95081290985672073</v>
      </c>
      <c r="C90" s="304">
        <v>0.95926786944931741</v>
      </c>
      <c r="D90" s="304">
        <v>0.96828018431712082</v>
      </c>
      <c r="E90" s="304">
        <v>0.97548927530978635</v>
      </c>
      <c r="F90" s="304">
        <v>0.98117425429417493</v>
      </c>
      <c r="G90" s="304">
        <v>0.98573594701656231</v>
      </c>
      <c r="H90" s="304">
        <v>0.98871681245013532</v>
      </c>
      <c r="I90" s="304">
        <v>0.9908917094032712</v>
      </c>
      <c r="J90" s="305">
        <v>0.99294272912073467</v>
      </c>
      <c r="K90" s="304">
        <v>0.99507134545675502</v>
      </c>
      <c r="L90" s="304">
        <v>0.99703634225762294</v>
      </c>
      <c r="M90" s="304">
        <v>0.99872009505509041</v>
      </c>
      <c r="N90" s="304">
        <v>1.0001675385558038</v>
      </c>
      <c r="O90" s="304">
        <v>1.0013298202748262</v>
      </c>
      <c r="P90" s="304">
        <v>1.0022067929211698</v>
      </c>
      <c r="Q90" s="304">
        <v>1.0032160763125197</v>
      </c>
      <c r="R90" s="304">
        <v>1.0039406799828781</v>
      </c>
      <c r="S90" s="305">
        <v>1.0039440981825176</v>
      </c>
      <c r="T90" s="304">
        <v>1.003520539296437</v>
      </c>
      <c r="U90" s="304">
        <v>1.003388314730381</v>
      </c>
      <c r="V90" s="304">
        <v>1.0034589317404077</v>
      </c>
      <c r="W90" s="304">
        <v>1.0035968877949528</v>
      </c>
      <c r="X90" s="304">
        <v>1.0037914311176401</v>
      </c>
      <c r="Y90" s="304">
        <v>1.0040415350066778</v>
      </c>
      <c r="Z90" s="304">
        <v>1.0043488023096285</v>
      </c>
      <c r="AA90" s="304">
        <v>1.0047153889201976</v>
      </c>
      <c r="AB90" s="305">
        <v>1.0051441167234088</v>
      </c>
      <c r="AC90" s="304">
        <v>1.0055956481928301</v>
      </c>
      <c r="AD90" s="304">
        <v>1.0060594943181855</v>
      </c>
      <c r="AE90" s="304">
        <v>1.0065669802341857</v>
      </c>
      <c r="AF90" s="304">
        <v>1.0071365857060193</v>
      </c>
      <c r="AG90" s="304">
        <v>1.0077810364849797</v>
      </c>
      <c r="AH90" s="304">
        <v>1.008512606190797</v>
      </c>
      <c r="AI90" s="304">
        <v>1.0093509853994145</v>
      </c>
      <c r="AJ90" s="304">
        <v>1.0104737171557969</v>
      </c>
      <c r="AK90" s="304">
        <v>1.012015546866829</v>
      </c>
      <c r="AL90" s="305">
        <v>1.0131217518039195</v>
      </c>
      <c r="AM90" s="305">
        <f t="shared" si="2"/>
        <v>1.0131217518039195</v>
      </c>
      <c r="AN90" s="299"/>
    </row>
    <row r="91" spans="1:60" ht="17.45" customHeight="1" x14ac:dyDescent="0.2">
      <c r="A91" s="303">
        <v>8</v>
      </c>
      <c r="B91" s="304">
        <v>0.95305951383067899</v>
      </c>
      <c r="C91" s="304">
        <v>0.96342688708516089</v>
      </c>
      <c r="D91" s="304">
        <v>0.97289745739033251</v>
      </c>
      <c r="E91" s="304">
        <v>0.97985505100514758</v>
      </c>
      <c r="F91" s="304">
        <v>0.98547080189997216</v>
      </c>
      <c r="G91" s="304">
        <v>0.99007291650005957</v>
      </c>
      <c r="H91" s="304">
        <v>0.9932942162615257</v>
      </c>
      <c r="I91" s="304">
        <v>0.99561065969546492</v>
      </c>
      <c r="J91" s="305">
        <v>0.99790068591766246</v>
      </c>
      <c r="K91" s="304">
        <v>1.0001006478555317</v>
      </c>
      <c r="L91" s="304">
        <v>1.0021428782980097</v>
      </c>
      <c r="M91" s="304">
        <v>1.0039233524828846</v>
      </c>
      <c r="N91" s="304">
        <v>1.0054649753326212</v>
      </c>
      <c r="O91" s="304">
        <v>1.0068442424536552</v>
      </c>
      <c r="P91" s="304">
        <v>1.0080018253173819</v>
      </c>
      <c r="Q91" s="304">
        <v>1.0088991312273912</v>
      </c>
      <c r="R91" s="304">
        <v>1.0094998602961722</v>
      </c>
      <c r="S91" s="305">
        <v>1.0099107751743701</v>
      </c>
      <c r="T91" s="304">
        <v>1.0102724927566069</v>
      </c>
      <c r="U91" s="304">
        <v>1.0105976003273125</v>
      </c>
      <c r="V91" s="304">
        <v>1.0108980207127023</v>
      </c>
      <c r="W91" s="304">
        <v>1.0111850939732303</v>
      </c>
      <c r="X91" s="304">
        <v>1.0114698285358887</v>
      </c>
      <c r="Y91" s="304">
        <v>1.0117635093937587</v>
      </c>
      <c r="Z91" s="304">
        <v>1.0120790817920751</v>
      </c>
      <c r="AA91" s="304">
        <v>1.0124343139799734</v>
      </c>
      <c r="AB91" s="305">
        <v>1.0128593957793193</v>
      </c>
      <c r="AC91" s="304">
        <v>1.013346474837898</v>
      </c>
      <c r="AD91" s="304">
        <v>1.0138600302424874</v>
      </c>
      <c r="AE91" s="304">
        <v>1.0144049952176191</v>
      </c>
      <c r="AF91" s="304">
        <v>1.0149844078599797</v>
      </c>
      <c r="AG91" s="304">
        <v>1.0156003894557413</v>
      </c>
      <c r="AH91" s="304">
        <v>1.0162545827184946</v>
      </c>
      <c r="AI91" s="304">
        <v>1.0169483665273871</v>
      </c>
      <c r="AJ91" s="304">
        <v>1.0176829685224715</v>
      </c>
      <c r="AK91" s="304">
        <v>1.0184595273084411</v>
      </c>
      <c r="AL91" s="305">
        <v>1.019279128248114</v>
      </c>
      <c r="AM91" s="305">
        <f t="shared" si="2"/>
        <v>1.019279128248114</v>
      </c>
      <c r="AN91" s="299"/>
    </row>
    <row r="92" spans="1:60" ht="17.45" customHeight="1" x14ac:dyDescent="0.2">
      <c r="A92" s="303">
        <v>9</v>
      </c>
      <c r="B92" s="304">
        <v>0.95459305986350074</v>
      </c>
      <c r="C92" s="304">
        <v>0.96544063878936237</v>
      </c>
      <c r="D92" s="304">
        <v>0.97542606941204746</v>
      </c>
      <c r="E92" s="304">
        <v>0.98259459701601826</v>
      </c>
      <c r="F92" s="304">
        <v>0.98832988166145352</v>
      </c>
      <c r="G92" s="304">
        <v>0.99350958071494988</v>
      </c>
      <c r="H92" s="304">
        <v>0.99725158813144332</v>
      </c>
      <c r="I92" s="304">
        <v>0.99990209001160602</v>
      </c>
      <c r="J92" s="305">
        <v>1.002199184102829</v>
      </c>
      <c r="K92" s="304">
        <v>1.0043546637337484</v>
      </c>
      <c r="L92" s="304">
        <v>1.0064290938784366</v>
      </c>
      <c r="M92" s="304">
        <v>1.0082900953300409</v>
      </c>
      <c r="N92" s="304">
        <v>1.0099166615225705</v>
      </c>
      <c r="O92" s="304">
        <v>1.0114872298017394</v>
      </c>
      <c r="P92" s="304">
        <v>1.0129248188344719</v>
      </c>
      <c r="Q92" s="304">
        <v>1.0139193666570601</v>
      </c>
      <c r="R92" s="304">
        <v>1.0147398303510431</v>
      </c>
      <c r="S92" s="305">
        <v>1.0154678242297432</v>
      </c>
      <c r="T92" s="304">
        <v>1.0161186261011554</v>
      </c>
      <c r="U92" s="304">
        <v>1.0167004109941851</v>
      </c>
      <c r="V92" s="304">
        <v>1.0172250981416524</v>
      </c>
      <c r="W92" s="304">
        <v>1.0177098939250344</v>
      </c>
      <c r="X92" s="304">
        <v>1.0181569486992599</v>
      </c>
      <c r="Y92" s="304">
        <v>1.0185641803523955</v>
      </c>
      <c r="Z92" s="304">
        <v>1.0189484471204722</v>
      </c>
      <c r="AA92" s="304">
        <v>1.01933240125113</v>
      </c>
      <c r="AB92" s="305">
        <v>1.0197648389074083</v>
      </c>
      <c r="AC92" s="304">
        <v>1.020281276878084</v>
      </c>
      <c r="AD92" s="304">
        <v>1.0208199882898652</v>
      </c>
      <c r="AE92" s="304">
        <v>1.0213635911397856</v>
      </c>
      <c r="AF92" s="304">
        <v>1.0219062561954499</v>
      </c>
      <c r="AG92" s="304">
        <v>1.0224444147986649</v>
      </c>
      <c r="AH92" s="304">
        <v>1.0229705770727962</v>
      </c>
      <c r="AI92" s="304">
        <v>1.0234821178033826</v>
      </c>
      <c r="AJ92" s="304">
        <v>1.0239889016021391</v>
      </c>
      <c r="AK92" s="304">
        <v>1.0245101676306383</v>
      </c>
      <c r="AL92" s="305">
        <v>1.0250791409755384</v>
      </c>
      <c r="AM92" s="305">
        <f t="shared" si="2"/>
        <v>1.0250791409755384</v>
      </c>
      <c r="AN92" s="299"/>
    </row>
    <row r="93" spans="1:60" ht="17.45" customHeight="1" x14ac:dyDescent="0.2">
      <c r="A93" s="306">
        <v>10</v>
      </c>
      <c r="B93" s="307">
        <v>0.95534665099882499</v>
      </c>
      <c r="C93" s="307">
        <v>0.96657394563830212</v>
      </c>
      <c r="D93" s="307">
        <v>0.97680916457110933</v>
      </c>
      <c r="E93" s="307">
        <v>0.98425229743847864</v>
      </c>
      <c r="F93" s="307">
        <v>0.99022073204805805</v>
      </c>
      <c r="G93" s="307">
        <v>0.99570578274789201</v>
      </c>
      <c r="H93" s="307">
        <v>1</v>
      </c>
      <c r="I93" s="307">
        <v>1.0031591731479483</v>
      </c>
      <c r="J93" s="308">
        <v>1.00586005522368</v>
      </c>
      <c r="K93" s="307">
        <v>1.0081858160603379</v>
      </c>
      <c r="L93" s="307">
        <v>1.010219625491064</v>
      </c>
      <c r="M93" s="307">
        <v>1.0120446533490013</v>
      </c>
      <c r="N93" s="307">
        <v>1.013629722264731</v>
      </c>
      <c r="O93" s="307">
        <v>1.01494859618472</v>
      </c>
      <c r="P93" s="307">
        <v>1.0160918569159394</v>
      </c>
      <c r="Q93" s="307">
        <v>1.0171500862653602</v>
      </c>
      <c r="R93" s="307">
        <v>1.0182138660399529</v>
      </c>
      <c r="S93" s="308">
        <v>1.0192622902722828</v>
      </c>
      <c r="T93" s="307">
        <v>1.0202194397042441</v>
      </c>
      <c r="U93" s="307">
        <v>1.0210933762068022</v>
      </c>
      <c r="V93" s="307">
        <v>1.0218921616509227</v>
      </c>
      <c r="W93" s="307">
        <v>1.0226238579075706</v>
      </c>
      <c r="X93" s="307">
        <v>1.0232965268477119</v>
      </c>
      <c r="Y93" s="307">
        <v>1.0239182303423113</v>
      </c>
      <c r="Z93" s="307">
        <v>1.0244970302623351</v>
      </c>
      <c r="AA93" s="307">
        <v>1.0250409884787477</v>
      </c>
      <c r="AB93" s="308">
        <v>1.0255581668625147</v>
      </c>
      <c r="AC93" s="307">
        <v>1.0260402253291785</v>
      </c>
      <c r="AD93" s="307">
        <v>1.0264785896959741</v>
      </c>
      <c r="AE93" s="307">
        <v>1.0268809706864077</v>
      </c>
      <c r="AF93" s="307">
        <v>1.0272550790239858</v>
      </c>
      <c r="AG93" s="307">
        <v>1.0276086254322141</v>
      </c>
      <c r="AH93" s="307">
        <v>1.0279493206345991</v>
      </c>
      <c r="AI93" s="307">
        <v>1.0282848753546465</v>
      </c>
      <c r="AJ93" s="307">
        <v>1.0286230003158627</v>
      </c>
      <c r="AK93" s="307">
        <v>1.0289714062417536</v>
      </c>
      <c r="AL93" s="308">
        <v>1.0293378038558256</v>
      </c>
      <c r="AM93" s="308">
        <f t="shared" si="2"/>
        <v>1.0293378038558256</v>
      </c>
      <c r="AN93" s="299"/>
    </row>
    <row r="94" spans="1:60" ht="17.45" customHeight="1" x14ac:dyDescent="0.2">
      <c r="A94" s="303">
        <v>11</v>
      </c>
      <c r="B94" s="304">
        <v>0.95649331856730113</v>
      </c>
      <c r="C94" s="304">
        <v>0.96797980557751129</v>
      </c>
      <c r="D94" s="304">
        <v>0.97828945032144876</v>
      </c>
      <c r="E94" s="304">
        <v>0.98575323317237951</v>
      </c>
      <c r="F94" s="304">
        <v>0.99177218152588975</v>
      </c>
      <c r="G94" s="304">
        <v>0.99748010377454854</v>
      </c>
      <c r="H94" s="304">
        <v>1.0020703899550067</v>
      </c>
      <c r="I94" s="304">
        <v>1.0054040858825291</v>
      </c>
      <c r="J94" s="305">
        <v>1.0083595923141377</v>
      </c>
      <c r="K94" s="304">
        <v>1.0109400284228451</v>
      </c>
      <c r="L94" s="304">
        <v>1.013220638094072</v>
      </c>
      <c r="M94" s="304">
        <v>1.0152278479739396</v>
      </c>
      <c r="N94" s="304">
        <v>1.0167308887280033</v>
      </c>
      <c r="O94" s="304">
        <v>1.0178835135338824</v>
      </c>
      <c r="P94" s="304">
        <v>1.0188692925581397</v>
      </c>
      <c r="Q94" s="304">
        <v>1.0198402338256003</v>
      </c>
      <c r="R94" s="304">
        <v>1.0208668323632575</v>
      </c>
      <c r="S94" s="305">
        <v>1.0220250211913253</v>
      </c>
      <c r="T94" s="304">
        <v>1.0232505948918671</v>
      </c>
      <c r="U94" s="304">
        <v>1.0244192927714459</v>
      </c>
      <c r="V94" s="304">
        <v>1.0254556536802171</v>
      </c>
      <c r="W94" s="304">
        <v>1.0264062404730714</v>
      </c>
      <c r="X94" s="304">
        <v>1.0272905956997951</v>
      </c>
      <c r="Y94" s="304">
        <v>1.0281193821237258</v>
      </c>
      <c r="Z94" s="304">
        <v>1.0288973957461185</v>
      </c>
      <c r="AA94" s="304">
        <v>1.0296200602059737</v>
      </c>
      <c r="AB94" s="305">
        <v>1.0302537592763825</v>
      </c>
      <c r="AC94" s="304">
        <v>1.0307701519919443</v>
      </c>
      <c r="AD94" s="304">
        <v>1.0311923499770419</v>
      </c>
      <c r="AE94" s="304">
        <v>1.0315195927451317</v>
      </c>
      <c r="AF94" s="304">
        <v>1.0317939502655264</v>
      </c>
      <c r="AG94" s="304">
        <v>1.0320343414968491</v>
      </c>
      <c r="AH94" s="304">
        <v>1.0322534988059751</v>
      </c>
      <c r="AI94" s="304">
        <v>1.0324634888749904</v>
      </c>
      <c r="AJ94" s="304">
        <v>1.0326785391885545</v>
      </c>
      <c r="AK94" s="304">
        <v>1.0329202654130072</v>
      </c>
      <c r="AL94" s="305">
        <v>1.0332371174754644</v>
      </c>
      <c r="AM94" s="305">
        <f t="shared" si="2"/>
        <v>1.0332371174754644</v>
      </c>
      <c r="AN94" s="299"/>
    </row>
    <row r="95" spans="1:60" ht="17.45" customHeight="1" x14ac:dyDescent="0.2">
      <c r="A95" s="303">
        <v>12</v>
      </c>
      <c r="B95" s="304">
        <v>0.95766694804429431</v>
      </c>
      <c r="C95" s="304">
        <v>0.96931827209256449</v>
      </c>
      <c r="D95" s="304">
        <v>0.97977611571576384</v>
      </c>
      <c r="E95" s="304">
        <v>0.98708539720783106</v>
      </c>
      <c r="F95" s="304">
        <v>0.99316163191144058</v>
      </c>
      <c r="G95" s="304">
        <v>0.99903711214928403</v>
      </c>
      <c r="H95" s="304">
        <v>1.0039850447358192</v>
      </c>
      <c r="I95" s="304">
        <v>1.0074144076162863</v>
      </c>
      <c r="J95" s="305">
        <v>1.0104744262300662</v>
      </c>
      <c r="K95" s="304">
        <v>1.0132353396188631</v>
      </c>
      <c r="L95" s="304">
        <v>1.0156960070374554</v>
      </c>
      <c r="M95" s="304">
        <v>1.0178246309683316</v>
      </c>
      <c r="N95" s="304">
        <v>1.0193143503822766</v>
      </c>
      <c r="O95" s="304">
        <v>1.0203935065469851</v>
      </c>
      <c r="P95" s="304">
        <v>1.0214271960737769</v>
      </c>
      <c r="Q95" s="304">
        <v>1.0224664905217686</v>
      </c>
      <c r="R95" s="304">
        <v>1.0234854030213534</v>
      </c>
      <c r="S95" s="305">
        <v>1.0246817542756157</v>
      </c>
      <c r="T95" s="304">
        <v>1.0258991008222811</v>
      </c>
      <c r="U95" s="304">
        <v>1.0271524325470622</v>
      </c>
      <c r="V95" s="304">
        <v>1.0284502886732825</v>
      </c>
      <c r="W95" s="304">
        <v>1.0296690504471266</v>
      </c>
      <c r="X95" s="304">
        <v>1.0307418626839198</v>
      </c>
      <c r="Y95" s="304">
        <v>1.0317200717128061</v>
      </c>
      <c r="Z95" s="304">
        <v>1.032622178557127</v>
      </c>
      <c r="AA95" s="304">
        <v>1.0334421280361199</v>
      </c>
      <c r="AB95" s="305">
        <v>1.0341391807135447</v>
      </c>
      <c r="AC95" s="304">
        <v>1.0347008493528536</v>
      </c>
      <c r="AD95" s="304">
        <v>1.0351776267698249</v>
      </c>
      <c r="AE95" s="304">
        <v>1.0355772285272185</v>
      </c>
      <c r="AF95" s="304">
        <v>1.0359031254967626</v>
      </c>
      <c r="AG95" s="304">
        <v>1.0361478492717653</v>
      </c>
      <c r="AH95" s="304">
        <v>1.0363289351237317</v>
      </c>
      <c r="AI95" s="304">
        <v>1.0364757494613528</v>
      </c>
      <c r="AJ95" s="304">
        <v>1.0366198185184079</v>
      </c>
      <c r="AK95" s="304">
        <v>1.0368051730444332</v>
      </c>
      <c r="AL95" s="305">
        <v>1.0371080713822067</v>
      </c>
      <c r="AM95" s="305">
        <f t="shared" si="2"/>
        <v>1.0371080713822067</v>
      </c>
      <c r="AN95" s="299"/>
    </row>
    <row r="96" spans="1:60" ht="17.45" customHeight="1" x14ac:dyDescent="0.2">
      <c r="A96" s="303">
        <v>13</v>
      </c>
      <c r="B96" s="304">
        <v>0.95882087145639039</v>
      </c>
      <c r="C96" s="304">
        <v>0.97024044135245124</v>
      </c>
      <c r="D96" s="304">
        <v>0.98119321660875658</v>
      </c>
      <c r="E96" s="304">
        <v>0.98823194858182428</v>
      </c>
      <c r="F96" s="304">
        <v>0.99445951232036733</v>
      </c>
      <c r="G96" s="304">
        <v>1.0003821075492589</v>
      </c>
      <c r="H96" s="304">
        <v>1.0057458206378358</v>
      </c>
      <c r="I96" s="304">
        <v>1.0092866299468581</v>
      </c>
      <c r="J96" s="305">
        <v>1.0124089171138082</v>
      </c>
      <c r="K96" s="304">
        <v>1.0151928998995585</v>
      </c>
      <c r="L96" s="304">
        <v>1.0177464421935287</v>
      </c>
      <c r="M96" s="304">
        <v>1.0199755275785747</v>
      </c>
      <c r="N96" s="304">
        <v>1.0214958527933007</v>
      </c>
      <c r="O96" s="304">
        <v>1.0227297640883544</v>
      </c>
      <c r="P96" s="304">
        <v>1.0239476523453848</v>
      </c>
      <c r="Q96" s="304">
        <v>1.0249803852390269</v>
      </c>
      <c r="R96" s="304">
        <v>1.0260425552820416</v>
      </c>
      <c r="S96" s="305">
        <v>1.0272852616241501</v>
      </c>
      <c r="T96" s="304">
        <v>1.0285274121089087</v>
      </c>
      <c r="U96" s="304">
        <v>1.029770675370381</v>
      </c>
      <c r="V96" s="304">
        <v>1.0310151045020088</v>
      </c>
      <c r="W96" s="304">
        <v>1.0322609374551623</v>
      </c>
      <c r="X96" s="304">
        <v>1.0335111714952507</v>
      </c>
      <c r="Y96" s="304">
        <v>1.0346671819237168</v>
      </c>
      <c r="Z96" s="304">
        <v>1.0356764877618923</v>
      </c>
      <c r="AA96" s="304">
        <v>1.0365698187878445</v>
      </c>
      <c r="AB96" s="305">
        <v>1.0373219293280271</v>
      </c>
      <c r="AC96" s="304">
        <v>1.0379288762133567</v>
      </c>
      <c r="AD96" s="304">
        <v>1.0384414518907645</v>
      </c>
      <c r="AE96" s="304">
        <v>1.0388733914507327</v>
      </c>
      <c r="AF96" s="304">
        <v>1.0392415292110955</v>
      </c>
      <c r="AG96" s="304">
        <v>1.0395627856698622</v>
      </c>
      <c r="AH96" s="304">
        <v>1.0398512190931692</v>
      </c>
      <c r="AI96" s="304">
        <v>1.0400735419701894</v>
      </c>
      <c r="AJ96" s="304">
        <v>1.040232944474041</v>
      </c>
      <c r="AK96" s="304">
        <v>1.0404061471491048</v>
      </c>
      <c r="AL96" s="305">
        <v>1.0407058144137484</v>
      </c>
      <c r="AM96" s="305">
        <f t="shared" si="2"/>
        <v>1.0407058144137484</v>
      </c>
      <c r="AN96" s="299"/>
    </row>
    <row r="97" spans="1:40" ht="17.45" customHeight="1" x14ac:dyDescent="0.2">
      <c r="A97" s="303">
        <v>14</v>
      </c>
      <c r="B97" s="304">
        <v>0.95990842083017469</v>
      </c>
      <c r="C97" s="304">
        <v>0.97148243021850034</v>
      </c>
      <c r="D97" s="304">
        <v>0.98246480885512932</v>
      </c>
      <c r="E97" s="304">
        <v>0.98973050841892929</v>
      </c>
      <c r="F97" s="304">
        <v>0.9957362518683267</v>
      </c>
      <c r="G97" s="304">
        <v>1.0019645169597791</v>
      </c>
      <c r="H97" s="304">
        <v>1.0073545739564547</v>
      </c>
      <c r="I97" s="304">
        <v>1.0110084806729938</v>
      </c>
      <c r="J97" s="305">
        <v>1.014220301731946</v>
      </c>
      <c r="K97" s="304">
        <v>1.0170389815954444</v>
      </c>
      <c r="L97" s="304">
        <v>1.0195413857479534</v>
      </c>
      <c r="M97" s="304">
        <v>1.0218210630510645</v>
      </c>
      <c r="N97" s="304">
        <v>1.0235029491732042</v>
      </c>
      <c r="O97" s="304">
        <v>1.0250296818960436</v>
      </c>
      <c r="P97" s="304">
        <v>1.026300946381282</v>
      </c>
      <c r="Q97" s="304">
        <v>1.0273897440452093</v>
      </c>
      <c r="R97" s="304">
        <v>1.0285112664131235</v>
      </c>
      <c r="S97" s="305">
        <v>1.0298028221196716</v>
      </c>
      <c r="T97" s="304">
        <v>1.0310819765029722</v>
      </c>
      <c r="U97" s="304">
        <v>1.0323397931720819</v>
      </c>
      <c r="V97" s="304">
        <v>1.0335699847535562</v>
      </c>
      <c r="W97" s="304">
        <v>1.0347675316580354</v>
      </c>
      <c r="X97" s="304">
        <v>1.0359282401620482</v>
      </c>
      <c r="Y97" s="304">
        <v>1.0370491672550697</v>
      </c>
      <c r="Z97" s="304">
        <v>1.0381314674688238</v>
      </c>
      <c r="AA97" s="304">
        <v>1.0391050480116777</v>
      </c>
      <c r="AB97" s="305">
        <v>1.0399095032738548</v>
      </c>
      <c r="AC97" s="304">
        <v>1.0405630354255602</v>
      </c>
      <c r="AD97" s="304">
        <v>1.041110456629754</v>
      </c>
      <c r="AE97" s="304">
        <v>1.0415659433417703</v>
      </c>
      <c r="AF97" s="304">
        <v>1.041949401509352</v>
      </c>
      <c r="AG97" s="304">
        <v>1.0422823351219572</v>
      </c>
      <c r="AH97" s="304">
        <v>1.0425867622181855</v>
      </c>
      <c r="AI97" s="304">
        <v>1.0428847020589171</v>
      </c>
      <c r="AJ97" s="304">
        <v>1.0431973564377548</v>
      </c>
      <c r="AK97" s="304">
        <v>1.0434697800756179</v>
      </c>
      <c r="AL97" s="305">
        <v>1.043785495407785</v>
      </c>
      <c r="AM97" s="305">
        <f t="shared" si="2"/>
        <v>1.043785495407785</v>
      </c>
      <c r="AN97" s="299"/>
    </row>
    <row r="98" spans="1:40" ht="17.45" customHeight="1" x14ac:dyDescent="0.2">
      <c r="A98" s="306">
        <v>15</v>
      </c>
      <c r="B98" s="307">
        <v>0.96088292819223253</v>
      </c>
      <c r="C98" s="307">
        <v>0.97261973498380849</v>
      </c>
      <c r="D98" s="307">
        <v>0.98351494830958364</v>
      </c>
      <c r="E98" s="307">
        <v>0.99111085573300617</v>
      </c>
      <c r="F98" s="307">
        <v>0.99706227967097527</v>
      </c>
      <c r="G98" s="307">
        <v>1.003476415252309</v>
      </c>
      <c r="H98" s="307">
        <v>1.0088131609870741</v>
      </c>
      <c r="I98" s="307">
        <v>1.0125586117477954</v>
      </c>
      <c r="J98" s="308">
        <v>1.0158440668884201</v>
      </c>
      <c r="K98" s="307">
        <v>1.0187256568131966</v>
      </c>
      <c r="L98" s="307">
        <v>1.0212595119263732</v>
      </c>
      <c r="M98" s="307">
        <v>1.0235017626321976</v>
      </c>
      <c r="N98" s="307">
        <v>1.0254630740915163</v>
      </c>
      <c r="O98" s="307">
        <v>1.0271218354362808</v>
      </c>
      <c r="P98" s="307">
        <v>1.0285021527233282</v>
      </c>
      <c r="Q98" s="307">
        <v>1.0296781207839749</v>
      </c>
      <c r="R98" s="307">
        <v>1.0308645136824</v>
      </c>
      <c r="S98" s="308">
        <v>1.0322056726229674</v>
      </c>
      <c r="T98" s="307">
        <v>1.0335257586504338</v>
      </c>
      <c r="U98" s="307">
        <v>1.0348067618824621</v>
      </c>
      <c r="V98" s="307">
        <v>1.0360375106559978</v>
      </c>
      <c r="W98" s="307">
        <v>1.0372102460633637</v>
      </c>
      <c r="X98" s="307">
        <v>1.0383188839481488</v>
      </c>
      <c r="Y98" s="307">
        <v>1.0393581133791374</v>
      </c>
      <c r="Z98" s="307">
        <v>1.0403229243771273</v>
      </c>
      <c r="AA98" s="307">
        <v>1.0412083618131911</v>
      </c>
      <c r="AB98" s="308">
        <v>1.0420094007050529</v>
      </c>
      <c r="AC98" s="307">
        <v>1.0426974916350076</v>
      </c>
      <c r="AD98" s="307">
        <v>1.0432627223236213</v>
      </c>
      <c r="AE98" s="307">
        <v>1.0437279316380412</v>
      </c>
      <c r="AF98" s="307">
        <v>1.0441159584454165</v>
      </c>
      <c r="AG98" s="307">
        <v>1.0444496416128946</v>
      </c>
      <c r="AH98" s="307">
        <v>1.0447518200076238</v>
      </c>
      <c r="AI98" s="307">
        <v>1.0450453324967519</v>
      </c>
      <c r="AJ98" s="307">
        <v>1.0453530179474275</v>
      </c>
      <c r="AK98" s="307">
        <v>1.0456977152267979</v>
      </c>
      <c r="AL98" s="308">
        <v>1.0461022632020116</v>
      </c>
      <c r="AM98" s="308">
        <f t="shared" si="2"/>
        <v>1.0461022632020116</v>
      </c>
      <c r="AN98" s="299"/>
    </row>
    <row r="99" spans="1:40" ht="17.45" customHeight="1" x14ac:dyDescent="0.2">
      <c r="A99" s="303">
        <v>16</v>
      </c>
      <c r="B99" s="304">
        <v>0.96154334094902538</v>
      </c>
      <c r="C99" s="304">
        <v>0.97340062052123943</v>
      </c>
      <c r="D99" s="304">
        <v>0.9844640089839467</v>
      </c>
      <c r="E99" s="304">
        <v>0.99243765702587494</v>
      </c>
      <c r="F99" s="304">
        <v>0.99846735652887486</v>
      </c>
      <c r="G99" s="304">
        <v>1.0050116025466305</v>
      </c>
      <c r="H99" s="304">
        <v>1.0101202800998499</v>
      </c>
      <c r="I99" s="304">
        <v>1.0137992212508049</v>
      </c>
      <c r="J99" s="305">
        <v>1.0170831114566847</v>
      </c>
      <c r="K99" s="304">
        <v>1.0199870354794009</v>
      </c>
      <c r="L99" s="304">
        <v>1.0226020723754867</v>
      </c>
      <c r="M99" s="304">
        <v>1.025015110372111</v>
      </c>
      <c r="N99" s="304">
        <v>1.0271672542107328</v>
      </c>
      <c r="O99" s="304">
        <v>1.029008862490983</v>
      </c>
      <c r="P99" s="304">
        <v>1.0305364979772373</v>
      </c>
      <c r="Q99" s="304">
        <v>1.0318212432142304</v>
      </c>
      <c r="R99" s="304">
        <v>1.0330752743576719</v>
      </c>
      <c r="S99" s="305">
        <v>1.0344657882186477</v>
      </c>
      <c r="T99" s="304">
        <v>1.0358254399246298</v>
      </c>
      <c r="U99" s="304">
        <v>1.0371270873277061</v>
      </c>
      <c r="V99" s="304">
        <v>1.0383550018334151</v>
      </c>
      <c r="W99" s="304">
        <v>1.0394990251986755</v>
      </c>
      <c r="X99" s="304">
        <v>1.040551443269311</v>
      </c>
      <c r="Y99" s="304">
        <v>1.0415047463447644</v>
      </c>
      <c r="Z99" s="304">
        <v>1.0423478289105828</v>
      </c>
      <c r="AA99" s="304">
        <v>1.0431090759025117</v>
      </c>
      <c r="AB99" s="305">
        <v>1.0438566404199423</v>
      </c>
      <c r="AC99" s="304">
        <v>1.0445462787059496</v>
      </c>
      <c r="AD99" s="304">
        <v>1.0451055178190241</v>
      </c>
      <c r="AE99" s="304">
        <v>1.0455635731676907</v>
      </c>
      <c r="AF99" s="304">
        <v>1.0459442479435421</v>
      </c>
      <c r="AG99" s="304">
        <v>1.0462707525749708</v>
      </c>
      <c r="AH99" s="304">
        <v>1.0465662427320037</v>
      </c>
      <c r="AI99" s="304">
        <v>1.0468540987750616</v>
      </c>
      <c r="AJ99" s="304">
        <v>1.0471586585791199</v>
      </c>
      <c r="AK99" s="304">
        <v>1.0475101349050908</v>
      </c>
      <c r="AL99" s="305">
        <v>1.0479357480590032</v>
      </c>
      <c r="AM99" s="305">
        <f t="shared" si="2"/>
        <v>1.0479357480590032</v>
      </c>
      <c r="AN99" s="299"/>
    </row>
    <row r="100" spans="1:40" ht="17.45" customHeight="1" x14ac:dyDescent="0.2">
      <c r="A100" s="303">
        <v>17</v>
      </c>
      <c r="B100" s="304">
        <v>0.96183302580630148</v>
      </c>
      <c r="C100" s="304">
        <v>0.97384765313998534</v>
      </c>
      <c r="D100" s="304">
        <v>0.98539932799536656</v>
      </c>
      <c r="E100" s="304">
        <v>0.99371949036344009</v>
      </c>
      <c r="F100" s="304">
        <v>0.99986898046411876</v>
      </c>
      <c r="G100" s="304">
        <v>1.0065079819280021</v>
      </c>
      <c r="H100" s="304">
        <v>1.011285087006988</v>
      </c>
      <c r="I100" s="304">
        <v>1.0148276282512376</v>
      </c>
      <c r="J100" s="305">
        <v>1.018047737466341</v>
      </c>
      <c r="K100" s="304">
        <v>1.020990705963122</v>
      </c>
      <c r="L100" s="304">
        <v>1.0237385839259316</v>
      </c>
      <c r="M100" s="304">
        <v>1.0262695591771709</v>
      </c>
      <c r="N100" s="304">
        <v>1.0285855993912525</v>
      </c>
      <c r="O100" s="304">
        <v>1.0306439482961225</v>
      </c>
      <c r="P100" s="304">
        <v>1.0323681214001079</v>
      </c>
      <c r="Q100" s="304">
        <v>1.033789954892814</v>
      </c>
      <c r="R100" s="304">
        <v>1.0351165257067403</v>
      </c>
      <c r="S100" s="305">
        <v>1.0365549780329379</v>
      </c>
      <c r="T100" s="304">
        <v>1.0379469027535762</v>
      </c>
      <c r="U100" s="304">
        <v>1.0392545548165042</v>
      </c>
      <c r="V100" s="304">
        <v>1.0404570308646861</v>
      </c>
      <c r="W100" s="304">
        <v>1.0415399986038811</v>
      </c>
      <c r="X100" s="304">
        <v>1.0424892804973784</v>
      </c>
      <c r="Y100" s="304">
        <v>1.0433316341717094</v>
      </c>
      <c r="Z100" s="304">
        <v>1.0441158879879091</v>
      </c>
      <c r="AA100" s="304">
        <v>1.0448626357141271</v>
      </c>
      <c r="AB100" s="305">
        <v>1.0456166644915375</v>
      </c>
      <c r="AC100" s="304">
        <v>1.0463124407236473</v>
      </c>
      <c r="AD100" s="304">
        <v>1.0468651754187945</v>
      </c>
      <c r="AE100" s="304">
        <v>1.0473128187328054</v>
      </c>
      <c r="AF100" s="304">
        <v>1.0476823945820111</v>
      </c>
      <c r="AG100" s="304">
        <v>1.047998969549808</v>
      </c>
      <c r="AH100" s="304">
        <v>1.0482877278445917</v>
      </c>
      <c r="AI100" s="304">
        <v>1.0485758554144233</v>
      </c>
      <c r="AJ100" s="304">
        <v>1.0488984486210116</v>
      </c>
      <c r="AK100" s="304">
        <v>1.0493122760902949</v>
      </c>
      <c r="AL100" s="305">
        <v>1.0497258902235758</v>
      </c>
      <c r="AM100" s="305">
        <f t="shared" si="2"/>
        <v>1.0497258902235758</v>
      </c>
      <c r="AN100" s="299"/>
    </row>
    <row r="101" spans="1:40" ht="17.45" customHeight="1" x14ac:dyDescent="0.2">
      <c r="A101" s="303">
        <v>18</v>
      </c>
      <c r="B101" s="304">
        <v>0.96192194373957784</v>
      </c>
      <c r="C101" s="304">
        <v>0.97398571260098399</v>
      </c>
      <c r="D101" s="304">
        <v>0.98619540585652898</v>
      </c>
      <c r="E101" s="304">
        <v>0.99452746357986643</v>
      </c>
      <c r="F101" s="304">
        <v>1.0011691864246621</v>
      </c>
      <c r="G101" s="304">
        <v>1.0075958383424033</v>
      </c>
      <c r="H101" s="304">
        <v>1.0123251240169626</v>
      </c>
      <c r="I101" s="304">
        <v>1.0157241643824775</v>
      </c>
      <c r="J101" s="305">
        <v>1.018889114173825</v>
      </c>
      <c r="K101" s="304">
        <v>1.0218639953821429</v>
      </c>
      <c r="L101" s="304">
        <v>1.0246588135085222</v>
      </c>
      <c r="M101" s="304">
        <v>1.0272869101088773</v>
      </c>
      <c r="N101" s="304">
        <v>1.0297346781731558</v>
      </c>
      <c r="O101" s="304">
        <v>1.0319694396923795</v>
      </c>
      <c r="P101" s="304">
        <v>1.0339330199764982</v>
      </c>
      <c r="Q101" s="304">
        <v>1.0355477301659917</v>
      </c>
      <c r="R101" s="304">
        <v>1.0369612449974066</v>
      </c>
      <c r="S101" s="305">
        <v>1.0384437467572845</v>
      </c>
      <c r="T101" s="304">
        <v>1.0398498272302543</v>
      </c>
      <c r="U101" s="304">
        <v>1.0411294263800639</v>
      </c>
      <c r="V101" s="304">
        <v>1.0422558775583777</v>
      </c>
      <c r="W101" s="304">
        <v>1.0432513283459295</v>
      </c>
      <c r="X101" s="304">
        <v>1.0441603447872621</v>
      </c>
      <c r="Y101" s="304">
        <v>1.0449962476379595</v>
      </c>
      <c r="Z101" s="304">
        <v>1.0457758991085746</v>
      </c>
      <c r="AA101" s="304">
        <v>1.0465248245236802</v>
      </c>
      <c r="AB101" s="305">
        <v>1.0472926059859045</v>
      </c>
      <c r="AC101" s="304">
        <v>1.0479960648668822</v>
      </c>
      <c r="AD101" s="304">
        <v>1.0485432667830095</v>
      </c>
      <c r="AE101" s="304">
        <v>1.0489803179614057</v>
      </c>
      <c r="AF101" s="304">
        <v>1.0493391519773938</v>
      </c>
      <c r="AG101" s="304">
        <v>1.0496488007242275</v>
      </c>
      <c r="AH101" s="304">
        <v>1.0499397184422303</v>
      </c>
      <c r="AI101" s="304">
        <v>1.0502496861335686</v>
      </c>
      <c r="AJ101" s="304">
        <v>1.0506442487686511</v>
      </c>
      <c r="AK101" s="304">
        <v>1.0510616596692468</v>
      </c>
      <c r="AL101" s="305">
        <v>1.0514683035067889</v>
      </c>
      <c r="AM101" s="305">
        <f t="shared" si="2"/>
        <v>1.0514683035067889</v>
      </c>
      <c r="AN101" s="299"/>
    </row>
    <row r="102" spans="1:40" ht="17.45" customHeight="1" x14ac:dyDescent="0.2">
      <c r="A102" s="303">
        <v>19</v>
      </c>
      <c r="B102" s="304">
        <v>0.9619800557243714</v>
      </c>
      <c r="C102" s="304">
        <v>0.97465496842810229</v>
      </c>
      <c r="D102" s="304">
        <v>0.98672674308011876</v>
      </c>
      <c r="E102" s="304">
        <v>0.99525369035568811</v>
      </c>
      <c r="F102" s="304">
        <v>1.0022700093584602</v>
      </c>
      <c r="G102" s="304">
        <v>1.0086009023174616</v>
      </c>
      <c r="H102" s="304">
        <v>1.0132579334382481</v>
      </c>
      <c r="I102" s="304">
        <v>1.0165187477863169</v>
      </c>
      <c r="J102" s="305">
        <v>1.0196169116313716</v>
      </c>
      <c r="K102" s="304">
        <v>1.0225846248187893</v>
      </c>
      <c r="L102" s="304">
        <v>1.0254287312120054</v>
      </c>
      <c r="M102" s="304">
        <v>1.0281341731301321</v>
      </c>
      <c r="N102" s="304">
        <v>1.0306788272746827</v>
      </c>
      <c r="O102" s="304">
        <v>1.0330361531672714</v>
      </c>
      <c r="P102" s="304">
        <v>1.0351729336096529</v>
      </c>
      <c r="Q102" s="304">
        <v>1.0370356443399924</v>
      </c>
      <c r="R102" s="304">
        <v>1.0385824094974714</v>
      </c>
      <c r="S102" s="305">
        <v>1.0400964512765065</v>
      </c>
      <c r="T102" s="304">
        <v>1.0414697421865178</v>
      </c>
      <c r="U102" s="304">
        <v>1.042689653637273</v>
      </c>
      <c r="V102" s="304">
        <v>1.0437963925324851</v>
      </c>
      <c r="W102" s="304">
        <v>1.0448013590232328</v>
      </c>
      <c r="X102" s="304">
        <v>1.0457170559653264</v>
      </c>
      <c r="Y102" s="304">
        <v>1.0465582247282523</v>
      </c>
      <c r="Z102" s="304">
        <v>1.0473441047577943</v>
      </c>
      <c r="AA102" s="304">
        <v>1.0481034963838554</v>
      </c>
      <c r="AB102" s="305">
        <v>1.0488875979691079</v>
      </c>
      <c r="AC102" s="304">
        <v>1.0495994921068743</v>
      </c>
      <c r="AD102" s="304">
        <v>1.0501425258497716</v>
      </c>
      <c r="AE102" s="304">
        <v>1.0505708553136524</v>
      </c>
      <c r="AF102" s="304">
        <v>1.050922998219163</v>
      </c>
      <c r="AG102" s="304">
        <v>1.051234773674721</v>
      </c>
      <c r="AH102" s="304">
        <v>1.0515469205182155</v>
      </c>
      <c r="AI102" s="304">
        <v>1.0519188558397858</v>
      </c>
      <c r="AJ102" s="304">
        <v>1.0523717555845349</v>
      </c>
      <c r="AK102" s="304">
        <v>1.0527517279999572</v>
      </c>
      <c r="AL102" s="305">
        <v>1.0531586017197005</v>
      </c>
      <c r="AM102" s="305">
        <f t="shared" si="2"/>
        <v>1.0531586017197005</v>
      </c>
      <c r="AN102" s="299"/>
    </row>
    <row r="103" spans="1:40" ht="17.45" customHeight="1" x14ac:dyDescent="0.2">
      <c r="A103" s="306">
        <v>20</v>
      </c>
      <c r="B103" s="307">
        <v>0.96217732273619894</v>
      </c>
      <c r="C103" s="307">
        <v>0.97512486700638834</v>
      </c>
      <c r="D103" s="307">
        <v>0.9868678401788209</v>
      </c>
      <c r="E103" s="307">
        <v>0.99571852164744468</v>
      </c>
      <c r="F103" s="307">
        <v>1.0030734842134674</v>
      </c>
      <c r="G103" s="307">
        <v>1.009466196503221</v>
      </c>
      <c r="H103" s="307">
        <v>1.0141010575793186</v>
      </c>
      <c r="I103" s="307">
        <v>1.0172509662747506</v>
      </c>
      <c r="J103" s="308">
        <v>1.0203409678428579</v>
      </c>
      <c r="K103" s="307">
        <v>1.0233464678892292</v>
      </c>
      <c r="L103" s="307">
        <v>1.0262428720194547</v>
      </c>
      <c r="M103" s="307">
        <v>1.0290055858391229</v>
      </c>
      <c r="N103" s="307">
        <v>1.0316100149538237</v>
      </c>
      <c r="O103" s="307">
        <v>1.0340315649691458</v>
      </c>
      <c r="P103" s="307">
        <v>1.0362456414906793</v>
      </c>
      <c r="Q103" s="307">
        <v>1.0382276501240129</v>
      </c>
      <c r="R103" s="307">
        <v>1.0399529964747356</v>
      </c>
      <c r="S103" s="308">
        <v>1.0414686412135397</v>
      </c>
      <c r="T103" s="307">
        <v>1.0428448546135853</v>
      </c>
      <c r="U103" s="307">
        <v>1.0440922071246814</v>
      </c>
      <c r="V103" s="307">
        <v>1.0452217221559976</v>
      </c>
      <c r="W103" s="307">
        <v>1.0462452486171538</v>
      </c>
      <c r="X103" s="307">
        <v>1.0471761223926457</v>
      </c>
      <c r="Y103" s="307">
        <v>1.0480303834579907</v>
      </c>
      <c r="Z103" s="307">
        <v>1.0488291259287297</v>
      </c>
      <c r="AA103" s="307">
        <v>1.0496033376769018</v>
      </c>
      <c r="AB103" s="308">
        <v>1.0504047735072151</v>
      </c>
      <c r="AC103" s="307">
        <v>1.0511255998522719</v>
      </c>
      <c r="AD103" s="307">
        <v>1.0516662405565809</v>
      </c>
      <c r="AE103" s="307">
        <v>1.0520896587134048</v>
      </c>
      <c r="AF103" s="307">
        <v>1.0524431577879703</v>
      </c>
      <c r="AG103" s="307">
        <v>1.0527732565501511</v>
      </c>
      <c r="AH103" s="307">
        <v>1.0531383397055998</v>
      </c>
      <c r="AI103" s="307">
        <v>1.0536105976878298</v>
      </c>
      <c r="AJ103" s="307">
        <v>1.0540180671956993</v>
      </c>
      <c r="AK103" s="307">
        <v>1.0543824838677691</v>
      </c>
      <c r="AL103" s="308">
        <v>1.0547923986733709</v>
      </c>
      <c r="AM103" s="308">
        <f t="shared" si="2"/>
        <v>1.0547923986733709</v>
      </c>
      <c r="AN103" s="299"/>
    </row>
    <row r="104" spans="1:40" ht="17.45" customHeight="1" x14ac:dyDescent="0.2">
      <c r="A104" s="303">
        <v>21</v>
      </c>
      <c r="B104" s="304">
        <v>0.96247146892677438</v>
      </c>
      <c r="C104" s="304">
        <v>0.97525967698278182</v>
      </c>
      <c r="D104" s="304">
        <v>0.98670696257740964</v>
      </c>
      <c r="E104" s="304">
        <v>0.99588439866120826</v>
      </c>
      <c r="F104" s="304">
        <v>1.0035917110132275</v>
      </c>
      <c r="G104" s="304">
        <v>1.0100789795299596</v>
      </c>
      <c r="H104" s="304">
        <v>1.0148584098411446</v>
      </c>
      <c r="I104" s="304">
        <v>1.0180959950799475</v>
      </c>
      <c r="J104" s="305">
        <v>1.0212153866223979</v>
      </c>
      <c r="K104" s="304">
        <v>1.0242600532662158</v>
      </c>
      <c r="L104" s="304">
        <v>1.0271986375081361</v>
      </c>
      <c r="M104" s="304">
        <v>1.0300045530076289</v>
      </c>
      <c r="N104" s="304">
        <v>1.0326521758223401</v>
      </c>
      <c r="O104" s="304">
        <v>1.0351158766766719</v>
      </c>
      <c r="P104" s="304">
        <v>1.0373690457010778</v>
      </c>
      <c r="Q104" s="304">
        <v>1.0393802314908769</v>
      </c>
      <c r="R104" s="304">
        <v>1.0411161118060874</v>
      </c>
      <c r="S104" s="305">
        <v>1.0426872071578717</v>
      </c>
      <c r="T104" s="304">
        <v>1.0441041675094571</v>
      </c>
      <c r="U104" s="304">
        <v>1.045386729948625</v>
      </c>
      <c r="V104" s="304">
        <v>1.0465463602909566</v>
      </c>
      <c r="W104" s="304">
        <v>1.0475953802652485</v>
      </c>
      <c r="X104" s="304">
        <v>1.048547823194127</v>
      </c>
      <c r="Y104" s="304">
        <v>1.0494207540599141</v>
      </c>
      <c r="Z104" s="304">
        <v>1.0502366685070359</v>
      </c>
      <c r="AA104" s="304">
        <v>1.0510281205577165</v>
      </c>
      <c r="AB104" s="305">
        <v>1.0518472656662909</v>
      </c>
      <c r="AC104" s="304">
        <v>1.05257746791412</v>
      </c>
      <c r="AD104" s="304">
        <v>1.0531181200927275</v>
      </c>
      <c r="AE104" s="304">
        <v>1.0535427607814616</v>
      </c>
      <c r="AF104" s="304">
        <v>1.053910660485087</v>
      </c>
      <c r="AG104" s="304">
        <v>1.0542845988143439</v>
      </c>
      <c r="AH104" s="304">
        <v>1.0547512734959952</v>
      </c>
      <c r="AI104" s="304">
        <v>1.0552203424467774</v>
      </c>
      <c r="AJ104" s="304">
        <v>1.0555915121007193</v>
      </c>
      <c r="AK104" s="304">
        <v>1.0559510130855323</v>
      </c>
      <c r="AL104" s="305">
        <v>1.0563653081788582</v>
      </c>
      <c r="AM104" s="305">
        <f t="shared" si="2"/>
        <v>1.0563653081788582</v>
      </c>
      <c r="AN104" s="299"/>
    </row>
    <row r="105" spans="1:40" ht="17.45" customHeight="1" x14ac:dyDescent="0.2">
      <c r="A105" s="303">
        <v>22</v>
      </c>
      <c r="B105" s="304">
        <v>0.96271367955192355</v>
      </c>
      <c r="C105" s="304">
        <v>0.97539685655294694</v>
      </c>
      <c r="D105" s="304">
        <v>0.98643863330115844</v>
      </c>
      <c r="E105" s="304">
        <v>0.99588767386160826</v>
      </c>
      <c r="F105" s="304">
        <v>1.0039111600753667</v>
      </c>
      <c r="G105" s="304">
        <v>1.0105461338601827</v>
      </c>
      <c r="H105" s="304">
        <v>1.0155281497776454</v>
      </c>
      <c r="I105" s="304">
        <v>1.0189986739790262</v>
      </c>
      <c r="J105" s="305">
        <v>1.0220945303937872</v>
      </c>
      <c r="K105" s="304">
        <v>1.0251534754139846</v>
      </c>
      <c r="L105" s="304">
        <v>1.0281206619373777</v>
      </c>
      <c r="M105" s="304">
        <v>1.0309604621194466</v>
      </c>
      <c r="N105" s="304">
        <v>1.0336419257200196</v>
      </c>
      <c r="O105" s="304">
        <v>1.0361340768239933</v>
      </c>
      <c r="P105" s="304">
        <v>1.0384011820343513</v>
      </c>
      <c r="Q105" s="304">
        <v>1.0403880433581225</v>
      </c>
      <c r="R105" s="304">
        <v>1.0421416828731471</v>
      </c>
      <c r="S105" s="305">
        <v>1.0437703186169822</v>
      </c>
      <c r="T105" s="304">
        <v>1.0452523861239271</v>
      </c>
      <c r="U105" s="304">
        <v>1.0465797039684728</v>
      </c>
      <c r="V105" s="304">
        <v>1.0477773150734073</v>
      </c>
      <c r="W105" s="304">
        <v>1.0488586433349445</v>
      </c>
      <c r="X105" s="304">
        <v>1.0498384764939654</v>
      </c>
      <c r="Y105" s="304">
        <v>1.0507347439150814</v>
      </c>
      <c r="Z105" s="304">
        <v>1.0515710582594964</v>
      </c>
      <c r="AA105" s="304">
        <v>1.0523812606454446</v>
      </c>
      <c r="AB105" s="305">
        <v>1.0532182075124012</v>
      </c>
      <c r="AC105" s="304">
        <v>1.0539582958712357</v>
      </c>
      <c r="AD105" s="304">
        <v>1.0545023599453873</v>
      </c>
      <c r="AE105" s="304">
        <v>1.0549375635732507</v>
      </c>
      <c r="AF105" s="304">
        <v>1.0553398600353288</v>
      </c>
      <c r="AG105" s="304">
        <v>1.0557963570031363</v>
      </c>
      <c r="AH105" s="304">
        <v>1.0563294172794864</v>
      </c>
      <c r="AI105" s="304">
        <v>1.0567399768392627</v>
      </c>
      <c r="AJ105" s="304">
        <v>1.0570932205548567</v>
      </c>
      <c r="AK105" s="304">
        <v>1.0574535721102085</v>
      </c>
      <c r="AL105" s="305">
        <v>1.0578729440472214</v>
      </c>
      <c r="AM105" s="305">
        <f t="shared" si="2"/>
        <v>1.0578729440472214</v>
      </c>
      <c r="AN105" s="299"/>
    </row>
    <row r="106" spans="1:40" ht="17.45" customHeight="1" x14ac:dyDescent="0.2">
      <c r="A106" s="303">
        <v>23</v>
      </c>
      <c r="B106" s="304">
        <v>0.9629141072433316</v>
      </c>
      <c r="C106" s="304">
        <v>0.97548022976026705</v>
      </c>
      <c r="D106" s="304">
        <v>0.9860958461630428</v>
      </c>
      <c r="E106" s="304">
        <v>0.9957757035696615</v>
      </c>
      <c r="F106" s="304">
        <v>1.0040570013535701</v>
      </c>
      <c r="G106" s="304">
        <v>1.010918301352103</v>
      </c>
      <c r="H106" s="304">
        <v>1.0161191889267194</v>
      </c>
      <c r="I106" s="304">
        <v>1.0198890897625674</v>
      </c>
      <c r="J106" s="305">
        <v>1.0230087736351681</v>
      </c>
      <c r="K106" s="304">
        <v>1.0260448999524729</v>
      </c>
      <c r="L106" s="304">
        <v>1.0290170243226757</v>
      </c>
      <c r="M106" s="304">
        <v>1.0318727344084397</v>
      </c>
      <c r="N106" s="304">
        <v>1.0345700262103241</v>
      </c>
      <c r="O106" s="304">
        <v>1.0370668404382843</v>
      </c>
      <c r="P106" s="304">
        <v>1.0393105489969137</v>
      </c>
      <c r="Q106" s="304">
        <v>1.0412516974939412</v>
      </c>
      <c r="R106" s="304">
        <v>1.0430430540132292</v>
      </c>
      <c r="S106" s="305">
        <v>1.0447182369887911</v>
      </c>
      <c r="T106" s="304">
        <v>1.0462672271446101</v>
      </c>
      <c r="U106" s="304">
        <v>1.0476676768971098</v>
      </c>
      <c r="V106" s="304">
        <v>1.0489149298421803</v>
      </c>
      <c r="W106" s="304">
        <v>1.0500373753612195</v>
      </c>
      <c r="X106" s="304">
        <v>1.0510513960005494</v>
      </c>
      <c r="Y106" s="304">
        <v>1.0519759746859831</v>
      </c>
      <c r="Z106" s="304">
        <v>1.0528357977814911</v>
      </c>
      <c r="AA106" s="304">
        <v>1.0536659931781045</v>
      </c>
      <c r="AB106" s="305">
        <v>1.0545207321116119</v>
      </c>
      <c r="AC106" s="304">
        <v>1.0552714005613049</v>
      </c>
      <c r="AD106" s="304">
        <v>1.0558238862753719</v>
      </c>
      <c r="AE106" s="304">
        <v>1.0562838534745309</v>
      </c>
      <c r="AF106" s="304">
        <v>1.0567510631932873</v>
      </c>
      <c r="AG106" s="304">
        <v>1.0573218524639498</v>
      </c>
      <c r="AH106" s="304">
        <v>1.0577977792324011</v>
      </c>
      <c r="AI106" s="304">
        <v>1.0581755596827764</v>
      </c>
      <c r="AJ106" s="304">
        <v>1.0585216529125621</v>
      </c>
      <c r="AK106" s="304">
        <v>1.0588861124576521</v>
      </c>
      <c r="AL106" s="305">
        <v>1.0593109200895197</v>
      </c>
      <c r="AM106" s="305">
        <f t="shared" si="2"/>
        <v>1.0593109200895197</v>
      </c>
      <c r="AN106" s="299"/>
    </row>
    <row r="107" spans="1:40" ht="17.45" customHeight="1" x14ac:dyDescent="0.2">
      <c r="A107" s="303">
        <v>24</v>
      </c>
      <c r="B107" s="304">
        <v>0.96308290463268409</v>
      </c>
      <c r="C107" s="304">
        <v>0.97543796340640598</v>
      </c>
      <c r="D107" s="304">
        <v>0.98571044940287056</v>
      </c>
      <c r="E107" s="304">
        <v>0.99553389139773441</v>
      </c>
      <c r="F107" s="304">
        <v>1.0040750202075044</v>
      </c>
      <c r="G107" s="304">
        <v>1.0112190092429443</v>
      </c>
      <c r="H107" s="304">
        <v>1.0166404388262655</v>
      </c>
      <c r="I107" s="304">
        <v>1.0206952425960982</v>
      </c>
      <c r="J107" s="305">
        <v>1.0239745691188571</v>
      </c>
      <c r="K107" s="304">
        <v>1.0269439588254476</v>
      </c>
      <c r="L107" s="304">
        <v>1.0298918611910981</v>
      </c>
      <c r="M107" s="304">
        <v>1.0327410108616988</v>
      </c>
      <c r="N107" s="304">
        <v>1.0354316332603601</v>
      </c>
      <c r="O107" s="304">
        <v>1.0379038655310613</v>
      </c>
      <c r="P107" s="304">
        <v>1.0400801112729572</v>
      </c>
      <c r="Q107" s="304">
        <v>1.0420127253260287</v>
      </c>
      <c r="R107" s="304">
        <v>1.0438339832938028</v>
      </c>
      <c r="S107" s="305">
        <v>1.0455474082116463</v>
      </c>
      <c r="T107" s="304">
        <v>1.0471484377504807</v>
      </c>
      <c r="U107" s="304">
        <v>1.0486243254091092</v>
      </c>
      <c r="V107" s="304">
        <v>1.0499522230016283</v>
      </c>
      <c r="W107" s="304">
        <v>1.0511291327171643</v>
      </c>
      <c r="X107" s="304">
        <v>1.0521869257453673</v>
      </c>
      <c r="Y107" s="304">
        <v>1.0531464404968163</v>
      </c>
      <c r="Z107" s="304">
        <v>1.0540337159313262</v>
      </c>
      <c r="AA107" s="304">
        <v>1.0548854252633197</v>
      </c>
      <c r="AB107" s="305">
        <v>1.0557579725299886</v>
      </c>
      <c r="AC107" s="304">
        <v>1.0565202697679503</v>
      </c>
      <c r="AD107" s="304">
        <v>1.057088904740227</v>
      </c>
      <c r="AE107" s="304">
        <v>1.0575958119485891</v>
      </c>
      <c r="AF107" s="304">
        <v>1.0581756690140609</v>
      </c>
      <c r="AG107" s="304">
        <v>1.0587409426620598</v>
      </c>
      <c r="AH107" s="304">
        <v>1.0591678923147578</v>
      </c>
      <c r="AI107" s="304">
        <v>1.0595287914860916</v>
      </c>
      <c r="AJ107" s="304">
        <v>1.0598741265211542</v>
      </c>
      <c r="AK107" s="304">
        <v>1.0602444598220941</v>
      </c>
      <c r="AL107" s="305">
        <v>1.0606748501168122</v>
      </c>
      <c r="AM107" s="305">
        <f t="shared" si="2"/>
        <v>1.0606748501168122</v>
      </c>
      <c r="AN107" s="299"/>
    </row>
    <row r="108" spans="1:40" ht="17.45" customHeight="1" x14ac:dyDescent="0.2">
      <c r="A108" s="306">
        <v>25</v>
      </c>
      <c r="B108" s="307">
        <v>0.96323022435166594</v>
      </c>
      <c r="C108" s="307">
        <v>0.97514977271930081</v>
      </c>
      <c r="D108" s="307">
        <v>0.98531336200634767</v>
      </c>
      <c r="E108" s="307">
        <v>0.99521823624627226</v>
      </c>
      <c r="F108" s="307">
        <v>1.0040368819293852</v>
      </c>
      <c r="G108" s="307">
        <v>1.0114505164286729</v>
      </c>
      <c r="H108" s="307">
        <v>1.0171008110141813</v>
      </c>
      <c r="I108" s="307">
        <v>1.021439186693081</v>
      </c>
      <c r="J108" s="308">
        <v>1.0249288873244471</v>
      </c>
      <c r="K108" s="307">
        <v>1.0278573552280252</v>
      </c>
      <c r="L108" s="307">
        <v>1.0307473726279015</v>
      </c>
      <c r="M108" s="307">
        <v>1.0335650421387264</v>
      </c>
      <c r="N108" s="307">
        <v>1.0362240590295764</v>
      </c>
      <c r="O108" s="307">
        <v>1.0386379959709693</v>
      </c>
      <c r="P108" s="307">
        <v>1.040736502719001</v>
      </c>
      <c r="Q108" s="307">
        <v>1.042684858171814</v>
      </c>
      <c r="R108" s="307">
        <v>1.044529127595095</v>
      </c>
      <c r="S108" s="308">
        <v>1.0462734523420332</v>
      </c>
      <c r="T108" s="307">
        <v>1.0479160725183292</v>
      </c>
      <c r="U108" s="307">
        <v>1.0494496998417497</v>
      </c>
      <c r="V108" s="307">
        <v>1.0508604873906224</v>
      </c>
      <c r="W108" s="307">
        <v>1.0521251679616896</v>
      </c>
      <c r="X108" s="307">
        <v>1.0532415678640255</v>
      </c>
      <c r="Y108" s="307">
        <v>1.0542460939053846</v>
      </c>
      <c r="Z108" s="307">
        <v>1.0551668365407789</v>
      </c>
      <c r="AA108" s="307">
        <v>1.0560425220023713</v>
      </c>
      <c r="AB108" s="308">
        <v>1.0569330618335973</v>
      </c>
      <c r="AC108" s="307">
        <v>1.0577087078980461</v>
      </c>
      <c r="AD108" s="307">
        <v>1.0583061411754724</v>
      </c>
      <c r="AE108" s="307">
        <v>1.0588964273595345</v>
      </c>
      <c r="AF108" s="307">
        <v>1.0595479309144944</v>
      </c>
      <c r="AG108" s="307">
        <v>1.0600459012586763</v>
      </c>
      <c r="AH108" s="307">
        <v>1.0604455781230546</v>
      </c>
      <c r="AI108" s="307">
        <v>1.0607993280903223</v>
      </c>
      <c r="AJ108" s="307">
        <v>1.0611474559187224</v>
      </c>
      <c r="AK108" s="307">
        <v>1.0615243937888454</v>
      </c>
      <c r="AL108" s="308">
        <v>1.0619603479401576</v>
      </c>
      <c r="AM108" s="308">
        <f t="shared" si="2"/>
        <v>1.0619603479401576</v>
      </c>
      <c r="AN108" s="299"/>
    </row>
    <row r="109" spans="1:40" ht="17.45" customHeight="1" x14ac:dyDescent="0.2">
      <c r="A109" s="303">
        <v>26</v>
      </c>
      <c r="B109" s="304">
        <v>0.96336621903196251</v>
      </c>
      <c r="C109" s="304">
        <v>0.97471331753528134</v>
      </c>
      <c r="D109" s="304">
        <v>0.98493515343287241</v>
      </c>
      <c r="E109" s="304">
        <v>0.99487496057800551</v>
      </c>
      <c r="F109" s="304">
        <v>1.0039277689517261</v>
      </c>
      <c r="G109" s="304">
        <v>1.0115663087895794</v>
      </c>
      <c r="H109" s="304">
        <v>1.0175092170283662</v>
      </c>
      <c r="I109" s="304">
        <v>1.0221322558777834</v>
      </c>
      <c r="J109" s="305">
        <v>1.0258209352728425</v>
      </c>
      <c r="K109" s="304">
        <v>1.0287930779154735</v>
      </c>
      <c r="L109" s="304">
        <v>1.0315850416271175</v>
      </c>
      <c r="M109" s="304">
        <v>1.0343446327188832</v>
      </c>
      <c r="N109" s="304">
        <v>1.0369454378520182</v>
      </c>
      <c r="O109" s="304">
        <v>1.039260883713196</v>
      </c>
      <c r="P109" s="304">
        <v>1.0413254239235206</v>
      </c>
      <c r="Q109" s="304">
        <v>1.0432833745450654</v>
      </c>
      <c r="R109" s="304">
        <v>1.0451449283637386</v>
      </c>
      <c r="S109" s="305">
        <v>1.0469138350583744</v>
      </c>
      <c r="T109" s="304">
        <v>1.0485895906771261</v>
      </c>
      <c r="U109" s="304">
        <v>1.0501680806370497</v>
      </c>
      <c r="V109" s="304">
        <v>1.0516411440993552</v>
      </c>
      <c r="W109" s="304">
        <v>1.0529948730240084</v>
      </c>
      <c r="X109" s="304">
        <v>1.0542056553015025</v>
      </c>
      <c r="Y109" s="304">
        <v>1.0552715558046935</v>
      </c>
      <c r="Z109" s="304">
        <v>1.0562358513368904</v>
      </c>
      <c r="AA109" s="304">
        <v>1.0571400114091776</v>
      </c>
      <c r="AB109" s="305">
        <v>1.0580491330885033</v>
      </c>
      <c r="AC109" s="304">
        <v>1.0588412153361797</v>
      </c>
      <c r="AD109" s="304">
        <v>1.0594899640917181</v>
      </c>
      <c r="AE109" s="304">
        <v>1.0601979632884304</v>
      </c>
      <c r="AF109" s="304">
        <v>1.0607878565189615</v>
      </c>
      <c r="AG109" s="304">
        <v>1.0612479080834265</v>
      </c>
      <c r="AH109" s="304">
        <v>1.061633841280992</v>
      </c>
      <c r="AI109" s="304">
        <v>1.0619859186255722</v>
      </c>
      <c r="AJ109" s="304">
        <v>1.0623382973612274</v>
      </c>
      <c r="AK109" s="304">
        <v>1.0627217007303753</v>
      </c>
      <c r="AL109" s="305">
        <v>1.063163027370615</v>
      </c>
      <c r="AM109" s="305">
        <f t="shared" si="2"/>
        <v>1.063163027370615</v>
      </c>
      <c r="AN109" s="299"/>
    </row>
    <row r="110" spans="1:40" ht="17.45" customHeight="1" x14ac:dyDescent="0.2">
      <c r="A110" s="303">
        <v>27</v>
      </c>
      <c r="B110" s="304">
        <v>0.96350104130525893</v>
      </c>
      <c r="C110" s="304">
        <v>0.97436963196787463</v>
      </c>
      <c r="D110" s="304">
        <v>0.98460737978549506</v>
      </c>
      <c r="E110" s="304">
        <v>0.99454516114382951</v>
      </c>
      <c r="F110" s="304">
        <v>1.0037276373393358</v>
      </c>
      <c r="G110" s="304">
        <v>1.0115971895208553</v>
      </c>
      <c r="H110" s="304">
        <v>1.0178745684067174</v>
      </c>
      <c r="I110" s="304">
        <v>1.0227810422014305</v>
      </c>
      <c r="J110" s="305">
        <v>1.0266640044846362</v>
      </c>
      <c r="K110" s="304">
        <v>1.0297238934642745</v>
      </c>
      <c r="L110" s="304">
        <v>1.032406872169259</v>
      </c>
      <c r="M110" s="304">
        <v>1.0350796119299197</v>
      </c>
      <c r="N110" s="304">
        <v>1.0375934298385245</v>
      </c>
      <c r="O110" s="304">
        <v>1.0398028346018267</v>
      </c>
      <c r="P110" s="304">
        <v>1.0418627035018111</v>
      </c>
      <c r="Q110" s="304">
        <v>1.043826368544851</v>
      </c>
      <c r="R110" s="304">
        <v>1.0457012750855386</v>
      </c>
      <c r="S110" s="305">
        <v>1.0474899468203747</v>
      </c>
      <c r="T110" s="304">
        <v>1.0491920720816859</v>
      </c>
      <c r="U110" s="304">
        <v>1.0508052118096447</v>
      </c>
      <c r="V110" s="304">
        <v>1.0523247275963681</v>
      </c>
      <c r="W110" s="304">
        <v>1.0537429263417415</v>
      </c>
      <c r="X110" s="304">
        <v>1.0550468481439221</v>
      </c>
      <c r="Y110" s="304">
        <v>1.0562128285452739</v>
      </c>
      <c r="Z110" s="304">
        <v>1.0572386533455533</v>
      </c>
      <c r="AA110" s="304">
        <v>1.0581800891243938</v>
      </c>
      <c r="AB110" s="305">
        <v>1.0591093193607732</v>
      </c>
      <c r="AC110" s="304">
        <v>1.0599241362411342</v>
      </c>
      <c r="AD110" s="304">
        <v>1.060669766952864</v>
      </c>
      <c r="AE110" s="304">
        <v>1.0613731181657495</v>
      </c>
      <c r="AF110" s="304">
        <v>1.0619142043934238</v>
      </c>
      <c r="AG110" s="304">
        <v>1.062354700925277</v>
      </c>
      <c r="AH110" s="304">
        <v>1.0627344989392939</v>
      </c>
      <c r="AI110" s="304">
        <v>1.0630871274349192</v>
      </c>
      <c r="AJ110" s="304">
        <v>1.0634434273987157</v>
      </c>
      <c r="AK110" s="304">
        <v>1.0638322392890434</v>
      </c>
      <c r="AL110" s="305">
        <v>1.0642785022192436</v>
      </c>
      <c r="AM110" s="305">
        <f t="shared" si="2"/>
        <v>1.0642785022192436</v>
      </c>
      <c r="AN110" s="299"/>
    </row>
    <row r="111" spans="1:40" ht="17.45" customHeight="1" x14ac:dyDescent="0.2">
      <c r="A111" s="303">
        <v>28</v>
      </c>
      <c r="B111" s="304">
        <v>0.96364484380324056</v>
      </c>
      <c r="C111" s="304">
        <v>0.9741446421082498</v>
      </c>
      <c r="D111" s="304">
        <v>0.98436554982752122</v>
      </c>
      <c r="E111" s="304">
        <v>0.99427554176758814</v>
      </c>
      <c r="F111" s="304">
        <v>1.0035116603688987</v>
      </c>
      <c r="G111" s="304">
        <v>1.0116514181440408</v>
      </c>
      <c r="H111" s="304">
        <v>1.0182057766871346</v>
      </c>
      <c r="I111" s="304">
        <v>1.0233866871650701</v>
      </c>
      <c r="J111" s="305">
        <v>1.0274514333577847</v>
      </c>
      <c r="K111" s="304">
        <v>1.0306098649734383</v>
      </c>
      <c r="L111" s="304">
        <v>1.0332185352855374</v>
      </c>
      <c r="M111" s="304">
        <v>1.0357698187709892</v>
      </c>
      <c r="N111" s="304">
        <v>1.0381620441727952</v>
      </c>
      <c r="O111" s="304">
        <v>1.0403141274064067</v>
      </c>
      <c r="P111" s="304">
        <v>1.0423687573069176</v>
      </c>
      <c r="Q111" s="304">
        <v>1.0443377112213541</v>
      </c>
      <c r="R111" s="304">
        <v>1.0462247654342494</v>
      </c>
      <c r="S111" s="305">
        <v>1.0480306020371821</v>
      </c>
      <c r="T111" s="304">
        <v>1.049754388970018</v>
      </c>
      <c r="U111" s="304">
        <v>1.0513943182428855</v>
      </c>
      <c r="V111" s="304">
        <v>1.0529476800470392</v>
      </c>
      <c r="W111" s="304">
        <v>1.0544105611078547</v>
      </c>
      <c r="X111" s="304">
        <v>1.0557769319033625</v>
      </c>
      <c r="Y111" s="304">
        <v>1.0570362089867817</v>
      </c>
      <c r="Z111" s="304">
        <v>1.0581658312172122</v>
      </c>
      <c r="AA111" s="304">
        <v>1.0591633883971454</v>
      </c>
      <c r="AB111" s="305">
        <v>1.0601167537164722</v>
      </c>
      <c r="AC111" s="304">
        <v>1.0609702572833604</v>
      </c>
      <c r="AD111" s="304">
        <v>1.0617814130927909</v>
      </c>
      <c r="AE111" s="304">
        <v>1.0624241722311623</v>
      </c>
      <c r="AF111" s="304">
        <v>1.0629417665211922</v>
      </c>
      <c r="AG111" s="304">
        <v>1.0633727479605735</v>
      </c>
      <c r="AH111" s="304">
        <v>1.0637493737256423</v>
      </c>
      <c r="AI111" s="304">
        <v>1.0641020160239718</v>
      </c>
      <c r="AJ111" s="304">
        <v>1.0644601284013333</v>
      </c>
      <c r="AK111" s="304">
        <v>1.0648520837331161</v>
      </c>
      <c r="AL111" s="305">
        <v>1.0653023862971018</v>
      </c>
      <c r="AM111" s="305">
        <f t="shared" si="2"/>
        <v>1.0653023862971018</v>
      </c>
      <c r="AN111" s="299"/>
    </row>
    <row r="112" spans="1:40" ht="17.45" customHeight="1" x14ac:dyDescent="0.2">
      <c r="A112" s="303">
        <v>29</v>
      </c>
      <c r="B112" s="304">
        <v>0.96380777915759253</v>
      </c>
      <c r="C112" s="304">
        <v>0.97406714222696789</v>
      </c>
      <c r="D112" s="304">
        <v>0.98425581077275703</v>
      </c>
      <c r="E112" s="304">
        <v>0.99413037853753627</v>
      </c>
      <c r="F112" s="304">
        <v>1.0033711575496509</v>
      </c>
      <c r="G112" s="304">
        <v>1.0116473749227797</v>
      </c>
      <c r="H112" s="304">
        <v>1.0185117534075152</v>
      </c>
      <c r="I112" s="304">
        <v>1.0239381167755801</v>
      </c>
      <c r="J112" s="305">
        <v>1.0281519027857022</v>
      </c>
      <c r="K112" s="304">
        <v>1.0314092728367059</v>
      </c>
      <c r="L112" s="304">
        <v>1.0340231474144257</v>
      </c>
      <c r="M112" s="304">
        <v>1.0364150940039147</v>
      </c>
      <c r="N112" s="304">
        <v>1.038683163231062</v>
      </c>
      <c r="O112" s="304">
        <v>1.0408192717347764</v>
      </c>
      <c r="P112" s="304">
        <v>1.0428750686496655</v>
      </c>
      <c r="Q112" s="304">
        <v>1.0448538630134372</v>
      </c>
      <c r="R112" s="304">
        <v>1.0467554913236794</v>
      </c>
      <c r="S112" s="305">
        <v>1.0485787827542712</v>
      </c>
      <c r="T112" s="304">
        <v>1.0503221660901589</v>
      </c>
      <c r="U112" s="304">
        <v>1.051983855937582</v>
      </c>
      <c r="V112" s="304">
        <v>1.0535618971110012</v>
      </c>
      <c r="W112" s="304">
        <v>1.0550541226247485</v>
      </c>
      <c r="X112" s="304">
        <v>1.0564579870165465</v>
      </c>
      <c r="Y112" s="304">
        <v>1.0577700731984099</v>
      </c>
      <c r="Z112" s="304">
        <v>1.058984387230639</v>
      </c>
      <c r="AA112" s="304">
        <v>1.0600838068415253</v>
      </c>
      <c r="AB112" s="305">
        <v>1.0610745692216659</v>
      </c>
      <c r="AC112" s="304">
        <v>1.0619924801375158</v>
      </c>
      <c r="AD112" s="304">
        <v>1.0627586448873874</v>
      </c>
      <c r="AE112" s="304">
        <v>1.0633775751466605</v>
      </c>
      <c r="AF112" s="304">
        <v>1.0638842497054872</v>
      </c>
      <c r="AG112" s="304">
        <v>1.0643090453435831</v>
      </c>
      <c r="AH112" s="304">
        <v>1.0646815614089848</v>
      </c>
      <c r="AI112" s="304">
        <v>1.0650311515574329</v>
      </c>
      <c r="AJ112" s="304">
        <v>1.0653870102858329</v>
      </c>
      <c r="AK112" s="304">
        <v>1.0657779872992232</v>
      </c>
      <c r="AL112" s="305">
        <v>1.066230293415249</v>
      </c>
      <c r="AM112" s="305">
        <f t="shared" si="2"/>
        <v>1.066230293415249</v>
      </c>
      <c r="AN112" s="299"/>
    </row>
    <row r="113" spans="1:40" ht="17.45" customHeight="1" x14ac:dyDescent="0.2">
      <c r="A113" s="306">
        <v>30</v>
      </c>
      <c r="B113" s="307">
        <v>0.96399999999999997</v>
      </c>
      <c r="C113" s="307">
        <v>0.97417605676805685</v>
      </c>
      <c r="D113" s="307">
        <v>0.98435087811046462</v>
      </c>
      <c r="E113" s="307">
        <v>0.99421264407133136</v>
      </c>
      <c r="F113" s="307">
        <v>1.0034495346947641</v>
      </c>
      <c r="G113" s="307">
        <v>1.0117497300248703</v>
      </c>
      <c r="H113" s="307">
        <v>1.0188014101057579</v>
      </c>
      <c r="I113" s="307">
        <v>1.0243828943940161</v>
      </c>
      <c r="J113" s="308">
        <v>1.0286862386469537</v>
      </c>
      <c r="K113" s="307">
        <v>1.0320202273597576</v>
      </c>
      <c r="L113" s="307">
        <v>1.0346936450276145</v>
      </c>
      <c r="M113" s="307">
        <v>1.0370152761457108</v>
      </c>
      <c r="N113" s="307">
        <v>1.0392293267457964</v>
      </c>
      <c r="O113" s="307">
        <v>1.0413729136399938</v>
      </c>
      <c r="P113" s="307">
        <v>1.0434441874940474</v>
      </c>
      <c r="Q113" s="307">
        <v>1.0454412989737007</v>
      </c>
      <c r="R113" s="307">
        <v>1.0473623987446992</v>
      </c>
      <c r="S113" s="308">
        <v>1.0492056374727869</v>
      </c>
      <c r="T113" s="307">
        <v>1.0509691658237081</v>
      </c>
      <c r="U113" s="307">
        <v>1.0526511344632075</v>
      </c>
      <c r="V113" s="307">
        <v>1.0542496940570294</v>
      </c>
      <c r="W113" s="307">
        <v>1.055762995270918</v>
      </c>
      <c r="X113" s="307">
        <v>1.057189188770618</v>
      </c>
      <c r="Y113" s="307">
        <v>1.0585264252218742</v>
      </c>
      <c r="Z113" s="307">
        <v>1.0597728552904302</v>
      </c>
      <c r="AA113" s="307">
        <v>1.0609266296420308</v>
      </c>
      <c r="AB113" s="308">
        <v>1.0619858989424207</v>
      </c>
      <c r="AC113" s="307">
        <v>1.0629030173053353</v>
      </c>
      <c r="AD113" s="307">
        <v>1.0636510656533635</v>
      </c>
      <c r="AE113" s="307">
        <v>1.0642592848655315</v>
      </c>
      <c r="AF113" s="307">
        <v>1.0647569158208645</v>
      </c>
      <c r="AG113" s="307">
        <v>1.0651731993983873</v>
      </c>
      <c r="AH113" s="307">
        <v>1.0655373764771261</v>
      </c>
      <c r="AI113" s="307">
        <v>1.0658786879361055</v>
      </c>
      <c r="AJ113" s="307">
        <v>1.0662263746543519</v>
      </c>
      <c r="AK113" s="307">
        <v>1.0666096775108895</v>
      </c>
      <c r="AL113" s="308">
        <v>1.0670578373847444</v>
      </c>
      <c r="AM113" s="308">
        <f t="shared" si="2"/>
        <v>1.0670578373847444</v>
      </c>
      <c r="AN113" s="299"/>
    </row>
    <row r="114" spans="1:40" ht="17.45" customHeight="1" x14ac:dyDescent="0.2">
      <c r="A114" s="303">
        <v>31</v>
      </c>
      <c r="B114" s="304">
        <v>0.96418450048055004</v>
      </c>
      <c r="C114" s="304">
        <v>0.97449735604118759</v>
      </c>
      <c r="D114" s="304">
        <v>0.98470831618000565</v>
      </c>
      <c r="E114" s="304">
        <v>0.99460678203490271</v>
      </c>
      <c r="F114" s="304">
        <v>1.0038726282643393</v>
      </c>
      <c r="G114" s="304">
        <v>1.0121752357102114</v>
      </c>
      <c r="H114" s="304">
        <v>1.0190674489096041</v>
      </c>
      <c r="I114" s="304">
        <v>1.0247063025557539</v>
      </c>
      <c r="J114" s="305">
        <v>1.0290672836711265</v>
      </c>
      <c r="K114" s="304">
        <v>1.0324401068859714</v>
      </c>
      <c r="L114" s="304">
        <v>1.0351545335927825</v>
      </c>
      <c r="M114" s="304">
        <v>1.0375360257533806</v>
      </c>
      <c r="N114" s="304">
        <v>1.0397591178331198</v>
      </c>
      <c r="O114" s="304">
        <v>1.0419018497548072</v>
      </c>
      <c r="P114" s="304">
        <v>1.0439832672490594</v>
      </c>
      <c r="Q114" s="304">
        <v>1.0459943602924098</v>
      </c>
      <c r="R114" s="304">
        <v>1.047930929706419</v>
      </c>
      <c r="S114" s="305">
        <v>1.0497901675550858</v>
      </c>
      <c r="T114" s="304">
        <v>1.0515698125683484</v>
      </c>
      <c r="U114" s="304">
        <v>1.0532678863588232</v>
      </c>
      <c r="V114" s="304">
        <v>1.0548826210728413</v>
      </c>
      <c r="W114" s="304">
        <v>1.0564124950259213</v>
      </c>
      <c r="X114" s="304">
        <v>1.0578564110381425</v>
      </c>
      <c r="Y114" s="304">
        <v>1.0592142369712767</v>
      </c>
      <c r="Z114" s="304">
        <v>1.0604886830938003</v>
      </c>
      <c r="AA114" s="304">
        <v>1.0616947240515457</v>
      </c>
      <c r="AB114" s="305">
        <v>1.062772379701733</v>
      </c>
      <c r="AC114" s="304">
        <v>1.0636633945278104</v>
      </c>
      <c r="AD114" s="304">
        <v>1.06438345589699</v>
      </c>
      <c r="AE114" s="304">
        <v>1.0649644810818935</v>
      </c>
      <c r="AF114" s="304">
        <v>1.0654365146972988</v>
      </c>
      <c r="AG114" s="304">
        <v>1.0658295129625392</v>
      </c>
      <c r="AH114" s="304">
        <v>1.0661738862286665</v>
      </c>
      <c r="AI114" s="304">
        <v>1.0665014735384741</v>
      </c>
      <c r="AJ114" s="304">
        <v>1.0668492231927611</v>
      </c>
      <c r="AK114" s="304">
        <v>1.0672848261098928</v>
      </c>
      <c r="AL114" s="305">
        <v>1.0677396201076048</v>
      </c>
      <c r="AM114" s="305">
        <f t="shared" si="2"/>
        <v>1.0677396201076048</v>
      </c>
      <c r="AN114" s="299"/>
    </row>
    <row r="115" spans="1:40" ht="17.45" customHeight="1" x14ac:dyDescent="0.2">
      <c r="A115" s="303">
        <v>32</v>
      </c>
      <c r="B115" s="304">
        <v>0.96432292681587894</v>
      </c>
      <c r="C115" s="304">
        <v>0.97498995648879738</v>
      </c>
      <c r="D115" s="304">
        <v>0.98525044088383984</v>
      </c>
      <c r="E115" s="304">
        <v>0.99520644856337959</v>
      </c>
      <c r="F115" s="304">
        <v>1.0044934370397254</v>
      </c>
      <c r="G115" s="304">
        <v>1.0126887368314315</v>
      </c>
      <c r="H115" s="304">
        <v>1.0193005105838373</v>
      </c>
      <c r="I115" s="304">
        <v>1.0247876062042165</v>
      </c>
      <c r="J115" s="305">
        <v>1.0293639321104386</v>
      </c>
      <c r="K115" s="304">
        <v>1.0327770367769125</v>
      </c>
      <c r="L115" s="304">
        <v>1.0355141422658845</v>
      </c>
      <c r="M115" s="304">
        <v>1.037954525988638</v>
      </c>
      <c r="N115" s="304">
        <v>1.040248457847933</v>
      </c>
      <c r="O115" s="304">
        <v>1.0423480952354451</v>
      </c>
      <c r="P115" s="304">
        <v>1.0444112235300007</v>
      </c>
      <c r="Q115" s="304">
        <v>1.0464163137728457</v>
      </c>
      <c r="R115" s="304">
        <v>1.0483533211753997</v>
      </c>
      <c r="S115" s="305">
        <v>1.0502166119312255</v>
      </c>
      <c r="T115" s="304">
        <v>1.05200266736421</v>
      </c>
      <c r="U115" s="304">
        <v>1.0537092700061639</v>
      </c>
      <c r="V115" s="304">
        <v>1.0553353234835998</v>
      </c>
      <c r="W115" s="304">
        <v>1.0568811395272966</v>
      </c>
      <c r="X115" s="304">
        <v>1.0583494278625267</v>
      </c>
      <c r="Y115" s="304">
        <v>1.0597479949778585</v>
      </c>
      <c r="Z115" s="304">
        <v>1.061097999751196</v>
      </c>
      <c r="AA115" s="304">
        <v>1.0623300055864533</v>
      </c>
      <c r="AB115" s="305">
        <v>1.0633747561591183</v>
      </c>
      <c r="AC115" s="304">
        <v>1.0642309387162161</v>
      </c>
      <c r="AD115" s="304">
        <v>1.0649050222697436</v>
      </c>
      <c r="AE115" s="304">
        <v>1.0654402933317202</v>
      </c>
      <c r="AF115" s="304">
        <v>1.0658726138817531</v>
      </c>
      <c r="AG115" s="304">
        <v>1.0662373867955452</v>
      </c>
      <c r="AH115" s="304">
        <v>1.0665734788278032</v>
      </c>
      <c r="AI115" s="304">
        <v>1.0669309923495969</v>
      </c>
      <c r="AJ115" s="304">
        <v>1.0674005535526729</v>
      </c>
      <c r="AK115" s="304">
        <v>1.0678539132500648</v>
      </c>
      <c r="AL115" s="305">
        <v>1.0682529818453506</v>
      </c>
      <c r="AM115" s="305">
        <f t="shared" si="2"/>
        <v>1.0682529818453506</v>
      </c>
      <c r="AN115" s="299"/>
    </row>
    <row r="116" spans="1:40" ht="17.45" customHeight="1" x14ac:dyDescent="0.2">
      <c r="A116" s="303">
        <v>33</v>
      </c>
      <c r="B116" s="304">
        <v>0.9644234097374963</v>
      </c>
      <c r="C116" s="304">
        <v>0.97562702322845496</v>
      </c>
      <c r="D116" s="304">
        <v>0.98591883210770637</v>
      </c>
      <c r="E116" s="304">
        <v>0.99592351114117672</v>
      </c>
      <c r="F116" s="304">
        <v>1.0051827034784506</v>
      </c>
      <c r="G116" s="304">
        <v>1.0130903179952389</v>
      </c>
      <c r="H116" s="304">
        <v>1.0195064146219179</v>
      </c>
      <c r="I116" s="304">
        <v>1.0247169345504159</v>
      </c>
      <c r="J116" s="305">
        <v>1.0294937697619448</v>
      </c>
      <c r="K116" s="304">
        <v>1.0330259675140592</v>
      </c>
      <c r="L116" s="304">
        <v>1.0357903672832114</v>
      </c>
      <c r="M116" s="304">
        <v>1.0382878963236117</v>
      </c>
      <c r="N116" s="304">
        <v>1.0406883169567429</v>
      </c>
      <c r="O116" s="304">
        <v>1.0427717249792581</v>
      </c>
      <c r="P116" s="304">
        <v>1.0447963396796611</v>
      </c>
      <c r="Q116" s="304">
        <v>1.0467786955241554</v>
      </c>
      <c r="R116" s="304">
        <v>1.0487026998294571</v>
      </c>
      <c r="S116" s="305">
        <v>1.0505594793717454</v>
      </c>
      <c r="T116" s="304">
        <v>1.0523441918010912</v>
      </c>
      <c r="U116" s="304">
        <v>1.0540548465373187</v>
      </c>
      <c r="V116" s="304">
        <v>1.0556921941661941</v>
      </c>
      <c r="W116" s="304">
        <v>1.0572605851038661</v>
      </c>
      <c r="X116" s="304">
        <v>1.0587703980649137</v>
      </c>
      <c r="Y116" s="304">
        <v>1.0602441191613603</v>
      </c>
      <c r="Z116" s="304">
        <v>1.0616157781214355</v>
      </c>
      <c r="AA116" s="304">
        <v>1.0628035686621902</v>
      </c>
      <c r="AB116" s="305">
        <v>1.0638248231354204</v>
      </c>
      <c r="AC116" s="304">
        <v>1.0646453984130779</v>
      </c>
      <c r="AD116" s="304">
        <v>1.0652702484084686</v>
      </c>
      <c r="AE116" s="304">
        <v>1.0657585984643354</v>
      </c>
      <c r="AF116" s="304">
        <v>1.0661587059222914</v>
      </c>
      <c r="AG116" s="304">
        <v>1.0665201103543951</v>
      </c>
      <c r="AH116" s="304">
        <v>1.0669049106148361</v>
      </c>
      <c r="AI116" s="304">
        <v>1.0674138565840887</v>
      </c>
      <c r="AJ116" s="304">
        <v>1.0679019154216436</v>
      </c>
      <c r="AK116" s="304">
        <v>1.0682423332602053</v>
      </c>
      <c r="AL116" s="305">
        <v>1.068627643948296</v>
      </c>
      <c r="AM116" s="305">
        <f t="shared" si="2"/>
        <v>1.068627643948296</v>
      </c>
      <c r="AN116" s="299"/>
    </row>
    <row r="117" spans="1:40" ht="17.45" customHeight="1" x14ac:dyDescent="0.2">
      <c r="A117" s="303">
        <v>34</v>
      </c>
      <c r="B117" s="304">
        <v>0.96449407997691194</v>
      </c>
      <c r="C117" s="304">
        <v>0.97638707249324075</v>
      </c>
      <c r="D117" s="304">
        <v>0.98667637722123458</v>
      </c>
      <c r="E117" s="304">
        <v>0.99670314373053315</v>
      </c>
      <c r="F117" s="304">
        <v>1.0058571651957724</v>
      </c>
      <c r="G117" s="304">
        <v>1.0133781522817806</v>
      </c>
      <c r="H117" s="304">
        <v>1.019690980517308</v>
      </c>
      <c r="I117" s="304">
        <v>1.0247203099518734</v>
      </c>
      <c r="J117" s="305">
        <v>1.0293240772369627</v>
      </c>
      <c r="K117" s="304">
        <v>1.0331722459831276</v>
      </c>
      <c r="L117" s="304">
        <v>1.0359981964554994</v>
      </c>
      <c r="M117" s="304">
        <v>1.0385532562304309</v>
      </c>
      <c r="N117" s="304">
        <v>1.041053021764434</v>
      </c>
      <c r="O117" s="304">
        <v>1.0431948811538445</v>
      </c>
      <c r="P117" s="304">
        <v>1.0451688743324155</v>
      </c>
      <c r="Q117" s="304">
        <v>1.0471172930449439</v>
      </c>
      <c r="R117" s="304">
        <v>1.0490186910225501</v>
      </c>
      <c r="S117" s="305">
        <v>1.0508613073026778</v>
      </c>
      <c r="T117" s="304">
        <v>1.0526395031500739</v>
      </c>
      <c r="U117" s="304">
        <v>1.0543524934429629</v>
      </c>
      <c r="V117" s="304">
        <v>1.0560045513292933</v>
      </c>
      <c r="W117" s="304">
        <v>1.0576067738628745</v>
      </c>
      <c r="X117" s="304">
        <v>1.0591814754020259</v>
      </c>
      <c r="Y117" s="304">
        <v>1.0606704906167606</v>
      </c>
      <c r="Z117" s="304">
        <v>1.0619942947205094</v>
      </c>
      <c r="AA117" s="304">
        <v>1.0631541856471467</v>
      </c>
      <c r="AB117" s="305">
        <v>1.0641543754514844</v>
      </c>
      <c r="AC117" s="304">
        <v>1.0649404110191041</v>
      </c>
      <c r="AD117" s="304">
        <v>1.0655203204855546</v>
      </c>
      <c r="AE117" s="304">
        <v>1.0659742147333142</v>
      </c>
      <c r="AF117" s="304">
        <v>1.06637109614906</v>
      </c>
      <c r="AG117" s="304">
        <v>1.0667877646821529</v>
      </c>
      <c r="AH117" s="304">
        <v>1.0673335720751442</v>
      </c>
      <c r="AI117" s="304">
        <v>1.0678596778799065</v>
      </c>
      <c r="AJ117" s="304">
        <v>1.0682090767343113</v>
      </c>
      <c r="AK117" s="304">
        <v>1.0685106396036845</v>
      </c>
      <c r="AL117" s="305">
        <v>1.0688933277667563</v>
      </c>
      <c r="AM117" s="305">
        <f t="shared" si="2"/>
        <v>1.0688933277667563</v>
      </c>
      <c r="AN117" s="299"/>
    </row>
    <row r="118" spans="1:40" ht="17.45" customHeight="1" x14ac:dyDescent="0.2">
      <c r="A118" s="306">
        <v>35</v>
      </c>
      <c r="B118" s="307">
        <v>0.96454306826563529</v>
      </c>
      <c r="C118" s="307">
        <v>0.97725035804441229</v>
      </c>
      <c r="D118" s="307">
        <v>0.9874945265054198</v>
      </c>
      <c r="E118" s="307">
        <v>0.99750562278705779</v>
      </c>
      <c r="F118" s="307">
        <v>1.0064466337709532</v>
      </c>
      <c r="G118" s="307">
        <v>1.0136689308255216</v>
      </c>
      <c r="H118" s="307">
        <v>1.019860027763468</v>
      </c>
      <c r="I118" s="307">
        <v>1.0247395133720598</v>
      </c>
      <c r="J118" s="308">
        <v>1.0290579107065381</v>
      </c>
      <c r="K118" s="307">
        <v>1.0331785613907487</v>
      </c>
      <c r="L118" s="307">
        <v>1.0361497375438027</v>
      </c>
      <c r="M118" s="307">
        <v>1.038767725181224</v>
      </c>
      <c r="N118" s="307">
        <v>1.0413630134323011</v>
      </c>
      <c r="O118" s="307">
        <v>1.0435947308049101</v>
      </c>
      <c r="P118" s="307">
        <v>1.0455453073272705</v>
      </c>
      <c r="Q118" s="307">
        <v>1.04745259460497</v>
      </c>
      <c r="R118" s="307">
        <v>1.0493249275558891</v>
      </c>
      <c r="S118" s="308">
        <v>1.0511482025120553</v>
      </c>
      <c r="T118" s="307">
        <v>1.0529168760625363</v>
      </c>
      <c r="U118" s="307">
        <v>1.0546328469687329</v>
      </c>
      <c r="V118" s="307">
        <v>1.0563062424445819</v>
      </c>
      <c r="W118" s="307">
        <v>1.0579584615931807</v>
      </c>
      <c r="X118" s="307">
        <v>1.0595410518896191</v>
      </c>
      <c r="Y118" s="307">
        <v>1.0609824241461052</v>
      </c>
      <c r="Z118" s="307">
        <v>1.0622763157884709</v>
      </c>
      <c r="AA118" s="307">
        <v>1.0634150366179236</v>
      </c>
      <c r="AB118" s="308">
        <v>1.0643952079281536</v>
      </c>
      <c r="AC118" s="307">
        <v>1.0651488052743074</v>
      </c>
      <c r="AD118" s="307">
        <v>1.0656941926088694</v>
      </c>
      <c r="AE118" s="307">
        <v>1.0661406781617857</v>
      </c>
      <c r="AF118" s="307">
        <v>1.0665905948137453</v>
      </c>
      <c r="AG118" s="307">
        <v>1.0671685368968433</v>
      </c>
      <c r="AH118" s="307">
        <v>1.0677297098999408</v>
      </c>
      <c r="AI118" s="307">
        <v>1.0681072701581897</v>
      </c>
      <c r="AJ118" s="307">
        <v>1.0684011726724036</v>
      </c>
      <c r="AK118" s="307">
        <v>1.0686947492094061</v>
      </c>
      <c r="AL118" s="308">
        <v>1.0690797546510447</v>
      </c>
      <c r="AM118" s="308">
        <f t="shared" si="2"/>
        <v>1.0690797546510447</v>
      </c>
      <c r="AN118" s="299"/>
    </row>
    <row r="119" spans="1:40" ht="17.45" customHeight="1" x14ac:dyDescent="0.2">
      <c r="A119" s="303">
        <v>36</v>
      </c>
      <c r="B119" s="304">
        <v>0.96457850533517608</v>
      </c>
      <c r="C119" s="304">
        <v>0.97792740012251189</v>
      </c>
      <c r="D119" s="304">
        <v>0.98834793880089944</v>
      </c>
      <c r="E119" s="304">
        <v>0.9982957296316074</v>
      </c>
      <c r="F119" s="304">
        <v>1.0068691046906628</v>
      </c>
      <c r="G119" s="304">
        <v>1.0139772790542878</v>
      </c>
      <c r="H119" s="304">
        <v>1.0200193758538596</v>
      </c>
      <c r="I119" s="304">
        <v>1.0247603337574787</v>
      </c>
      <c r="J119" s="305">
        <v>1.028934018225979</v>
      </c>
      <c r="K119" s="304">
        <v>1.0329548979218346</v>
      </c>
      <c r="L119" s="304">
        <v>1.0362515359478319</v>
      </c>
      <c r="M119" s="304">
        <v>1.03894842264812</v>
      </c>
      <c r="N119" s="304">
        <v>1.0416361921342958</v>
      </c>
      <c r="O119" s="304">
        <v>1.043951269855766</v>
      </c>
      <c r="P119" s="304">
        <v>1.0459363460946609</v>
      </c>
      <c r="Q119" s="304">
        <v>1.047797852256479</v>
      </c>
      <c r="R119" s="304">
        <v>1.0496368491663768</v>
      </c>
      <c r="S119" s="305">
        <v>1.0514373919033688</v>
      </c>
      <c r="T119" s="304">
        <v>1.0531953144946073</v>
      </c>
      <c r="U119" s="304">
        <v>1.0549174782902919</v>
      </c>
      <c r="V119" s="304">
        <v>1.0566234708548128</v>
      </c>
      <c r="W119" s="304">
        <v>1.0582754197243744</v>
      </c>
      <c r="X119" s="304">
        <v>1.0598123211589447</v>
      </c>
      <c r="Y119" s="304">
        <v>1.0612241639209905</v>
      </c>
      <c r="Z119" s="304">
        <v>1.0624972594022863</v>
      </c>
      <c r="AA119" s="304">
        <v>1.0636183610576966</v>
      </c>
      <c r="AB119" s="305">
        <v>1.0645791153862723</v>
      </c>
      <c r="AC119" s="304">
        <v>1.0653036285790876</v>
      </c>
      <c r="AD119" s="304">
        <v>1.0658334101362326</v>
      </c>
      <c r="AE119" s="304">
        <v>1.0663223209881469</v>
      </c>
      <c r="AF119" s="304">
        <v>1.0669275879201898</v>
      </c>
      <c r="AG119" s="304">
        <v>1.0675191216987283</v>
      </c>
      <c r="AH119" s="304">
        <v>1.0679292676042438</v>
      </c>
      <c r="AI119" s="304">
        <v>1.0682442933731395</v>
      </c>
      <c r="AJ119" s="304">
        <v>1.0685248369196523</v>
      </c>
      <c r="AK119" s="304">
        <v>1.0688264972138455</v>
      </c>
      <c r="AL119" s="305">
        <v>1.069216645951476</v>
      </c>
      <c r="AM119" s="305">
        <f t="shared" si="2"/>
        <v>1.069216645951476</v>
      </c>
      <c r="AN119" s="299"/>
    </row>
    <row r="120" spans="1:40" ht="17.45" customHeight="1" x14ac:dyDescent="0.2">
      <c r="A120" s="303">
        <v>37</v>
      </c>
      <c r="B120" s="304">
        <v>0.96460852191704349</v>
      </c>
      <c r="C120" s="304">
        <v>0.97830493854938139</v>
      </c>
      <c r="D120" s="304">
        <v>0.98921210217120303</v>
      </c>
      <c r="E120" s="304">
        <v>0.99903254844888156</v>
      </c>
      <c r="F120" s="304">
        <v>1.0072218390840801</v>
      </c>
      <c r="G120" s="304">
        <v>1.0142912373563635</v>
      </c>
      <c r="H120" s="304">
        <v>1.0201748442819436</v>
      </c>
      <c r="I120" s="304">
        <v>1.0247822614466777</v>
      </c>
      <c r="J120" s="305">
        <v>1.0288764620180795</v>
      </c>
      <c r="K120" s="304">
        <v>1.0326980854219594</v>
      </c>
      <c r="L120" s="304">
        <v>1.036295711992806</v>
      </c>
      <c r="M120" s="304">
        <v>1.0391124681032475</v>
      </c>
      <c r="N120" s="304">
        <v>1.0418894521669291</v>
      </c>
      <c r="O120" s="304">
        <v>1.0442805870824685</v>
      </c>
      <c r="P120" s="304">
        <v>1.0463278944182615</v>
      </c>
      <c r="Q120" s="304">
        <v>1.0481626598965552</v>
      </c>
      <c r="R120" s="304">
        <v>1.0499654942780632</v>
      </c>
      <c r="S120" s="305">
        <v>1.051741166039948</v>
      </c>
      <c r="T120" s="304">
        <v>1.0534889872380955</v>
      </c>
      <c r="U120" s="304">
        <v>1.0552248963069095</v>
      </c>
      <c r="V120" s="304">
        <v>1.0569219152874108</v>
      </c>
      <c r="W120" s="304">
        <v>1.0585311188406621</v>
      </c>
      <c r="X120" s="304">
        <v>1.0600404205079084</v>
      </c>
      <c r="Y120" s="304">
        <v>1.061432870402754</v>
      </c>
      <c r="Z120" s="304">
        <v>1.0626904151206586</v>
      </c>
      <c r="AA120" s="304">
        <v>1.0637961113983905</v>
      </c>
      <c r="AB120" s="305">
        <v>1.0647378926466848</v>
      </c>
      <c r="AC120" s="304">
        <v>1.065439190810527</v>
      </c>
      <c r="AD120" s="304">
        <v>1.0659898121564981</v>
      </c>
      <c r="AE120" s="304">
        <v>1.0666195620161874</v>
      </c>
      <c r="AF120" s="304">
        <v>1.0672367479173128</v>
      </c>
      <c r="AG120" s="304">
        <v>1.0676798879353222</v>
      </c>
      <c r="AH120" s="304">
        <v>1.0680275591569035</v>
      </c>
      <c r="AI120" s="304">
        <v>1.0683274931281754</v>
      </c>
      <c r="AJ120" s="304">
        <v>1.0686177950657427</v>
      </c>
      <c r="AK120" s="304">
        <v>1.0689366045913169</v>
      </c>
      <c r="AL120" s="305">
        <v>1.0693337230183644</v>
      </c>
      <c r="AM120" s="305">
        <f t="shared" si="2"/>
        <v>1.0693337230183644</v>
      </c>
      <c r="AN120" s="299"/>
    </row>
    <row r="121" spans="1:40" ht="17.45" customHeight="1" x14ac:dyDescent="0.2">
      <c r="A121" s="303">
        <v>38</v>
      </c>
      <c r="B121" s="304">
        <v>0.96464124874274793</v>
      </c>
      <c r="C121" s="304">
        <v>0.97854888542664453</v>
      </c>
      <c r="D121" s="304">
        <v>0.99006225891773592</v>
      </c>
      <c r="E121" s="304">
        <v>0.99963807431505192</v>
      </c>
      <c r="F121" s="304">
        <v>1.0075854154286676</v>
      </c>
      <c r="G121" s="304">
        <v>1.0146068772197909</v>
      </c>
      <c r="H121" s="304">
        <v>1.0203322525411815</v>
      </c>
      <c r="I121" s="304">
        <v>1.0248123916059193</v>
      </c>
      <c r="J121" s="305">
        <v>1.0288608746004706</v>
      </c>
      <c r="K121" s="304">
        <v>1.0326218861473229</v>
      </c>
      <c r="L121" s="304">
        <v>1.0362241429766701</v>
      </c>
      <c r="M121" s="304">
        <v>1.0392769810187354</v>
      </c>
      <c r="N121" s="304">
        <v>1.0421386983828604</v>
      </c>
      <c r="O121" s="304">
        <v>1.0445971381115324</v>
      </c>
      <c r="P121" s="304">
        <v>1.0467048871536648</v>
      </c>
      <c r="Q121" s="304">
        <v>1.048554652701597</v>
      </c>
      <c r="R121" s="304">
        <v>1.0503194669502542</v>
      </c>
      <c r="S121" s="305">
        <v>1.0520691554653037</v>
      </c>
      <c r="T121" s="304">
        <v>1.0538111310694593</v>
      </c>
      <c r="U121" s="304">
        <v>1.0555291631657973</v>
      </c>
      <c r="V121" s="304">
        <v>1.0571874989759531</v>
      </c>
      <c r="W121" s="304">
        <v>1.0587722297602391</v>
      </c>
      <c r="X121" s="304">
        <v>1.0602642332394498</v>
      </c>
      <c r="Y121" s="304">
        <v>1.0616430740902874</v>
      </c>
      <c r="Z121" s="304">
        <v>1.0628882107761652</v>
      </c>
      <c r="AA121" s="304">
        <v>1.0639800843632472</v>
      </c>
      <c r="AB121" s="305">
        <v>1.0649033345302352</v>
      </c>
      <c r="AC121" s="304">
        <v>1.0655945602052601</v>
      </c>
      <c r="AD121" s="304">
        <v>1.06625329605584</v>
      </c>
      <c r="AE121" s="304">
        <v>1.0668931457624977</v>
      </c>
      <c r="AF121" s="304">
        <v>1.0673719559261159</v>
      </c>
      <c r="AG121" s="304">
        <v>1.067759768188955</v>
      </c>
      <c r="AH121" s="304">
        <v>1.0680941888507762</v>
      </c>
      <c r="AI121" s="304">
        <v>1.0684039413901822</v>
      </c>
      <c r="AJ121" s="304">
        <v>1.0687152591456175</v>
      </c>
      <c r="AK121" s="304">
        <v>1.0690555111739732</v>
      </c>
      <c r="AL121" s="305">
        <v>1.0694607072020246</v>
      </c>
      <c r="AM121" s="305">
        <f t="shared" si="2"/>
        <v>1.0694607072020246</v>
      </c>
      <c r="AN121" s="299"/>
    </row>
    <row r="122" spans="1:40" ht="17.45" customHeight="1" x14ac:dyDescent="0.2">
      <c r="A122" s="303">
        <v>39</v>
      </c>
      <c r="B122" s="304">
        <v>0.96468481654379812</v>
      </c>
      <c r="C122" s="304">
        <v>0.97877287366956112</v>
      </c>
      <c r="D122" s="304">
        <v>0.99087293655421438</v>
      </c>
      <c r="E122" s="304">
        <v>1.0001243548019865</v>
      </c>
      <c r="F122" s="304">
        <v>1.0079749138293492</v>
      </c>
      <c r="G122" s="304">
        <v>1.0149210347360844</v>
      </c>
      <c r="H122" s="304">
        <v>1.0204974201250341</v>
      </c>
      <c r="I122" s="304">
        <v>1.0248677774734265</v>
      </c>
      <c r="J122" s="305">
        <v>1.0288953123191562</v>
      </c>
      <c r="K122" s="304">
        <v>1.0326540997455835</v>
      </c>
      <c r="L122" s="304">
        <v>1.0361846688138967</v>
      </c>
      <c r="M122" s="304">
        <v>1.0394590808667126</v>
      </c>
      <c r="N122" s="304">
        <v>1.0423977632424311</v>
      </c>
      <c r="O122" s="304">
        <v>1.0449127429496046</v>
      </c>
      <c r="P122" s="304">
        <v>1.0470743104011655</v>
      </c>
      <c r="Q122" s="304">
        <v>1.0489670071407804</v>
      </c>
      <c r="R122" s="304">
        <v>1.0507060081814328</v>
      </c>
      <c r="S122" s="305">
        <v>1.0524305682624493</v>
      </c>
      <c r="T122" s="304">
        <v>1.054146517119984</v>
      </c>
      <c r="U122" s="304">
        <v>1.0558321926751457</v>
      </c>
      <c r="V122" s="304">
        <v>1.0574704957984897</v>
      </c>
      <c r="W122" s="304">
        <v>1.0590403979965048</v>
      </c>
      <c r="X122" s="304">
        <v>1.0605202339863578</v>
      </c>
      <c r="Y122" s="304">
        <v>1.0618881953411714</v>
      </c>
      <c r="Z122" s="304">
        <v>1.0631225217939289</v>
      </c>
      <c r="AA122" s="304">
        <v>1.0642018365757764</v>
      </c>
      <c r="AB122" s="305">
        <v>1.0651072358577673</v>
      </c>
      <c r="AC122" s="304">
        <v>1.0658376269101515</v>
      </c>
      <c r="AD122" s="304">
        <v>1.0665034634720463</v>
      </c>
      <c r="AE122" s="304">
        <v>1.067030738842156</v>
      </c>
      <c r="AF122" s="304">
        <v>1.06747093784561</v>
      </c>
      <c r="AG122" s="304">
        <v>1.0678509603099382</v>
      </c>
      <c r="AH122" s="304">
        <v>1.0681936336856308</v>
      </c>
      <c r="AI122" s="304">
        <v>1.0685206757209382</v>
      </c>
      <c r="AJ122" s="304">
        <v>1.068853529340172</v>
      </c>
      <c r="AK122" s="304">
        <v>1.0692140177748728</v>
      </c>
      <c r="AL122" s="305">
        <v>1.0696273198527704</v>
      </c>
      <c r="AM122" s="305">
        <f t="shared" si="2"/>
        <v>1.0696273198527704</v>
      </c>
      <c r="AN122" s="299"/>
    </row>
    <row r="123" spans="1:40" ht="17.45" customHeight="1" thickBot="1" x14ac:dyDescent="0.25">
      <c r="A123" s="309">
        <v>40</v>
      </c>
      <c r="B123" s="310">
        <v>0.96474735605170403</v>
      </c>
      <c r="C123" s="310">
        <v>0.97908045788052722</v>
      </c>
      <c r="D123" s="310">
        <v>0.99161777032690701</v>
      </c>
      <c r="E123" s="310">
        <v>1.0006447573306751</v>
      </c>
      <c r="F123" s="310">
        <v>1.0083822296730929</v>
      </c>
      <c r="G123" s="310">
        <v>1.0152277172394522</v>
      </c>
      <c r="H123" s="310">
        <v>1.0206761665269628</v>
      </c>
      <c r="I123" s="310">
        <v>1.0249941326581147</v>
      </c>
      <c r="J123" s="311">
        <v>1.0290254267533323</v>
      </c>
      <c r="K123" s="310">
        <v>1.0327977098422085</v>
      </c>
      <c r="L123" s="310">
        <v>1.036338642954336</v>
      </c>
      <c r="M123" s="310">
        <v>1.039675887119307</v>
      </c>
      <c r="N123" s="310">
        <v>1.0426735655076338</v>
      </c>
      <c r="O123" s="310">
        <v>1.0452336067982411</v>
      </c>
      <c r="P123" s="310">
        <v>1.047440380283341</v>
      </c>
      <c r="Q123" s="310">
        <v>1.0493782552551458</v>
      </c>
      <c r="R123" s="310">
        <v>1.0511316010058676</v>
      </c>
      <c r="S123" s="311">
        <v>1.0528274397114781</v>
      </c>
      <c r="T123" s="310">
        <v>1.0545218553587665</v>
      </c>
      <c r="U123" s="310">
        <v>1.0561928099561713</v>
      </c>
      <c r="V123" s="310">
        <v>1.057818265512132</v>
      </c>
      <c r="W123" s="310">
        <v>1.0593761840350866</v>
      </c>
      <c r="X123" s="310">
        <v>1.0608445275334739</v>
      </c>
      <c r="Y123" s="310">
        <v>1.062201258015733</v>
      </c>
      <c r="Z123" s="310">
        <v>1.0634243374903021</v>
      </c>
      <c r="AA123" s="310">
        <v>1.0644917279656201</v>
      </c>
      <c r="AB123" s="311">
        <v>1.0653813914501258</v>
      </c>
      <c r="AC123" s="310">
        <v>1.0661092451101197</v>
      </c>
      <c r="AD123" s="310">
        <v>1.0667197087024707</v>
      </c>
      <c r="AE123" s="310">
        <v>1.0672334981214679</v>
      </c>
      <c r="AF123" s="310">
        <v>1.067671329261402</v>
      </c>
      <c r="AG123" s="310">
        <v>1.0680539180165627</v>
      </c>
      <c r="AH123" s="310">
        <v>1.0684019802812399</v>
      </c>
      <c r="AI123" s="310">
        <v>1.0687362319497238</v>
      </c>
      <c r="AJ123" s="310">
        <v>1.0690773889163045</v>
      </c>
      <c r="AK123" s="310">
        <v>1.069446167075272</v>
      </c>
      <c r="AL123" s="311">
        <v>1.0698632823209158</v>
      </c>
      <c r="AM123" s="311">
        <f t="shared" si="2"/>
        <v>1.0698632823209158</v>
      </c>
      <c r="AN123" s="299"/>
    </row>
    <row r="124" spans="1:40" ht="17.45" customHeight="1" thickTop="1" thickBot="1" x14ac:dyDescent="0.25">
      <c r="A124" s="309">
        <f>A123+0.001</f>
        <v>40.000999999999998</v>
      </c>
      <c r="B124" s="310">
        <f>B123</f>
        <v>0.96474735605170403</v>
      </c>
      <c r="C124" s="310">
        <f t="shared" ref="C124:AL124" si="3">C123</f>
        <v>0.97908045788052722</v>
      </c>
      <c r="D124" s="310">
        <f t="shared" si="3"/>
        <v>0.99161777032690701</v>
      </c>
      <c r="E124" s="310">
        <f t="shared" si="3"/>
        <v>1.0006447573306751</v>
      </c>
      <c r="F124" s="310">
        <f t="shared" si="3"/>
        <v>1.0083822296730929</v>
      </c>
      <c r="G124" s="310">
        <f t="shared" si="3"/>
        <v>1.0152277172394522</v>
      </c>
      <c r="H124" s="310">
        <f t="shared" si="3"/>
        <v>1.0206761665269628</v>
      </c>
      <c r="I124" s="310">
        <f t="shared" si="3"/>
        <v>1.0249941326581147</v>
      </c>
      <c r="J124" s="311">
        <f t="shared" si="3"/>
        <v>1.0290254267533323</v>
      </c>
      <c r="K124" s="310">
        <f t="shared" si="3"/>
        <v>1.0327977098422085</v>
      </c>
      <c r="L124" s="310">
        <f t="shared" si="3"/>
        <v>1.036338642954336</v>
      </c>
      <c r="M124" s="310">
        <f t="shared" si="3"/>
        <v>1.039675887119307</v>
      </c>
      <c r="N124" s="310">
        <f t="shared" si="3"/>
        <v>1.0426735655076338</v>
      </c>
      <c r="O124" s="310">
        <f t="shared" si="3"/>
        <v>1.0452336067982411</v>
      </c>
      <c r="P124" s="310">
        <f t="shared" si="3"/>
        <v>1.047440380283341</v>
      </c>
      <c r="Q124" s="310">
        <f t="shared" si="3"/>
        <v>1.0493782552551458</v>
      </c>
      <c r="R124" s="310">
        <f t="shared" si="3"/>
        <v>1.0511316010058676</v>
      </c>
      <c r="S124" s="311">
        <f t="shared" si="3"/>
        <v>1.0528274397114781</v>
      </c>
      <c r="T124" s="310">
        <f t="shared" si="3"/>
        <v>1.0545218553587665</v>
      </c>
      <c r="U124" s="310">
        <f t="shared" si="3"/>
        <v>1.0561928099561713</v>
      </c>
      <c r="V124" s="310">
        <f t="shared" si="3"/>
        <v>1.057818265512132</v>
      </c>
      <c r="W124" s="310">
        <f t="shared" si="3"/>
        <v>1.0593761840350866</v>
      </c>
      <c r="X124" s="310">
        <f t="shared" si="3"/>
        <v>1.0608445275334739</v>
      </c>
      <c r="Y124" s="310">
        <f t="shared" si="3"/>
        <v>1.062201258015733</v>
      </c>
      <c r="Z124" s="310">
        <f t="shared" si="3"/>
        <v>1.0634243374903021</v>
      </c>
      <c r="AA124" s="310">
        <f t="shared" si="3"/>
        <v>1.0644917279656201</v>
      </c>
      <c r="AB124" s="311">
        <f t="shared" si="3"/>
        <v>1.0653813914501258</v>
      </c>
      <c r="AC124" s="310">
        <f t="shared" si="3"/>
        <v>1.0661092451101197</v>
      </c>
      <c r="AD124" s="310">
        <f t="shared" si="3"/>
        <v>1.0667197087024707</v>
      </c>
      <c r="AE124" s="310">
        <f t="shared" si="3"/>
        <v>1.0672334981214679</v>
      </c>
      <c r="AF124" s="310">
        <f t="shared" si="3"/>
        <v>1.067671329261402</v>
      </c>
      <c r="AG124" s="310">
        <f t="shared" si="3"/>
        <v>1.0680539180165627</v>
      </c>
      <c r="AH124" s="310">
        <f t="shared" si="3"/>
        <v>1.0684019802812399</v>
      </c>
      <c r="AI124" s="310">
        <f t="shared" si="3"/>
        <v>1.0687362319497238</v>
      </c>
      <c r="AJ124" s="310">
        <f t="shared" si="3"/>
        <v>1.0690773889163045</v>
      </c>
      <c r="AK124" s="310">
        <f t="shared" si="3"/>
        <v>1.069446167075272</v>
      </c>
      <c r="AL124" s="311">
        <f t="shared" si="3"/>
        <v>1.0698632823209158</v>
      </c>
      <c r="AM124" s="311">
        <f>AL123</f>
        <v>1.0698632823209158</v>
      </c>
      <c r="AN124" s="299"/>
    </row>
    <row r="125" spans="1:40" ht="17.45" customHeight="1"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7.45" customHeight="1" thickTop="1" x14ac:dyDescent="0.2"/>
    <row r="127" spans="1:40" ht="17.45" customHeight="1" thickBot="1" x14ac:dyDescent="0.25"/>
    <row r="128" spans="1:40" ht="17.45" customHeight="1" thickTop="1" thickBot="1" x14ac:dyDescent="0.25">
      <c r="A128" s="701" t="s">
        <v>57</v>
      </c>
      <c r="B128" s="702"/>
      <c r="C128" s="702"/>
      <c r="D128" s="702"/>
      <c r="E128" s="702"/>
      <c r="F128" s="702"/>
      <c r="G128" s="702"/>
      <c r="H128" s="315"/>
      <c r="I128" s="316"/>
    </row>
    <row r="129" spans="1:9" ht="17.45" customHeight="1" thickTop="1" thickBot="1" x14ac:dyDescent="0.25">
      <c r="A129" s="263" t="s">
        <v>49</v>
      </c>
      <c r="B129" s="264" t="s">
        <v>50</v>
      </c>
      <c r="C129" s="264" t="s">
        <v>51</v>
      </c>
      <c r="D129" s="264" t="s">
        <v>52</v>
      </c>
      <c r="E129" s="264" t="s">
        <v>53</v>
      </c>
      <c r="F129" s="264" t="s">
        <v>54</v>
      </c>
      <c r="G129" s="264" t="s">
        <v>55</v>
      </c>
      <c r="H129" s="267" t="s">
        <v>56</v>
      </c>
      <c r="I129" s="271"/>
    </row>
    <row r="130" spans="1:9" ht="17.45" customHeight="1" thickTop="1" x14ac:dyDescent="0.2">
      <c r="A130" s="273">
        <v>0</v>
      </c>
      <c r="B130" s="274">
        <v>1.0494543623270036</v>
      </c>
      <c r="C130" s="275">
        <v>1.0273270984496778</v>
      </c>
      <c r="D130" s="275">
        <v>1.0154629945380171</v>
      </c>
      <c r="E130" s="275">
        <v>1.0125962214269066</v>
      </c>
      <c r="F130" s="275">
        <v>1.009899076587784</v>
      </c>
      <c r="G130" s="275">
        <v>1.0072784536019219</v>
      </c>
      <c r="H130" s="276">
        <v>1.0049359237930875</v>
      </c>
      <c r="I130" s="237"/>
    </row>
    <row r="131" spans="1:9" ht="17.45" customHeight="1" x14ac:dyDescent="0.2">
      <c r="A131" s="273">
        <v>0.1</v>
      </c>
      <c r="B131" s="277">
        <v>1.0397396800484295</v>
      </c>
      <c r="C131" s="278">
        <v>1.0219231464992991</v>
      </c>
      <c r="D131" s="278">
        <v>1.0124068710519272</v>
      </c>
      <c r="E131" s="278">
        <v>1.0101406744912045</v>
      </c>
      <c r="F131" s="278">
        <v>1.007991693443419</v>
      </c>
      <c r="G131" s="278">
        <v>1.0058807631026991</v>
      </c>
      <c r="H131" s="279">
        <v>1.0040200760005646</v>
      </c>
      <c r="I131" s="237"/>
    </row>
    <row r="132" spans="1:9" ht="17.45" customHeight="1" x14ac:dyDescent="0.2">
      <c r="A132" s="273">
        <v>0.2</v>
      </c>
      <c r="B132" s="277">
        <v>1.030114925502934</v>
      </c>
      <c r="C132" s="278">
        <v>1.0165260499645015</v>
      </c>
      <c r="D132" s="278">
        <v>1.0093407905004923</v>
      </c>
      <c r="E132" s="278">
        <v>1.0076742318000922</v>
      </c>
      <c r="F132" s="278">
        <v>1.0060737811839113</v>
      </c>
      <c r="G132" s="278">
        <v>1.0044739413267514</v>
      </c>
      <c r="H132" s="279">
        <v>1.0030973623221431</v>
      </c>
      <c r="I132" s="237"/>
    </row>
    <row r="133" spans="1:9" ht="17.45" customHeight="1" x14ac:dyDescent="0.2">
      <c r="A133" s="273">
        <v>0.3</v>
      </c>
      <c r="B133" s="277">
        <v>1.020579266239497</v>
      </c>
      <c r="C133" s="278">
        <v>1.0111360287538469</v>
      </c>
      <c r="D133" s="278">
        <v>1.0062648373806837</v>
      </c>
      <c r="E133" s="278">
        <v>1.0051969280423174</v>
      </c>
      <c r="F133" s="278">
        <v>1.0041453360109343</v>
      </c>
      <c r="G133" s="278">
        <v>1.0030579599324956</v>
      </c>
      <c r="H133" s="279">
        <v>1.0021677456123625</v>
      </c>
      <c r="I133" s="237"/>
    </row>
    <row r="134" spans="1:9" ht="17.45" customHeight="1" x14ac:dyDescent="0.2">
      <c r="A134" s="273">
        <v>0.4</v>
      </c>
      <c r="B134" s="277">
        <v>1.0111318775130038</v>
      </c>
      <c r="C134" s="278">
        <v>1.0057533015885878</v>
      </c>
      <c r="D134" s="278">
        <v>1.0031790975910884</v>
      </c>
      <c r="E134" s="278">
        <v>1.0027087991562873</v>
      </c>
      <c r="F134" s="278">
        <v>1.002206355000302</v>
      </c>
      <c r="G134" s="278">
        <v>1.0016327910054572</v>
      </c>
      <c r="H134" s="279">
        <v>1.0012311887694045</v>
      </c>
      <c r="I134" s="237"/>
    </row>
    <row r="135" spans="1:9" ht="17.45" customHeight="1" x14ac:dyDescent="0.2">
      <c r="A135" s="273">
        <v>0.5</v>
      </c>
      <c r="B135" s="277">
        <v>1.0017719422129148</v>
      </c>
      <c r="C135" s="278">
        <v>1.0003780859684346</v>
      </c>
      <c r="D135" s="278">
        <v>1.0000836584268691</v>
      </c>
      <c r="E135" s="278">
        <v>1.0002098823355023</v>
      </c>
      <c r="F135" s="278">
        <v>1.0002568361119943</v>
      </c>
      <c r="G135" s="278">
        <v>1.0001984070675194</v>
      </c>
      <c r="H135" s="279">
        <v>1.0002876547401434</v>
      </c>
      <c r="I135" s="237"/>
    </row>
    <row r="136" spans="1:9" ht="17.45" customHeight="1" x14ac:dyDescent="0.2">
      <c r="A136" s="273">
        <v>0.6</v>
      </c>
      <c r="B136" s="277">
        <v>0.99249865079259081</v>
      </c>
      <c r="C136" s="278">
        <v>0.99501059813775206</v>
      </c>
      <c r="D136" s="278">
        <v>0.99697860857433929</v>
      </c>
      <c r="E136" s="278">
        <v>0.9977002160337507</v>
      </c>
      <c r="F136" s="278">
        <v>0.99829677820011165</v>
      </c>
      <c r="G136" s="278">
        <v>0.99875478108622684</v>
      </c>
      <c r="H136" s="279">
        <v>0.99933710652526875</v>
      </c>
      <c r="I136" s="237"/>
    </row>
    <row r="137" spans="1:9" ht="17.45" customHeight="1" x14ac:dyDescent="0.2">
      <c r="A137" s="273">
        <v>0.7</v>
      </c>
      <c r="B137" s="277">
        <v>0.98331120119927606</v>
      </c>
      <c r="C137" s="278">
        <v>0.98965105305219736</v>
      </c>
      <c r="D137" s="278">
        <v>0.99386403810514423</v>
      </c>
      <c r="E137" s="278">
        <v>0.99517983997005266</v>
      </c>
      <c r="F137" s="278">
        <v>0.99632618102275938</v>
      </c>
      <c r="G137" s="278">
        <v>0.99730188648413609</v>
      </c>
      <c r="H137" s="279">
        <v>0.99837950718448931</v>
      </c>
      <c r="I137" s="237"/>
    </row>
    <row r="138" spans="1:9" ht="17.45" customHeight="1" x14ac:dyDescent="0.2">
      <c r="A138" s="273">
        <v>0.8</v>
      </c>
      <c r="B138" s="277">
        <v>0.9742087988047281</v>
      </c>
      <c r="C138" s="278">
        <v>0.98429966434580474</v>
      </c>
      <c r="D138" s="278">
        <v>0.99074003847005232</v>
      </c>
      <c r="E138" s="278">
        <v>0.99264879513335569</v>
      </c>
      <c r="F138" s="278">
        <v>0.99434504525185785</v>
      </c>
      <c r="G138" s="278">
        <v>0.99583969714821496</v>
      </c>
      <c r="H138" s="279">
        <v>0.99741481984181346</v>
      </c>
      <c r="I138" s="237"/>
    </row>
    <row r="139" spans="1:9" ht="17.45" customHeight="1" x14ac:dyDescent="0.2">
      <c r="A139" s="273">
        <v>0.9</v>
      </c>
      <c r="B139" s="277">
        <v>0.96519065633648959</v>
      </c>
      <c r="C139" s="278">
        <v>0.97895664429853735</v>
      </c>
      <c r="D139" s="278">
        <v>0.98760670249235427</v>
      </c>
      <c r="E139" s="278">
        <v>0.9901071237869713</v>
      </c>
      <c r="F139" s="278">
        <v>0.99235337248286948</v>
      </c>
      <c r="G139" s="278">
        <v>0.99436818743928734</v>
      </c>
      <c r="H139" s="279">
        <v>0.99644300769090621</v>
      </c>
      <c r="I139" s="237"/>
    </row>
    <row r="140" spans="1:9" ht="17.45" customHeight="1" x14ac:dyDescent="0.2">
      <c r="A140" s="273">
        <v>1</v>
      </c>
      <c r="B140" s="277">
        <v>0.95625599380979664</v>
      </c>
      <c r="C140" s="278">
        <v>0.97362220380430209</v>
      </c>
      <c r="D140" s="278">
        <v>0.98446412436086816</v>
      </c>
      <c r="E140" s="278">
        <v>0.98755486947275306</v>
      </c>
      <c r="F140" s="278">
        <v>0.99035116524444644</v>
      </c>
      <c r="G140" s="278">
        <v>0.99288733220152259</v>
      </c>
      <c r="H140" s="279">
        <v>0.99546403400052408</v>
      </c>
      <c r="I140" s="237"/>
    </row>
    <row r="141" spans="1:9" ht="17.45" customHeight="1" x14ac:dyDescent="0.2">
      <c r="A141" s="273">
        <v>1.1000000000000001</v>
      </c>
      <c r="B141" s="277">
        <v>0.94740403846011778</v>
      </c>
      <c r="C141" s="278">
        <v>0.96829655233945144</v>
      </c>
      <c r="D141" s="278">
        <v>0.98131239962254857</v>
      </c>
      <c r="E141" s="278">
        <v>0.98499207701500691</v>
      </c>
      <c r="F141" s="278">
        <v>0.98833842700798458</v>
      </c>
      <c r="G141" s="278">
        <v>0.99139710677196602</v>
      </c>
      <c r="H141" s="279">
        <v>0.99447786212003042</v>
      </c>
      <c r="I141" s="237"/>
    </row>
    <row r="142" spans="1:9" ht="17.45" customHeight="1" x14ac:dyDescent="0.2">
      <c r="A142" s="273">
        <v>1.2</v>
      </c>
      <c r="B142" s="277">
        <v>0.93863402467631663</v>
      </c>
      <c r="C142" s="278">
        <v>0.96297989793176852</v>
      </c>
      <c r="D142" s="278">
        <v>0.97815162517470366</v>
      </c>
      <c r="E142" s="278">
        <v>0.98241879252413444</v>
      </c>
      <c r="F142" s="278">
        <v>0.98631516219708859</v>
      </c>
      <c r="G142" s="278">
        <v>0.98989748699010882</v>
      </c>
      <c r="H142" s="279">
        <v>0.9934844554849851</v>
      </c>
      <c r="I142" s="237"/>
    </row>
    <row r="143" spans="1:9" ht="17.45" customHeight="1" x14ac:dyDescent="0.2">
      <c r="A143" s="273">
        <v>1.3</v>
      </c>
      <c r="B143" s="277">
        <v>0.92994519393443387</v>
      </c>
      <c r="C143" s="278">
        <v>0.95767244712995458</v>
      </c>
      <c r="D143" s="278">
        <v>0.97498189925681322</v>
      </c>
      <c r="E143" s="278">
        <v>0.97983506339999915</v>
      </c>
      <c r="F143" s="278">
        <v>0.98428137619693978</v>
      </c>
      <c r="G143" s="278">
        <v>0.9883884492074978</v>
      </c>
      <c r="H143" s="279">
        <v>0.99248377762281503</v>
      </c>
      <c r="I143" s="237"/>
    </row>
    <row r="144" spans="1:9" ht="17.45" customHeight="1" x14ac:dyDescent="0.2">
      <c r="A144" s="273">
        <v>1.4</v>
      </c>
      <c r="B144" s="277">
        <v>0.92133679473208241</v>
      </c>
      <c r="C144" s="278">
        <v>0.95237440497362202</v>
      </c>
      <c r="D144" s="278">
        <v>0.97180332144195258</v>
      </c>
      <c r="E144" s="278">
        <v>0.97724093833501657</v>
      </c>
      <c r="F144" s="278">
        <v>0.98223707536355831</v>
      </c>
      <c r="G144" s="278">
        <v>0.98686997029737888</v>
      </c>
      <c r="H144" s="279">
        <v>0.99147579215856241</v>
      </c>
      <c r="I144" s="237"/>
    </row>
    <row r="145" spans="1:9" ht="17.45" customHeight="1" x14ac:dyDescent="0.2">
      <c r="A145" s="273">
        <v>1.5</v>
      </c>
      <c r="B145" s="277">
        <v>0.9128080825234488</v>
      </c>
      <c r="C145" s="278">
        <v>0.94708597496380098</v>
      </c>
      <c r="D145" s="278">
        <v>0.96861599262781994</v>
      </c>
      <c r="E145" s="278">
        <v>0.9746364673169603</v>
      </c>
      <c r="F145" s="278">
        <v>0.98018226703296552</v>
      </c>
      <c r="G145" s="278">
        <v>0.98534202766437373</v>
      </c>
      <c r="H145" s="279">
        <v>0.99046046282071043</v>
      </c>
      <c r="I145" s="237"/>
    </row>
    <row r="146" spans="1:9" ht="17.45" customHeight="1" x14ac:dyDescent="0.2">
      <c r="A146" s="273">
        <v>1.6</v>
      </c>
      <c r="B146" s="277">
        <v>0.90435831965489766</v>
      </c>
      <c r="C146" s="278">
        <v>0.94180735903397306</v>
      </c>
      <c r="D146" s="278">
        <v>0.9654200150273663</v>
      </c>
      <c r="E146" s="278">
        <v>0.97202170163148205</v>
      </c>
      <c r="F146" s="278">
        <v>0.97811695953023148</v>
      </c>
      <c r="G146" s="278">
        <v>0.98380459925418984</v>
      </c>
      <c r="H146" s="279">
        <v>0.98943775344708862</v>
      </c>
      <c r="I146" s="237"/>
    </row>
    <row r="147" spans="1:9" ht="17.45" customHeight="1" x14ac:dyDescent="0.2">
      <c r="A147" s="273">
        <v>1.7</v>
      </c>
      <c r="B147" s="277">
        <v>0.89598677530117088</v>
      </c>
      <c r="C147" s="278">
        <v>0.93653875752163374</v>
      </c>
      <c r="D147" s="278">
        <v>0.96221549215903168</v>
      </c>
      <c r="E147" s="278">
        <v>0.96939669386433946</v>
      </c>
      <c r="F147" s="278">
        <v>0.97604116217840964</v>
      </c>
      <c r="G147" s="278">
        <v>0.98225766356335631</v>
      </c>
      <c r="H147" s="279">
        <v>0.98840762799085469</v>
      </c>
      <c r="I147" s="237"/>
    </row>
    <row r="148" spans="1:9" ht="17.45" customHeight="1" x14ac:dyDescent="0.2">
      <c r="A148" s="273">
        <v>1.8</v>
      </c>
      <c r="B148" s="277">
        <v>0.8876927254021787</v>
      </c>
      <c r="C148" s="278">
        <v>0.93128036914039269</v>
      </c>
      <c r="D148" s="278">
        <v>0.95900252883658321</v>
      </c>
      <c r="E148" s="278">
        <v>0.96676149790333132</v>
      </c>
      <c r="F148" s="278">
        <v>0.97395488530735119</v>
      </c>
      <c r="G148" s="278">
        <v>0.98070119964898983</v>
      </c>
      <c r="H148" s="279">
        <v>0.9873700505265568</v>
      </c>
      <c r="I148" s="237"/>
    </row>
    <row r="149" spans="1:9" ht="17.45" customHeight="1" x14ac:dyDescent="0.2">
      <c r="A149" s="273">
        <v>1.9</v>
      </c>
      <c r="B149" s="277">
        <v>0.8794754526003753</v>
      </c>
      <c r="C149" s="278">
        <v>0.92603239095262302</v>
      </c>
      <c r="D149" s="278">
        <v>0.95578123115856017</v>
      </c>
      <c r="E149" s="278">
        <v>0.96411616893993057</v>
      </c>
      <c r="F149" s="278">
        <v>0.9718581402623957</v>
      </c>
      <c r="G149" s="278">
        <v>0.97913518713858061</v>
      </c>
      <c r="H149" s="279">
        <v>0.98632498525627266</v>
      </c>
      <c r="I149" s="237"/>
    </row>
    <row r="150" spans="1:9" ht="17.45" customHeight="1" x14ac:dyDescent="0.2">
      <c r="A150" s="273">
        <v>2</v>
      </c>
      <c r="B150" s="277">
        <v>0.87133424617871313</v>
      </c>
      <c r="C150" s="278">
        <v>0.9207950183426602</v>
      </c>
      <c r="D150" s="278">
        <v>0.95255170649732357</v>
      </c>
      <c r="E150" s="278">
        <v>0.96146076347061793</v>
      </c>
      <c r="F150" s="278">
        <v>0.96975093941293455</v>
      </c>
      <c r="G150" s="278">
        <v>0.97755960623980276</v>
      </c>
      <c r="H150" s="279">
        <v>0.98527239651582721</v>
      </c>
      <c r="I150" s="237"/>
    </row>
    <row r="151" spans="1:9" ht="17.45" customHeight="1" x14ac:dyDescent="0.2">
      <c r="A151" s="273">
        <v>2.1</v>
      </c>
      <c r="B151" s="277">
        <v>0.86326840199917421</v>
      </c>
      <c r="C151" s="278">
        <v>0.91556844499056245</v>
      </c>
      <c r="D151" s="278">
        <v>0.94931406348771341</v>
      </c>
      <c r="E151" s="278">
        <v>0.95879533929790628</v>
      </c>
      <c r="F151" s="278">
        <v>0.9676332961608396</v>
      </c>
      <c r="G151" s="278">
        <v>0.97597443775034332</v>
      </c>
      <c r="H151" s="279">
        <v>0.98421224878108837</v>
      </c>
      <c r="I151" s="237"/>
    </row>
    <row r="152" spans="1:9" ht="17.45" customHeight="1" x14ac:dyDescent="0.2">
      <c r="A152" s="273">
        <v>2.2000000000000002</v>
      </c>
      <c r="B152" s="277">
        <v>0.85527722244186688</v>
      </c>
      <c r="C152" s="278">
        <v>0.91035286284643613</v>
      </c>
      <c r="D152" s="278">
        <v>0.94606841201531378</v>
      </c>
      <c r="E152" s="278">
        <v>0.95611995553105766</v>
      </c>
      <c r="F152" s="278">
        <v>0.96550522494875524</v>
      </c>
      <c r="G152" s="278">
        <v>0.97437966306774604</v>
      </c>
      <c r="H152" s="279">
        <v>0.98314450667434039</v>
      </c>
      <c r="I152" s="237"/>
    </row>
    <row r="153" spans="1:9" ht="17.45" customHeight="1" x14ac:dyDescent="0.2">
      <c r="A153" s="273">
        <v>2.2999999999999998</v>
      </c>
      <c r="B153" s="277">
        <v>0.84736001634469016</v>
      </c>
      <c r="C153" s="278">
        <v>0.9051484621053334</v>
      </c>
      <c r="D153" s="278">
        <v>0.9428148632043265</v>
      </c>
      <c r="E153" s="278">
        <v>0.95343467258648351</v>
      </c>
      <c r="F153" s="278">
        <v>0.96336674126824795</v>
      </c>
      <c r="G153" s="278">
        <v>0.97277526419927074</v>
      </c>
      <c r="H153" s="279">
        <v>0.98206913497073522</v>
      </c>
      <c r="I153" s="237"/>
    </row>
    <row r="154" spans="1:9" ht="17.45" customHeight="1" x14ac:dyDescent="0.2">
      <c r="A154" s="273">
        <v>2.4</v>
      </c>
      <c r="B154" s="277">
        <v>0.83951609894355295</v>
      </c>
      <c r="C154" s="278">
        <v>0.89995543118272447</v>
      </c>
      <c r="D154" s="278">
        <v>0.93955352940505632</v>
      </c>
      <c r="E154" s="278">
        <v>0.95073955218782957</v>
      </c>
      <c r="F154" s="278">
        <v>0.96121786166780965</v>
      </c>
      <c r="G154" s="278">
        <v>0.97116122377176273</v>
      </c>
      <c r="H154" s="279">
        <v>0.98098609860482211</v>
      </c>
      <c r="I154" s="237"/>
    </row>
    <row r="155" spans="1:9" ht="17.45" customHeight="1" x14ac:dyDescent="0.2">
      <c r="A155" s="273">
        <v>2.5</v>
      </c>
      <c r="B155" s="277">
        <v>0.83174479181314964</v>
      </c>
      <c r="C155" s="278">
        <v>0.8947739566905567</v>
      </c>
      <c r="D155" s="278">
        <v>0.93628452418101016</v>
      </c>
      <c r="E155" s="278">
        <v>0.94803465736574133</v>
      </c>
      <c r="F155" s="278">
        <v>0.95905860376070917</v>
      </c>
      <c r="G155" s="278">
        <v>0.9695375250415309</v>
      </c>
      <c r="H155" s="279">
        <v>0.97989536267715194</v>
      </c>
      <c r="I155" s="237"/>
    </row>
    <row r="156" spans="1:9" ht="17.45" customHeight="1" x14ac:dyDescent="0.2">
      <c r="A156" s="273">
        <v>2.6</v>
      </c>
      <c r="B156" s="277">
        <v>0.82404542280828219</v>
      </c>
      <c r="C156" s="278">
        <v>0.88960422341389822</v>
      </c>
      <c r="D156" s="278">
        <v>0.93300796229560778</v>
      </c>
      <c r="E156" s="278">
        <v>0.94532005245730366</v>
      </c>
      <c r="F156" s="278">
        <v>0.95688898623268737</v>
      </c>
      <c r="G156" s="278">
        <v>0.96790415190423063</v>
      </c>
      <c r="H156" s="279">
        <v>0.97879689246096246</v>
      </c>
      <c r="I156" s="237"/>
    </row>
    <row r="157" spans="1:9" ht="17.45" customHeight="1" x14ac:dyDescent="0.2">
      <c r="A157" s="273">
        <v>2.7</v>
      </c>
      <c r="B157" s="277">
        <v>0.81641732600572547</v>
      </c>
      <c r="C157" s="278">
        <v>0.88444641428817405</v>
      </c>
      <c r="D157" s="278">
        <v>0.92972395969851218</v>
      </c>
      <c r="E157" s="278">
        <v>0.94259580310515312</v>
      </c>
      <c r="F157" s="278">
        <v>0.95470902884949205</v>
      </c>
      <c r="G157" s="278">
        <v>0.96626108890474993</v>
      </c>
      <c r="H157" s="279">
        <v>0.97769065340893646</v>
      </c>
      <c r="I157" s="237"/>
    </row>
    <row r="158" spans="1:9" ht="17.45" customHeight="1" x14ac:dyDescent="0.2">
      <c r="A158" s="273">
        <v>2.8</v>
      </c>
      <c r="B158" s="277">
        <v>0.80885984164663194</v>
      </c>
      <c r="C158" s="278">
        <v>0.87930071037700053</v>
      </c>
      <c r="D158" s="278">
        <v>0.9264326335115789</v>
      </c>
      <c r="E158" s="278">
        <v>0.93986197625626389</v>
      </c>
      <c r="F158" s="278">
        <v>0.95251875246424877</v>
      </c>
      <c r="G158" s="278">
        <v>0.9646083212470955</v>
      </c>
      <c r="H158" s="279">
        <v>0.97657661116003858</v>
      </c>
      <c r="I158" s="237"/>
    </row>
    <row r="159" spans="1:9" ht="17.45" customHeight="1" x14ac:dyDescent="0.2">
      <c r="A159" s="273">
        <v>2.9</v>
      </c>
      <c r="B159" s="277">
        <v>0.80137231607946835</v>
      </c>
      <c r="C159" s="278">
        <v>0.8741672908506195</v>
      </c>
      <c r="D159" s="278">
        <v>0.92313410201442625</v>
      </c>
      <c r="E159" s="278">
        <v>0.93711864016039725</v>
      </c>
      <c r="F159" s="278">
        <v>0.95031817902465876</v>
      </c>
      <c r="G159" s="278">
        <v>0.9629458348042742</v>
      </c>
      <c r="H159" s="279">
        <v>0.97545473154642737</v>
      </c>
      <c r="I159" s="237"/>
    </row>
    <row r="160" spans="1:9" ht="17.45" customHeight="1" x14ac:dyDescent="0.2">
      <c r="A160" s="273">
        <v>3</v>
      </c>
      <c r="B160" s="277">
        <v>0.79395410170348069</v>
      </c>
      <c r="C160" s="278">
        <v>0.86904633296493661</v>
      </c>
      <c r="D160" s="278">
        <v>0.91982848462962952</v>
      </c>
      <c r="E160" s="278">
        <v>0.93436586436821734</v>
      </c>
      <c r="F160" s="278">
        <v>0.94810733158002602</v>
      </c>
      <c r="G160" s="278">
        <v>0.96127361612816864</v>
      </c>
      <c r="H160" s="279">
        <v>0.97432498060044381</v>
      </c>
      <c r="I160" s="237"/>
    </row>
    <row r="161" spans="1:9" ht="17.45" customHeight="1" x14ac:dyDescent="0.2">
      <c r="A161" s="273">
        <v>3.1</v>
      </c>
      <c r="B161" s="277">
        <v>0.78660455691268316</v>
      </c>
      <c r="C161" s="278">
        <v>0.86393801204116827</v>
      </c>
      <c r="D161" s="278">
        <v>0.91651590190754539</v>
      </c>
      <c r="E161" s="278">
        <v>0.93160371972906786</v>
      </c>
      <c r="F161" s="278">
        <v>0.94588623428810248</v>
      </c>
      <c r="G161" s="278">
        <v>0.95959165245940403</v>
      </c>
      <c r="H161" s="279">
        <v>0.97318732456167278</v>
      </c>
      <c r="I161" s="237"/>
    </row>
    <row r="162" spans="1:9" ht="17.45" customHeight="1" x14ac:dyDescent="0.2">
      <c r="A162" s="273">
        <v>3.2</v>
      </c>
      <c r="B162" s="277">
        <v>0.77932304604036551</v>
      </c>
      <c r="C162" s="278">
        <v>0.85884250144609997</v>
      </c>
      <c r="D162" s="278">
        <v>0.91319647551076466</v>
      </c>
      <c r="E162" s="278">
        <v>0.92883227838840898</v>
      </c>
      <c r="F162" s="278">
        <v>0.94365491242175092</v>
      </c>
      <c r="G162" s="278">
        <v>0.957899931737202</v>
      </c>
      <c r="H162" s="279">
        <v>0.97204172988408155</v>
      </c>
      <c r="I162" s="237"/>
    </row>
    <row r="163" spans="1:9" ht="17.45" customHeight="1" x14ac:dyDescent="0.2">
      <c r="A163" s="273">
        <v>3.3</v>
      </c>
      <c r="B163" s="277">
        <v>0.77210893930411317</v>
      </c>
      <c r="C163" s="278">
        <v>0.85375997257295677</v>
      </c>
      <c r="D163" s="278">
        <v>0.9098703281981998</v>
      </c>
      <c r="E163" s="278">
        <v>0.92605161378491019</v>
      </c>
      <c r="F163" s="278">
        <v>0.94141339237541877</v>
      </c>
      <c r="G163" s="278">
        <v>0.95619844260921649</v>
      </c>
      <c r="H163" s="279">
        <v>0.97088816324323191</v>
      </c>
      <c r="I163" s="237"/>
    </row>
    <row r="164" spans="1:9" ht="17.45" customHeight="1" x14ac:dyDescent="0.2">
      <c r="A164" s="273">
        <v>3.4</v>
      </c>
      <c r="B164" s="277">
        <v>0.76496161275133701</v>
      </c>
      <c r="C164" s="278">
        <v>0.84869059482289166</v>
      </c>
      <c r="D164" s="278">
        <v>0.90653758380881122</v>
      </c>
      <c r="E164" s="278">
        <v>0.92326180064719798</v>
      </c>
      <c r="F164" s="278">
        <v>0.93916170167142032</v>
      </c>
      <c r="G164" s="278">
        <v>0.95448717444135478</v>
      </c>
      <c r="H164" s="279">
        <v>0.96972659154356466</v>
      </c>
      <c r="I164" s="237"/>
    </row>
    <row r="165" spans="1:9" ht="17.45" customHeight="1" x14ac:dyDescent="0.2">
      <c r="A165" s="273">
        <v>3.5</v>
      </c>
      <c r="B165" s="277">
        <v>0.75788044820530853</v>
      </c>
      <c r="C165" s="278">
        <v>0.84363453558709411</v>
      </c>
      <c r="D165" s="278">
        <v>0.90319836724497327</v>
      </c>
      <c r="E165" s="278">
        <v>0.92046291499025701</v>
      </c>
      <c r="F165" s="278">
        <v>0.93689986896601996</v>
      </c>
      <c r="G165" s="278">
        <v>0.95276611732757199</v>
      </c>
      <c r="H165" s="279">
        <v>0.96855698192575879</v>
      </c>
      <c r="I165" s="237"/>
    </row>
    <row r="166" spans="1:9" ht="17.45" customHeight="1" x14ac:dyDescent="0.2">
      <c r="A166" s="273">
        <v>3.6</v>
      </c>
      <c r="B166" s="277">
        <v>0.75086483321169173</v>
      </c>
      <c r="C166" s="278">
        <v>0.83859196022951388</v>
      </c>
      <c r="D166" s="278">
        <v>0.89985280445548799</v>
      </c>
      <c r="E166" s="278">
        <v>0.91765503411147953</v>
      </c>
      <c r="F166" s="278">
        <v>0.93462792405531403</v>
      </c>
      <c r="G166" s="278">
        <v>0.95103526209964206</v>
      </c>
      <c r="H166" s="279">
        <v>0.96737930177416109</v>
      </c>
      <c r="I166" s="237"/>
    </row>
    <row r="167" spans="1:9" ht="17.45" customHeight="1" x14ac:dyDescent="0.2">
      <c r="A167" s="273">
        <v>3.7</v>
      </c>
      <c r="B167" s="277">
        <v>0.74391416098557228</v>
      </c>
      <c r="C167" s="278">
        <v>0.83356303207021198</v>
      </c>
      <c r="D167" s="278">
        <v>0.89650102241824559</v>
      </c>
      <c r="E167" s="278">
        <v>0.91483823658636521</v>
      </c>
      <c r="F167" s="278">
        <v>0.93234589788090705</v>
      </c>
      <c r="G167" s="278">
        <v>0.94929460033689828</v>
      </c>
      <c r="H167" s="279">
        <v>0.96619351872429016</v>
      </c>
      <c r="I167" s="237"/>
    </row>
    <row r="168" spans="1:9" ht="17.45" customHeight="1" x14ac:dyDescent="0.2">
      <c r="A168" s="273">
        <v>3.8</v>
      </c>
      <c r="B168" s="277">
        <v>0.73702783035897657</v>
      </c>
      <c r="C168" s="278">
        <v>0.82854791236933267</v>
      </c>
      <c r="D168" s="278">
        <v>0.89314314912254245</v>
      </c>
      <c r="E168" s="278">
        <v>0.91201260226386816</v>
      </c>
      <c r="F168" s="278">
        <v>0.93005382253537594</v>
      </c>
      <c r="G168" s="278">
        <v>0.94754412437594238</v>
      </c>
      <c r="H168" s="279">
        <v>0.96499960067040869</v>
      </c>
      <c r="I168" s="237"/>
    </row>
    <row r="169" spans="1:9" ht="17.45" customHeight="1" x14ac:dyDescent="0.2">
      <c r="A169" s="273">
        <v>3.9</v>
      </c>
      <c r="B169" s="277">
        <v>0.73020524572887591</v>
      </c>
      <c r="C169" s="278">
        <v>0.82354676031169904</v>
      </c>
      <c r="D169" s="278">
        <v>0.88977931355105411</v>
      </c>
      <c r="E169" s="278">
        <v>0.90917821226138762</v>
      </c>
      <c r="F169" s="278">
        <v>0.92775173126751886</v>
      </c>
      <c r="G169" s="278">
        <v>0.94578382732031741</v>
      </c>
      <c r="H169" s="279">
        <v>0.96379751577316752</v>
      </c>
      <c r="I169" s="237"/>
    </row>
    <row r="170" spans="1:9" ht="17.45" customHeight="1" x14ac:dyDescent="0.2">
      <c r="A170" s="273">
        <v>4</v>
      </c>
      <c r="B170" s="277">
        <v>0.72273320325799995</v>
      </c>
      <c r="C170" s="278">
        <v>0.81777150270200005</v>
      </c>
      <c r="D170" s="278">
        <v>0.88579202260899992</v>
      </c>
      <c r="E170" s="278">
        <v>0.90584758564400003</v>
      </c>
      <c r="F170" s="278">
        <v>0.92501388432099996</v>
      </c>
      <c r="G170" s="278">
        <v>0.94367899132700006</v>
      </c>
      <c r="H170" s="279">
        <v>0.96239875623900006</v>
      </c>
      <c r="I170" s="237"/>
    </row>
    <row r="171" spans="1:9" ht="17.45" customHeight="1" x14ac:dyDescent="0.2">
      <c r="A171" s="273">
        <v>4.0999999999999996</v>
      </c>
      <c r="B171" s="277">
        <v>0.71613758888599999</v>
      </c>
      <c r="C171" s="278">
        <v>0.81286015101020004</v>
      </c>
      <c r="D171" s="278">
        <v>0.88246025954671992</v>
      </c>
      <c r="E171" s="278">
        <v>0.90302932070943998</v>
      </c>
      <c r="F171" s="278">
        <v>0.92272453158096002</v>
      </c>
      <c r="G171" s="278">
        <v>0.94192643668496012</v>
      </c>
      <c r="H171" s="279">
        <v>0.96119730106536005</v>
      </c>
      <c r="I171" s="237"/>
    </row>
    <row r="172" spans="1:9" ht="17.45" customHeight="1" x14ac:dyDescent="0.2">
      <c r="A172" s="273">
        <v>4.2</v>
      </c>
      <c r="B172" s="277">
        <v>0.70959579821919994</v>
      </c>
      <c r="C172" s="278">
        <v>0.80796749653080002</v>
      </c>
      <c r="D172" s="278">
        <v>0.87912731974507996</v>
      </c>
      <c r="E172" s="278">
        <v>0.90020620160695997</v>
      </c>
      <c r="F172" s="278">
        <v>0.92042757884123994</v>
      </c>
      <c r="G172" s="278">
        <v>0.94016538752204015</v>
      </c>
      <c r="H172" s="279">
        <v>0.95998790255484012</v>
      </c>
      <c r="I172" s="237"/>
    </row>
    <row r="173" spans="1:9" ht="17.45" customHeight="1" x14ac:dyDescent="0.2">
      <c r="A173" s="273">
        <v>4.3</v>
      </c>
      <c r="B173" s="277">
        <v>0.70310783125760001</v>
      </c>
      <c r="C173" s="278">
        <v>0.8030935392638</v>
      </c>
      <c r="D173" s="278">
        <v>0.87579320320407994</v>
      </c>
      <c r="E173" s="278">
        <v>0.89737822833656</v>
      </c>
      <c r="F173" s="278">
        <v>0.91812302610184005</v>
      </c>
      <c r="G173" s="278">
        <v>0.93839584383824015</v>
      </c>
      <c r="H173" s="279">
        <v>0.95877056070744016</v>
      </c>
      <c r="I173" s="237"/>
    </row>
    <row r="174" spans="1:9" ht="17.45" customHeight="1" x14ac:dyDescent="0.2">
      <c r="A174" s="273">
        <v>4.4000000000000004</v>
      </c>
      <c r="B174" s="277">
        <v>0.69667368800119989</v>
      </c>
      <c r="C174" s="278">
        <v>0.79823827920919999</v>
      </c>
      <c r="D174" s="278">
        <v>0.87245790992371997</v>
      </c>
      <c r="E174" s="278">
        <v>0.89454540089823997</v>
      </c>
      <c r="F174" s="278">
        <v>0.91581087336276001</v>
      </c>
      <c r="G174" s="278">
        <v>0.93661780563356012</v>
      </c>
      <c r="H174" s="279">
        <v>0.95754527552316004</v>
      </c>
      <c r="I174" s="237"/>
    </row>
    <row r="175" spans="1:9" ht="17.45" customHeight="1" x14ac:dyDescent="0.2">
      <c r="A175" s="273">
        <v>4.5</v>
      </c>
      <c r="B175" s="277">
        <v>0.69029336844999989</v>
      </c>
      <c r="C175" s="278">
        <v>0.79340171636700008</v>
      </c>
      <c r="D175" s="278">
        <v>0.86912143990399993</v>
      </c>
      <c r="E175" s="278">
        <v>0.89170771929199999</v>
      </c>
      <c r="F175" s="278">
        <v>0.91349112062399995</v>
      </c>
      <c r="G175" s="278">
        <v>0.93483127290800017</v>
      </c>
      <c r="H175" s="279">
        <v>0.95631204700200012</v>
      </c>
      <c r="I175" s="237"/>
    </row>
    <row r="176" spans="1:9" ht="17.45" customHeight="1" x14ac:dyDescent="0.2">
      <c r="A176" s="273">
        <v>4.5999999999999996</v>
      </c>
      <c r="B176" s="277">
        <v>0.68396687260400002</v>
      </c>
      <c r="C176" s="278">
        <v>0.78858385073720005</v>
      </c>
      <c r="D176" s="278">
        <v>0.86578379314491993</v>
      </c>
      <c r="E176" s="278">
        <v>0.88886518351784005</v>
      </c>
      <c r="F176" s="278">
        <v>0.91116376788555997</v>
      </c>
      <c r="G176" s="278">
        <v>0.93303624566156018</v>
      </c>
      <c r="H176" s="279">
        <v>0.95507087514396005</v>
      </c>
      <c r="I176" s="237"/>
    </row>
    <row r="177" spans="1:9" ht="17.45" customHeight="1" x14ac:dyDescent="0.2">
      <c r="A177" s="273">
        <v>4.7</v>
      </c>
      <c r="B177" s="277">
        <v>0.67769420046319995</v>
      </c>
      <c r="C177" s="278">
        <v>0.78378468231980003</v>
      </c>
      <c r="D177" s="278">
        <v>0.86244496964647988</v>
      </c>
      <c r="E177" s="278">
        <v>0.88601779357575994</v>
      </c>
      <c r="F177" s="278">
        <v>0.90882881514743996</v>
      </c>
      <c r="G177" s="278">
        <v>0.93123272389424017</v>
      </c>
      <c r="H177" s="279">
        <v>0.95382175994904006</v>
      </c>
      <c r="I177" s="237"/>
    </row>
    <row r="178" spans="1:9" ht="17.45" customHeight="1" x14ac:dyDescent="0.2">
      <c r="A178" s="273">
        <v>4.8</v>
      </c>
      <c r="B178" s="277">
        <v>0.6714753520276</v>
      </c>
      <c r="C178" s="278">
        <v>0.7790042111148</v>
      </c>
      <c r="D178" s="278">
        <v>0.85910496940867986</v>
      </c>
      <c r="E178" s="278">
        <v>0.88316554946575998</v>
      </c>
      <c r="F178" s="278">
        <v>0.90648626240964003</v>
      </c>
      <c r="G178" s="278">
        <v>0.92942070760604012</v>
      </c>
      <c r="H178" s="279">
        <v>0.95256470141724003</v>
      </c>
      <c r="I178" s="237"/>
    </row>
    <row r="179" spans="1:9" ht="17.45" customHeight="1" x14ac:dyDescent="0.2">
      <c r="A179" s="273">
        <v>4.9000000000000004</v>
      </c>
      <c r="B179" s="277">
        <v>0.66531032729719985</v>
      </c>
      <c r="C179" s="278">
        <v>0.77424243712220009</v>
      </c>
      <c r="D179" s="278">
        <v>0.8557637924315199</v>
      </c>
      <c r="E179" s="278">
        <v>0.88030845118783996</v>
      </c>
      <c r="F179" s="278">
        <v>0.90413610967215996</v>
      </c>
      <c r="G179" s="278">
        <v>0.92760019679696004</v>
      </c>
      <c r="H179" s="279">
        <v>0.95129969954856008</v>
      </c>
      <c r="I179" s="237"/>
    </row>
    <row r="180" spans="1:9" ht="17.45" customHeight="1" x14ac:dyDescent="0.2">
      <c r="A180" s="273">
        <v>5</v>
      </c>
      <c r="B180" s="277">
        <v>0.65919912627199995</v>
      </c>
      <c r="C180" s="278">
        <v>0.76949936034199995</v>
      </c>
      <c r="D180" s="278">
        <v>0.85242143871499998</v>
      </c>
      <c r="E180" s="278">
        <v>0.87744649874199998</v>
      </c>
      <c r="F180" s="278">
        <v>0.90177835693499997</v>
      </c>
      <c r="G180" s="278">
        <v>0.92577119146700015</v>
      </c>
      <c r="H180" s="279">
        <v>0.9500267543430001</v>
      </c>
      <c r="I180" s="237"/>
    </row>
    <row r="181" spans="1:9" ht="17.45" customHeight="1" x14ac:dyDescent="0.2">
      <c r="A181" s="273">
        <v>5.0999999999999996</v>
      </c>
      <c r="B181" s="277">
        <v>0.65314174895199995</v>
      </c>
      <c r="C181" s="278">
        <v>0.76477498077420003</v>
      </c>
      <c r="D181" s="278">
        <v>0.84907790825912</v>
      </c>
      <c r="E181" s="278">
        <v>0.87457969212824005</v>
      </c>
      <c r="F181" s="278">
        <v>0.89941300419815995</v>
      </c>
      <c r="G181" s="278">
        <v>0.92393369161616012</v>
      </c>
      <c r="H181" s="279">
        <v>0.94874586580056008</v>
      </c>
      <c r="I181" s="237"/>
    </row>
    <row r="182" spans="1:9" ht="17.45" customHeight="1" x14ac:dyDescent="0.2">
      <c r="A182" s="273">
        <v>5.2</v>
      </c>
      <c r="B182" s="277">
        <v>0.64713819533719996</v>
      </c>
      <c r="C182" s="278">
        <v>0.7600692984188</v>
      </c>
      <c r="D182" s="278">
        <v>0.84573320106387995</v>
      </c>
      <c r="E182" s="278">
        <v>0.87170803134655994</v>
      </c>
      <c r="F182" s="278">
        <v>0.89704005146164001</v>
      </c>
      <c r="G182" s="278">
        <v>0.92208769724444006</v>
      </c>
      <c r="H182" s="279">
        <v>0.94745703392124014</v>
      </c>
      <c r="I182" s="237"/>
    </row>
    <row r="183" spans="1:9" ht="17.45" customHeight="1" x14ac:dyDescent="0.2">
      <c r="A183" s="273">
        <v>5.3</v>
      </c>
      <c r="B183" s="277">
        <v>0.64118846542759989</v>
      </c>
      <c r="C183" s="278">
        <v>0.75538231327579997</v>
      </c>
      <c r="D183" s="278">
        <v>0.84238731712927994</v>
      </c>
      <c r="E183" s="278">
        <v>0.86883151639695999</v>
      </c>
      <c r="F183" s="278">
        <v>0.89465949872544004</v>
      </c>
      <c r="G183" s="278">
        <v>0.92023320835184008</v>
      </c>
      <c r="H183" s="279">
        <v>0.94616025870504006</v>
      </c>
      <c r="I183" s="237"/>
    </row>
    <row r="184" spans="1:9" ht="17.45" customHeight="1" x14ac:dyDescent="0.2">
      <c r="A184" s="273">
        <v>5.4</v>
      </c>
      <c r="B184" s="277">
        <v>0.63529255922319994</v>
      </c>
      <c r="C184" s="278">
        <v>0.75071402534520004</v>
      </c>
      <c r="D184" s="278">
        <v>0.83904025645531988</v>
      </c>
      <c r="E184" s="278">
        <v>0.86595014727943997</v>
      </c>
      <c r="F184" s="278">
        <v>0.89227134598955993</v>
      </c>
      <c r="G184" s="278">
        <v>0.91837022493836007</v>
      </c>
      <c r="H184" s="279">
        <v>0.94485554015196005</v>
      </c>
      <c r="I184" s="237"/>
    </row>
    <row r="185" spans="1:9" ht="17.45" customHeight="1" x14ac:dyDescent="0.2">
      <c r="A185" s="273">
        <v>5.5</v>
      </c>
      <c r="B185" s="277">
        <v>0.62945047672400001</v>
      </c>
      <c r="C185" s="278">
        <v>0.74606443462700001</v>
      </c>
      <c r="D185" s="278">
        <v>0.83569201904199997</v>
      </c>
      <c r="E185" s="278">
        <v>0.863063923994</v>
      </c>
      <c r="F185" s="278">
        <v>0.88987559325400001</v>
      </c>
      <c r="G185" s="278">
        <v>0.91649874700400014</v>
      </c>
      <c r="H185" s="279">
        <v>0.94354287826200012</v>
      </c>
      <c r="I185" s="237"/>
    </row>
    <row r="186" spans="1:9" ht="17.45" customHeight="1" x14ac:dyDescent="0.2">
      <c r="A186" s="273">
        <v>5.6</v>
      </c>
      <c r="B186" s="277">
        <v>0.62366221792999998</v>
      </c>
      <c r="C186" s="278">
        <v>0.74143354112120008</v>
      </c>
      <c r="D186" s="278">
        <v>0.83234260488931988</v>
      </c>
      <c r="E186" s="278">
        <v>0.86017284654063997</v>
      </c>
      <c r="F186" s="278">
        <v>0.88747224051876006</v>
      </c>
      <c r="G186" s="278">
        <v>0.91461877454876017</v>
      </c>
      <c r="H186" s="279">
        <v>0.94222227303516015</v>
      </c>
      <c r="I186" s="237"/>
    </row>
    <row r="187" spans="1:9" ht="17.45" customHeight="1" x14ac:dyDescent="0.2">
      <c r="A187" s="273">
        <v>5.7</v>
      </c>
      <c r="B187" s="277">
        <v>0.61792778284119998</v>
      </c>
      <c r="C187" s="278">
        <v>0.73682134482780004</v>
      </c>
      <c r="D187" s="278">
        <v>0.82899201399727995</v>
      </c>
      <c r="E187" s="278">
        <v>0.85727691491935998</v>
      </c>
      <c r="F187" s="278">
        <v>0.88506128778383997</v>
      </c>
      <c r="G187" s="278">
        <v>0.91273030757264006</v>
      </c>
      <c r="H187" s="279">
        <v>0.94089372447144004</v>
      </c>
      <c r="I187" s="237"/>
    </row>
    <row r="188" spans="1:9" ht="17.45" customHeight="1" x14ac:dyDescent="0.2">
      <c r="A188" s="273">
        <v>5.8</v>
      </c>
      <c r="B188" s="277">
        <v>0.61224717145759999</v>
      </c>
      <c r="C188" s="278">
        <v>0.7322278457468</v>
      </c>
      <c r="D188" s="278">
        <v>0.82564024636587996</v>
      </c>
      <c r="E188" s="278">
        <v>0.85437612913015992</v>
      </c>
      <c r="F188" s="278">
        <v>0.88264273504923996</v>
      </c>
      <c r="G188" s="278">
        <v>0.91083334607564015</v>
      </c>
      <c r="H188" s="279">
        <v>0.93955723257084012</v>
      </c>
      <c r="I188" s="237"/>
    </row>
    <row r="189" spans="1:9" ht="17.45" customHeight="1" x14ac:dyDescent="0.2">
      <c r="A189" s="273">
        <v>5.9</v>
      </c>
      <c r="B189" s="277">
        <v>0.60662038377919991</v>
      </c>
      <c r="C189" s="278">
        <v>0.72765304387820007</v>
      </c>
      <c r="D189" s="278">
        <v>0.8222873019951199</v>
      </c>
      <c r="E189" s="278">
        <v>0.85147048917303991</v>
      </c>
      <c r="F189" s="278">
        <v>0.88021658231495992</v>
      </c>
      <c r="G189" s="278">
        <v>0.90892789005776009</v>
      </c>
      <c r="H189" s="279">
        <v>0.93821279733336005</v>
      </c>
      <c r="I189" s="237"/>
    </row>
    <row r="190" spans="1:9" ht="17.45" customHeight="1" x14ac:dyDescent="0.2">
      <c r="A190" s="273">
        <v>6</v>
      </c>
      <c r="B190" s="277">
        <v>0.60104741980599996</v>
      </c>
      <c r="C190" s="278">
        <v>0.72309693922200002</v>
      </c>
      <c r="D190" s="278">
        <v>0.818933180885</v>
      </c>
      <c r="E190" s="278">
        <v>0.84855999504799995</v>
      </c>
      <c r="F190" s="278">
        <v>0.87778282958099996</v>
      </c>
      <c r="G190" s="278">
        <v>0.90701393951900011</v>
      </c>
      <c r="H190" s="279">
        <v>0.93686041875900006</v>
      </c>
      <c r="I190" s="237"/>
    </row>
    <row r="191" spans="1:9" ht="17.45" customHeight="1" x14ac:dyDescent="0.2">
      <c r="A191" s="273">
        <v>6.1</v>
      </c>
      <c r="B191" s="277">
        <v>0.59552827953799992</v>
      </c>
      <c r="C191" s="278">
        <v>0.71855953177820009</v>
      </c>
      <c r="D191" s="278">
        <v>0.81557788303551992</v>
      </c>
      <c r="E191" s="278">
        <v>0.84564464675504003</v>
      </c>
      <c r="F191" s="278">
        <v>0.87534147684735997</v>
      </c>
      <c r="G191" s="278">
        <v>0.9050914944593601</v>
      </c>
      <c r="H191" s="279">
        <v>0.93550009684776014</v>
      </c>
      <c r="I191" s="237"/>
    </row>
    <row r="192" spans="1:9" ht="17.45" customHeight="1" x14ac:dyDescent="0.2">
      <c r="A192" s="273">
        <v>6.2</v>
      </c>
      <c r="B192" s="277">
        <v>0.59006296297519989</v>
      </c>
      <c r="C192" s="278">
        <v>0.71404082154680004</v>
      </c>
      <c r="D192" s="278">
        <v>0.81222140844667989</v>
      </c>
      <c r="E192" s="278">
        <v>0.84272444429415994</v>
      </c>
      <c r="F192" s="278">
        <v>0.87289252411403995</v>
      </c>
      <c r="G192" s="278">
        <v>0.90316055487884006</v>
      </c>
      <c r="H192" s="279">
        <v>0.93413183159964008</v>
      </c>
      <c r="I192" s="237"/>
    </row>
    <row r="193" spans="1:9" ht="17.45" customHeight="1" x14ac:dyDescent="0.2">
      <c r="A193" s="273">
        <v>6.3</v>
      </c>
      <c r="B193" s="277">
        <v>0.58465147011759999</v>
      </c>
      <c r="C193" s="278">
        <v>0.7095408085278001</v>
      </c>
      <c r="D193" s="278">
        <v>0.80886375711847991</v>
      </c>
      <c r="E193" s="278">
        <v>0.83979938766536</v>
      </c>
      <c r="F193" s="278">
        <v>0.87043597138104001</v>
      </c>
      <c r="G193" s="278">
        <v>0.9012211207774401</v>
      </c>
      <c r="H193" s="279">
        <v>0.9327556230146401</v>
      </c>
      <c r="I193" s="237"/>
    </row>
    <row r="194" spans="1:9" ht="17.45" customHeight="1" x14ac:dyDescent="0.2">
      <c r="A194" s="273">
        <v>6.4</v>
      </c>
      <c r="B194" s="281">
        <v>0.57929380096519989</v>
      </c>
      <c r="C194" s="282">
        <v>0.70505949272120005</v>
      </c>
      <c r="D194" s="282">
        <v>0.80550492905091997</v>
      </c>
      <c r="E194" s="282">
        <v>0.83686947686863999</v>
      </c>
      <c r="F194" s="282">
        <v>0.86797181864836004</v>
      </c>
      <c r="G194" s="282">
        <v>0.89927319215516011</v>
      </c>
      <c r="H194" s="283">
        <v>0.93137147109276008</v>
      </c>
      <c r="I194" s="237"/>
    </row>
    <row r="195" spans="1:9" ht="17.45" customHeight="1" x14ac:dyDescent="0.2">
      <c r="A195" s="273">
        <v>6.5</v>
      </c>
      <c r="B195" s="284">
        <v>0.57398995551799992</v>
      </c>
      <c r="C195" s="285">
        <v>0.700596874127</v>
      </c>
      <c r="D195" s="285">
        <v>0.80214492424399997</v>
      </c>
      <c r="E195" s="285">
        <v>0.83393471190399993</v>
      </c>
      <c r="F195" s="285">
        <v>0.86550006591599993</v>
      </c>
      <c r="G195" s="285">
        <v>0.89731676901200008</v>
      </c>
      <c r="H195" s="286">
        <v>0.92997937583400003</v>
      </c>
      <c r="I195" s="237"/>
    </row>
    <row r="196" spans="1:9" ht="17.45" customHeight="1" x14ac:dyDescent="0.2">
      <c r="A196" s="273">
        <v>6.6</v>
      </c>
      <c r="B196" s="277">
        <v>0.56873993377599996</v>
      </c>
      <c r="C196" s="278">
        <v>0.69615295274520006</v>
      </c>
      <c r="D196" s="278">
        <v>0.7987837426977199</v>
      </c>
      <c r="E196" s="278">
        <v>0.83099509277144001</v>
      </c>
      <c r="F196" s="278">
        <v>0.86302071318396001</v>
      </c>
      <c r="G196" s="278">
        <v>0.89535185134796014</v>
      </c>
      <c r="H196" s="279">
        <v>0.92857933723836006</v>
      </c>
      <c r="I196" s="237"/>
    </row>
    <row r="197" spans="1:9" ht="17.45" customHeight="1" x14ac:dyDescent="0.2">
      <c r="A197" s="273">
        <v>6.7</v>
      </c>
      <c r="B197" s="277">
        <v>0.56354373573919991</v>
      </c>
      <c r="C197" s="278">
        <v>0.6917277285758</v>
      </c>
      <c r="D197" s="278">
        <v>0.79542138441207988</v>
      </c>
      <c r="E197" s="278">
        <v>0.82805061947095993</v>
      </c>
      <c r="F197" s="278">
        <v>0.86053376045223995</v>
      </c>
      <c r="G197" s="278">
        <v>0.89337843916304016</v>
      </c>
      <c r="H197" s="279">
        <v>0.92717135530584005</v>
      </c>
      <c r="I197" s="237"/>
    </row>
    <row r="198" spans="1:9" ht="17.45" customHeight="1" x14ac:dyDescent="0.2">
      <c r="A198" s="273">
        <v>6.8</v>
      </c>
      <c r="B198" s="277">
        <v>0.55840136140759988</v>
      </c>
      <c r="C198" s="278">
        <v>0.68732120161880006</v>
      </c>
      <c r="D198" s="278">
        <v>0.7920578493870799</v>
      </c>
      <c r="E198" s="278">
        <v>0.82510129200255999</v>
      </c>
      <c r="F198" s="278">
        <v>0.85803920772083997</v>
      </c>
      <c r="G198" s="278">
        <v>0.89139653245724015</v>
      </c>
      <c r="H198" s="279">
        <v>0.92575543003644012</v>
      </c>
      <c r="I198" s="237"/>
    </row>
    <row r="199" spans="1:9" ht="17.45" customHeight="1" x14ac:dyDescent="0.2">
      <c r="A199" s="273">
        <v>6.9</v>
      </c>
      <c r="B199" s="290">
        <v>0.55331281078119998</v>
      </c>
      <c r="C199" s="291">
        <v>0.6829333718742</v>
      </c>
      <c r="D199" s="291">
        <v>0.78869313762271998</v>
      </c>
      <c r="E199" s="291">
        <v>0.82214711036623989</v>
      </c>
      <c r="F199" s="291">
        <v>0.85553705498975996</v>
      </c>
      <c r="G199" s="291">
        <v>0.88940613123056012</v>
      </c>
      <c r="H199" s="292">
        <v>0.92433156143016004</v>
      </c>
      <c r="I199" s="237"/>
    </row>
    <row r="200" spans="1:9" ht="17.45" customHeight="1" x14ac:dyDescent="0.2">
      <c r="A200" s="273">
        <v>7</v>
      </c>
      <c r="B200" s="287">
        <v>0.54827808385999999</v>
      </c>
      <c r="C200" s="288">
        <v>0.67856423934200005</v>
      </c>
      <c r="D200" s="288">
        <v>0.78532724911899998</v>
      </c>
      <c r="E200" s="288">
        <v>0.81918807456199993</v>
      </c>
      <c r="F200" s="288">
        <v>0.85302730225900003</v>
      </c>
      <c r="G200" s="288">
        <v>0.88740723548300016</v>
      </c>
      <c r="H200" s="289">
        <v>0.92289974948700004</v>
      </c>
      <c r="I200" s="237"/>
    </row>
    <row r="201" spans="1:9" ht="17.45" customHeight="1" x14ac:dyDescent="0.2">
      <c r="A201" s="273">
        <v>7.1</v>
      </c>
      <c r="B201" s="277">
        <v>0.5432971806439999</v>
      </c>
      <c r="C201" s="278">
        <v>0.6742138040222001</v>
      </c>
      <c r="D201" s="278">
        <v>0.78196018387591992</v>
      </c>
      <c r="E201" s="278">
        <v>0.81622418458983992</v>
      </c>
      <c r="F201" s="278">
        <v>0.85050994952855996</v>
      </c>
      <c r="G201" s="278">
        <v>0.88539984521456017</v>
      </c>
      <c r="H201" s="279">
        <v>0.92145999420696012</v>
      </c>
      <c r="I201" s="237"/>
    </row>
    <row r="202" spans="1:9" ht="17.45" customHeight="1" x14ac:dyDescent="0.2">
      <c r="A202" s="273">
        <v>7.2</v>
      </c>
      <c r="B202" s="277">
        <v>0.53837010113319994</v>
      </c>
      <c r="C202" s="278">
        <v>0.66988206591480004</v>
      </c>
      <c r="D202" s="278">
        <v>0.77859194189347991</v>
      </c>
      <c r="E202" s="278">
        <v>0.81325544044975995</v>
      </c>
      <c r="F202" s="278">
        <v>0.84798499679843997</v>
      </c>
      <c r="G202" s="278">
        <v>0.88338396042524014</v>
      </c>
      <c r="H202" s="279">
        <v>0.92001229559004005</v>
      </c>
      <c r="I202" s="237"/>
    </row>
    <row r="203" spans="1:9" ht="17.45" customHeight="1" x14ac:dyDescent="0.2">
      <c r="A203" s="273">
        <v>7.3</v>
      </c>
      <c r="B203" s="277">
        <v>0.5334968453276</v>
      </c>
      <c r="C203" s="278">
        <v>0.66556902501980009</v>
      </c>
      <c r="D203" s="278">
        <v>0.77522252317167994</v>
      </c>
      <c r="E203" s="278">
        <v>0.81028184214175991</v>
      </c>
      <c r="F203" s="278">
        <v>0.84545244406863995</v>
      </c>
      <c r="G203" s="278">
        <v>0.88135958111504009</v>
      </c>
      <c r="H203" s="279">
        <v>0.91855665363624006</v>
      </c>
      <c r="I203" s="237"/>
    </row>
    <row r="204" spans="1:9" ht="17.45" customHeight="1" x14ac:dyDescent="0.2">
      <c r="A204" s="273">
        <v>7.4</v>
      </c>
      <c r="B204" s="281">
        <v>0.52867741322719997</v>
      </c>
      <c r="C204" s="282">
        <v>0.66127468133720002</v>
      </c>
      <c r="D204" s="282">
        <v>0.77185192771051991</v>
      </c>
      <c r="E204" s="282">
        <v>0.80730338966583992</v>
      </c>
      <c r="F204" s="282">
        <v>0.84291229133916001</v>
      </c>
      <c r="G204" s="282">
        <v>0.87932670728396012</v>
      </c>
      <c r="H204" s="283">
        <v>0.91709306834556004</v>
      </c>
      <c r="I204" s="237"/>
    </row>
    <row r="205" spans="1:9" ht="17.45" customHeight="1" x14ac:dyDescent="0.2">
      <c r="A205" s="273">
        <v>7.5</v>
      </c>
      <c r="B205" s="284">
        <v>0.52391180483199995</v>
      </c>
      <c r="C205" s="285">
        <v>0.65699903486700006</v>
      </c>
      <c r="D205" s="285">
        <v>0.76848015550999993</v>
      </c>
      <c r="E205" s="285">
        <v>0.80432008302199998</v>
      </c>
      <c r="F205" s="285">
        <v>0.84036453861000004</v>
      </c>
      <c r="G205" s="285">
        <v>0.87728533893200011</v>
      </c>
      <c r="H205" s="286">
        <v>0.91562153971800009</v>
      </c>
      <c r="I205" s="237"/>
    </row>
    <row r="206" spans="1:9" ht="17.45" customHeight="1" x14ac:dyDescent="0.2">
      <c r="A206" s="273">
        <v>7.6</v>
      </c>
      <c r="B206" s="277">
        <v>0.51920002014199995</v>
      </c>
      <c r="C206" s="278">
        <v>0.65274208560920011</v>
      </c>
      <c r="D206" s="278">
        <v>0.76510720657011988</v>
      </c>
      <c r="E206" s="278">
        <v>0.80133192221023997</v>
      </c>
      <c r="F206" s="278">
        <v>0.83780918588116005</v>
      </c>
      <c r="G206" s="278">
        <v>0.87523547605916008</v>
      </c>
      <c r="H206" s="279">
        <v>0.91414206775356011</v>
      </c>
      <c r="I206" s="237"/>
    </row>
    <row r="207" spans="1:9" ht="17.45" customHeight="1" x14ac:dyDescent="0.2">
      <c r="A207" s="273">
        <v>7.7</v>
      </c>
      <c r="B207" s="277">
        <v>0.51454205915719997</v>
      </c>
      <c r="C207" s="278">
        <v>0.64850383356380004</v>
      </c>
      <c r="D207" s="278">
        <v>0.76173308089087999</v>
      </c>
      <c r="E207" s="278">
        <v>0.79833890723056</v>
      </c>
      <c r="F207" s="278">
        <v>0.83524623315264002</v>
      </c>
      <c r="G207" s="278">
        <v>0.87317711866544012</v>
      </c>
      <c r="H207" s="279">
        <v>0.91265465245224009</v>
      </c>
      <c r="I207" s="237"/>
    </row>
    <row r="208" spans="1:9" ht="17.45" customHeight="1" x14ac:dyDescent="0.2">
      <c r="A208" s="273">
        <v>7.8</v>
      </c>
      <c r="B208" s="277">
        <v>0.50993792187760001</v>
      </c>
      <c r="C208" s="278">
        <v>0.64428427873080008</v>
      </c>
      <c r="D208" s="278">
        <v>0.75835777847227992</v>
      </c>
      <c r="E208" s="278">
        <v>0.79534103808295997</v>
      </c>
      <c r="F208" s="278">
        <v>0.83267568042443996</v>
      </c>
      <c r="G208" s="278">
        <v>0.87111026675084013</v>
      </c>
      <c r="H208" s="279">
        <v>0.91115929381404004</v>
      </c>
      <c r="I208" s="237"/>
    </row>
    <row r="209" spans="1:9" ht="17.45" customHeight="1" x14ac:dyDescent="0.2">
      <c r="A209" s="273">
        <v>7.9</v>
      </c>
      <c r="B209" s="290">
        <v>0.50538760830319995</v>
      </c>
      <c r="C209" s="291">
        <v>0.6400834211102</v>
      </c>
      <c r="D209" s="291">
        <v>0.7549812993143199</v>
      </c>
      <c r="E209" s="291">
        <v>0.79233831476743999</v>
      </c>
      <c r="F209" s="291">
        <v>0.83009752769655998</v>
      </c>
      <c r="G209" s="291">
        <v>0.86903492031536012</v>
      </c>
      <c r="H209" s="292">
        <v>0.90965599183896007</v>
      </c>
      <c r="I209" s="237"/>
    </row>
    <row r="210" spans="1:9" ht="17.45" customHeight="1" x14ac:dyDescent="0.2">
      <c r="A210" s="273">
        <v>8</v>
      </c>
      <c r="B210" s="287">
        <v>0.50089111843399992</v>
      </c>
      <c r="C210" s="288">
        <v>0.63590126070200004</v>
      </c>
      <c r="D210" s="288">
        <v>0.75160364341699992</v>
      </c>
      <c r="E210" s="288">
        <v>0.78933073728399994</v>
      </c>
      <c r="F210" s="288">
        <v>0.82751177496899997</v>
      </c>
      <c r="G210" s="288">
        <v>0.86695107935900007</v>
      </c>
      <c r="H210" s="289">
        <v>0.90814474652700006</v>
      </c>
      <c r="I210" s="237"/>
    </row>
    <row r="211" spans="1:9" ht="17.45" customHeight="1" x14ac:dyDescent="0.2">
      <c r="A211" s="273">
        <v>8.1</v>
      </c>
      <c r="B211" s="277">
        <v>0.49644845227000001</v>
      </c>
      <c r="C211" s="278">
        <v>0.63173779750619996</v>
      </c>
      <c r="D211" s="278">
        <v>0.74822481078031999</v>
      </c>
      <c r="E211" s="278">
        <v>0.78631830563263994</v>
      </c>
      <c r="F211" s="278">
        <v>0.82491842224176004</v>
      </c>
      <c r="G211" s="278">
        <v>0.86485874388176009</v>
      </c>
      <c r="H211" s="279">
        <v>0.90662555787816013</v>
      </c>
      <c r="I211" s="237"/>
    </row>
    <row r="212" spans="1:9" ht="17.45" customHeight="1" x14ac:dyDescent="0.2">
      <c r="A212" s="273">
        <v>8.1999999999999993</v>
      </c>
      <c r="B212" s="277">
        <v>0.4920596098112</v>
      </c>
      <c r="C212" s="278">
        <v>0.62759303152279999</v>
      </c>
      <c r="D212" s="278">
        <v>0.74484480140427989</v>
      </c>
      <c r="E212" s="278">
        <v>0.78330101981335998</v>
      </c>
      <c r="F212" s="278">
        <v>0.82231746951483997</v>
      </c>
      <c r="G212" s="278">
        <v>0.86275791388364009</v>
      </c>
      <c r="H212" s="279">
        <v>0.90509842589244016</v>
      </c>
      <c r="I212" s="237"/>
    </row>
    <row r="213" spans="1:9" ht="17.45" customHeight="1" x14ac:dyDescent="0.2">
      <c r="A213" s="273">
        <v>8.3000000000000007</v>
      </c>
      <c r="B213" s="277">
        <v>0.48772459105759991</v>
      </c>
      <c r="C213" s="278">
        <v>0.62346696275180002</v>
      </c>
      <c r="D213" s="278">
        <v>0.74146361528887983</v>
      </c>
      <c r="E213" s="278">
        <v>0.78027887982615995</v>
      </c>
      <c r="F213" s="278">
        <v>0.81970891678823998</v>
      </c>
      <c r="G213" s="278">
        <v>0.86064858936464006</v>
      </c>
      <c r="H213" s="279">
        <v>0.90356335056984005</v>
      </c>
      <c r="I213" s="237"/>
    </row>
    <row r="214" spans="1:9" ht="17.45" customHeight="1" x14ac:dyDescent="0.2">
      <c r="A214" s="273">
        <v>8.4</v>
      </c>
      <c r="B214" s="281">
        <v>0.48344339600919994</v>
      </c>
      <c r="C214" s="282">
        <v>0.61935959119319994</v>
      </c>
      <c r="D214" s="282">
        <v>0.73808125243411993</v>
      </c>
      <c r="E214" s="282">
        <v>0.77725188567103998</v>
      </c>
      <c r="F214" s="282">
        <v>0.81709276406195996</v>
      </c>
      <c r="G214" s="282">
        <v>0.85853077032476011</v>
      </c>
      <c r="H214" s="283">
        <v>0.90202033191036013</v>
      </c>
      <c r="I214" s="237"/>
    </row>
    <row r="215" spans="1:9" ht="17.45" customHeight="1" x14ac:dyDescent="0.2">
      <c r="A215" s="273">
        <v>8.5</v>
      </c>
      <c r="B215" s="284">
        <v>0.47921602466599988</v>
      </c>
      <c r="C215" s="285">
        <v>0.61527091684700008</v>
      </c>
      <c r="D215" s="285">
        <v>0.73469771283999996</v>
      </c>
      <c r="E215" s="285">
        <v>0.77422003734799993</v>
      </c>
      <c r="F215" s="285">
        <v>0.81446901133600003</v>
      </c>
      <c r="G215" s="285">
        <v>0.85640445676400012</v>
      </c>
      <c r="H215" s="286">
        <v>0.90046936991400006</v>
      </c>
      <c r="I215" s="237"/>
    </row>
    <row r="216" spans="1:9" ht="17.45" customHeight="1" x14ac:dyDescent="0.2">
      <c r="A216" s="273">
        <v>8.6</v>
      </c>
      <c r="B216" s="277">
        <v>0.47504247702799995</v>
      </c>
      <c r="C216" s="278">
        <v>0.61120093971320011</v>
      </c>
      <c r="D216" s="278">
        <v>0.73131299650651993</v>
      </c>
      <c r="E216" s="278">
        <v>0.77118333485703994</v>
      </c>
      <c r="F216" s="278">
        <v>0.81183765861035995</v>
      </c>
      <c r="G216" s="278">
        <v>0.85426964868236011</v>
      </c>
      <c r="H216" s="279">
        <v>0.89891046458076007</v>
      </c>
      <c r="I216" s="237"/>
    </row>
    <row r="217" spans="1:9" ht="17.45" customHeight="1" x14ac:dyDescent="0.2">
      <c r="A217" s="273">
        <v>8.6999999999999993</v>
      </c>
      <c r="B217" s="277">
        <v>0.47092275309519993</v>
      </c>
      <c r="C217" s="278">
        <v>0.60714965979180002</v>
      </c>
      <c r="D217" s="278">
        <v>0.72792710343367995</v>
      </c>
      <c r="E217" s="278">
        <v>0.76814177819815999</v>
      </c>
      <c r="F217" s="278">
        <v>0.80919870588504006</v>
      </c>
      <c r="G217" s="278">
        <v>0.85212634607984017</v>
      </c>
      <c r="H217" s="279">
        <v>0.89734361591064005</v>
      </c>
      <c r="I217" s="237"/>
    </row>
    <row r="218" spans="1:9" ht="17.45" customHeight="1" x14ac:dyDescent="0.2">
      <c r="A218" s="273">
        <v>8.8000000000000007</v>
      </c>
      <c r="B218" s="277">
        <v>0.46685685286759993</v>
      </c>
      <c r="C218" s="278">
        <v>0.60311707708280005</v>
      </c>
      <c r="D218" s="278">
        <v>0.7245400336214799</v>
      </c>
      <c r="E218" s="278">
        <v>0.76509536737135997</v>
      </c>
      <c r="F218" s="278">
        <v>0.80655215316003992</v>
      </c>
      <c r="G218" s="278">
        <v>0.84997454895644009</v>
      </c>
      <c r="H218" s="279">
        <v>0.8957688239036401</v>
      </c>
      <c r="I218" s="237"/>
    </row>
    <row r="219" spans="1:9" ht="17.45" customHeight="1" x14ac:dyDescent="0.2">
      <c r="A219" s="273">
        <v>8.9</v>
      </c>
      <c r="B219" s="290">
        <v>0.46284477634519994</v>
      </c>
      <c r="C219" s="291">
        <v>0.59910319158619996</v>
      </c>
      <c r="D219" s="291">
        <v>0.72115178706992</v>
      </c>
      <c r="E219" s="291">
        <v>0.76204410237664</v>
      </c>
      <c r="F219" s="291">
        <v>0.80389800043535997</v>
      </c>
      <c r="G219" s="291">
        <v>0.84781425731216009</v>
      </c>
      <c r="H219" s="292">
        <v>0.89418608855976012</v>
      </c>
      <c r="I219" s="237"/>
    </row>
    <row r="220" spans="1:9" ht="17.45" customHeight="1" x14ac:dyDescent="0.2">
      <c r="A220" s="273">
        <v>9</v>
      </c>
      <c r="B220" s="287">
        <v>0.45888652352799986</v>
      </c>
      <c r="C220" s="288">
        <v>0.59510800330200009</v>
      </c>
      <c r="D220" s="288">
        <v>0.71776236377899993</v>
      </c>
      <c r="E220" s="288">
        <v>0.75898798321399996</v>
      </c>
      <c r="F220" s="288">
        <v>0.80123624771099999</v>
      </c>
      <c r="G220" s="288">
        <v>0.84564547114700006</v>
      </c>
      <c r="H220" s="289">
        <v>0.8925954098790001</v>
      </c>
      <c r="I220" s="237"/>
    </row>
    <row r="221" spans="1:9" ht="17.45" customHeight="1" x14ac:dyDescent="0.2">
      <c r="A221" s="273">
        <v>9.1</v>
      </c>
      <c r="B221" s="277">
        <v>0.4549820944159999</v>
      </c>
      <c r="C221" s="278">
        <v>0.59113151223020011</v>
      </c>
      <c r="D221" s="278">
        <v>0.71437176374871991</v>
      </c>
      <c r="E221" s="278">
        <v>0.75592700988343997</v>
      </c>
      <c r="F221" s="278">
        <v>0.79856689498695999</v>
      </c>
      <c r="G221" s="278">
        <v>0.84346819046096011</v>
      </c>
      <c r="H221" s="279">
        <v>0.89099678786136005</v>
      </c>
      <c r="I221" s="237"/>
    </row>
    <row r="222" spans="1:9" ht="17.45" customHeight="1" x14ac:dyDescent="0.2">
      <c r="A222" s="273">
        <v>9.1999999999999993</v>
      </c>
      <c r="B222" s="277">
        <v>0.45113148900919997</v>
      </c>
      <c r="C222" s="278">
        <v>0.58717371837080012</v>
      </c>
      <c r="D222" s="278">
        <v>0.71097998697908005</v>
      </c>
      <c r="E222" s="278">
        <v>0.75286118238496003</v>
      </c>
      <c r="F222" s="278">
        <v>0.79588994226323995</v>
      </c>
      <c r="G222" s="278">
        <v>0.84128241525404013</v>
      </c>
      <c r="H222" s="279">
        <v>0.88939022250684008</v>
      </c>
      <c r="I222" s="237"/>
    </row>
    <row r="223" spans="1:9" ht="17.45" customHeight="1" x14ac:dyDescent="0.2">
      <c r="A223" s="273">
        <v>9.3000000000000007</v>
      </c>
      <c r="B223" s="277">
        <v>0.44733470730759994</v>
      </c>
      <c r="C223" s="278">
        <v>0.58323462172379992</v>
      </c>
      <c r="D223" s="278">
        <v>0.7075870334700799</v>
      </c>
      <c r="E223" s="278">
        <v>0.7497905007185599</v>
      </c>
      <c r="F223" s="278">
        <v>0.79320538953983999</v>
      </c>
      <c r="G223" s="278">
        <v>0.83908814552624011</v>
      </c>
      <c r="H223" s="279">
        <v>0.88777571381544007</v>
      </c>
      <c r="I223" s="237"/>
    </row>
    <row r="224" spans="1:9" ht="17.45" customHeight="1" x14ac:dyDescent="0.2">
      <c r="A224" s="273">
        <v>9.4</v>
      </c>
      <c r="B224" s="281">
        <v>0.44359174931119993</v>
      </c>
      <c r="C224" s="282">
        <v>0.57931422228920004</v>
      </c>
      <c r="D224" s="282">
        <v>0.7041929032217199</v>
      </c>
      <c r="E224" s="282">
        <v>0.74671496488423994</v>
      </c>
      <c r="F224" s="282">
        <v>0.79051323681676</v>
      </c>
      <c r="G224" s="282">
        <v>0.83688538127756007</v>
      </c>
      <c r="H224" s="283">
        <v>0.88615326178716014</v>
      </c>
      <c r="I224" s="237"/>
    </row>
    <row r="225" spans="1:12" ht="17.45" customHeight="1" x14ac:dyDescent="0.2">
      <c r="A225" s="273">
        <v>9.5</v>
      </c>
      <c r="B225" s="284">
        <v>0.43990261501999994</v>
      </c>
      <c r="C225" s="285">
        <v>0.57541252006700006</v>
      </c>
      <c r="D225" s="285">
        <v>0.70079759623399984</v>
      </c>
      <c r="E225" s="285">
        <v>0.74363457488199991</v>
      </c>
      <c r="F225" s="285">
        <v>0.78781348409399998</v>
      </c>
      <c r="G225" s="285">
        <v>0.8346741225080001</v>
      </c>
      <c r="H225" s="286">
        <v>0.88452286642200006</v>
      </c>
      <c r="I225" s="237"/>
    </row>
    <row r="226" spans="1:12" ht="17.45" customHeight="1" x14ac:dyDescent="0.2">
      <c r="A226" s="273">
        <v>9.6</v>
      </c>
      <c r="B226" s="277">
        <v>0.43626730443399997</v>
      </c>
      <c r="C226" s="278">
        <v>0.57152951505719995</v>
      </c>
      <c r="D226" s="278">
        <v>0.69740111250691994</v>
      </c>
      <c r="E226" s="278">
        <v>0.74054933071184004</v>
      </c>
      <c r="F226" s="278">
        <v>0.78510613137155993</v>
      </c>
      <c r="G226" s="278">
        <v>0.83245436921756011</v>
      </c>
      <c r="H226" s="279">
        <v>0.88288452771996007</v>
      </c>
      <c r="I226" s="237"/>
    </row>
    <row r="227" spans="1:12" ht="17.45" customHeight="1" x14ac:dyDescent="0.2">
      <c r="A227" s="273">
        <v>9.6999999999999993</v>
      </c>
      <c r="B227" s="277">
        <v>0.43268581755320001</v>
      </c>
      <c r="C227" s="278">
        <v>0.56766520725980008</v>
      </c>
      <c r="D227" s="278">
        <v>0.69400345204047986</v>
      </c>
      <c r="E227" s="278">
        <v>0.73745923237375999</v>
      </c>
      <c r="F227" s="278">
        <v>0.78239117864943997</v>
      </c>
      <c r="G227" s="278">
        <v>0.83022612140624008</v>
      </c>
      <c r="H227" s="279">
        <v>0.88123824568104014</v>
      </c>
      <c r="I227" s="237"/>
    </row>
    <row r="228" spans="1:12" ht="17.45" customHeight="1" x14ac:dyDescent="0.2">
      <c r="A228" s="273">
        <v>9.8000000000000007</v>
      </c>
      <c r="B228" s="277">
        <v>0.42915815437759997</v>
      </c>
      <c r="C228" s="278">
        <v>0.56381959667480008</v>
      </c>
      <c r="D228" s="278">
        <v>0.69060461483467983</v>
      </c>
      <c r="E228" s="278">
        <v>0.73436427986775998</v>
      </c>
      <c r="F228" s="278">
        <v>0.77966862592763997</v>
      </c>
      <c r="G228" s="278">
        <v>0.82798937907404002</v>
      </c>
      <c r="H228" s="279">
        <v>0.87958402030524008</v>
      </c>
      <c r="I228" s="237"/>
    </row>
    <row r="229" spans="1:12" ht="17.45" customHeight="1" x14ac:dyDescent="0.2">
      <c r="A229" s="273">
        <v>9.9</v>
      </c>
      <c r="B229" s="290">
        <v>0.42568431490719993</v>
      </c>
      <c r="C229" s="291">
        <v>0.55999268330219998</v>
      </c>
      <c r="D229" s="291">
        <v>0.68720460088951985</v>
      </c>
      <c r="E229" s="291">
        <v>0.73126447319384003</v>
      </c>
      <c r="F229" s="291">
        <v>0.77693847320615994</v>
      </c>
      <c r="G229" s="291">
        <v>0.82574414222096015</v>
      </c>
      <c r="H229" s="292">
        <v>0.87792185159256009</v>
      </c>
      <c r="I229" s="237"/>
    </row>
    <row r="230" spans="1:12" ht="17.45" customHeight="1" thickBot="1" x14ac:dyDescent="0.25">
      <c r="A230" s="317">
        <v>10</v>
      </c>
      <c r="B230" s="294">
        <v>0.42226429914199992</v>
      </c>
      <c r="C230" s="295">
        <v>0.55618446714199998</v>
      </c>
      <c r="D230" s="295">
        <v>0.68380341020499991</v>
      </c>
      <c r="E230" s="295">
        <v>0.728159812352</v>
      </c>
      <c r="F230" s="295">
        <v>0.77420072048499999</v>
      </c>
      <c r="G230" s="295">
        <v>0.82349041084700014</v>
      </c>
      <c r="H230" s="296">
        <v>0.87625173954300006</v>
      </c>
      <c r="I230" s="237"/>
    </row>
    <row r="231" spans="1:12" ht="17.45" customHeight="1" thickTop="1" thickBot="1" x14ac:dyDescent="0.25">
      <c r="A231" s="317">
        <v>10.000999999999999</v>
      </c>
      <c r="B231" s="294">
        <v>0.42226429914199992</v>
      </c>
      <c r="C231" s="295">
        <v>0.55618446714199998</v>
      </c>
      <c r="D231" s="295">
        <v>0.68380341020499991</v>
      </c>
      <c r="E231" s="295">
        <v>0.728159812352</v>
      </c>
      <c r="F231" s="295">
        <v>0.77420072048499999</v>
      </c>
      <c r="G231" s="295">
        <v>0.82349041084700014</v>
      </c>
      <c r="H231" s="296">
        <v>0.87625173954300006</v>
      </c>
      <c r="I231" s="237"/>
    </row>
    <row r="232" spans="1:12" ht="17.45" customHeight="1" thickTop="1" thickBot="1" x14ac:dyDescent="0.25">
      <c r="A232" s="318"/>
      <c r="B232" s="247"/>
      <c r="C232" s="247"/>
      <c r="D232" s="247"/>
      <c r="E232" s="247"/>
      <c r="F232" s="247"/>
      <c r="G232" s="247"/>
      <c r="H232" s="247"/>
      <c r="I232" s="248"/>
    </row>
    <row r="233" spans="1:12" ht="19.149999999999999" customHeight="1" thickTop="1" thickBot="1" x14ac:dyDescent="0.25">
      <c r="A233" s="231"/>
      <c r="B233" s="231"/>
      <c r="C233" s="231"/>
      <c r="D233" s="231"/>
      <c r="E233" s="231"/>
      <c r="F233" s="231"/>
      <c r="G233" s="231"/>
      <c r="H233" s="231"/>
      <c r="I233" s="231"/>
    </row>
    <row r="234" spans="1:12" ht="28.9" customHeight="1" thickTop="1" thickBot="1" x14ac:dyDescent="0.25">
      <c r="A234" s="696" t="s">
        <v>142</v>
      </c>
      <c r="B234" s="697"/>
      <c r="C234" s="697"/>
      <c r="D234" s="697"/>
      <c r="E234" s="260"/>
      <c r="F234" s="260"/>
      <c r="G234" s="260"/>
      <c r="H234" s="260"/>
      <c r="I234" s="260"/>
      <c r="J234" s="260"/>
      <c r="K234" s="260"/>
      <c r="L234" s="261"/>
    </row>
    <row r="235" spans="1:12" ht="25.15" customHeight="1" thickBot="1" x14ac:dyDescent="0.25">
      <c r="A235" s="319" t="s">
        <v>98</v>
      </c>
      <c r="B235" s="320" t="s">
        <v>99</v>
      </c>
      <c r="C235" s="298"/>
      <c r="D235" s="298"/>
      <c r="E235" s="231"/>
      <c r="F235" s="231"/>
      <c r="G235" s="231"/>
      <c r="H235" s="231"/>
      <c r="I235" s="231"/>
      <c r="J235" s="231"/>
      <c r="K235" s="231"/>
      <c r="L235" s="237"/>
    </row>
    <row r="236" spans="1:12" ht="17.45" customHeight="1" thickTop="1" x14ac:dyDescent="0.25">
      <c r="A236" s="303">
        <v>4</v>
      </c>
      <c r="B236" s="321">
        <v>0.97219509915315594</v>
      </c>
      <c r="C236" s="298"/>
      <c r="D236" s="322" t="s">
        <v>100</v>
      </c>
      <c r="E236" s="231"/>
      <c r="F236" s="231"/>
      <c r="G236" s="231"/>
      <c r="H236" s="231"/>
      <c r="I236" s="231"/>
      <c r="J236" s="231"/>
      <c r="K236" s="231"/>
      <c r="L236" s="237"/>
    </row>
    <row r="237" spans="1:12" ht="17.45" customHeight="1" x14ac:dyDescent="0.2">
      <c r="A237" s="306">
        <v>5</v>
      </c>
      <c r="B237" s="323">
        <v>0.97852186926765217</v>
      </c>
      <c r="C237" s="298"/>
      <c r="D237" s="298"/>
      <c r="E237" s="231"/>
      <c r="F237" s="231"/>
      <c r="G237" s="231"/>
      <c r="H237" s="231"/>
      <c r="I237" s="231"/>
      <c r="J237" s="231"/>
      <c r="K237" s="231"/>
      <c r="L237" s="237"/>
    </row>
    <row r="238" spans="1:12" ht="17.45" customHeight="1" x14ac:dyDescent="0.2">
      <c r="A238" s="303">
        <v>6</v>
      </c>
      <c r="B238" s="321">
        <v>0.98398216333717115</v>
      </c>
      <c r="C238" s="298"/>
      <c r="D238" s="298"/>
      <c r="E238" s="231"/>
      <c r="F238" s="231"/>
      <c r="G238" s="231"/>
      <c r="H238" s="231"/>
      <c r="I238" s="231"/>
      <c r="J238" s="231"/>
      <c r="K238" s="231"/>
      <c r="L238" s="237"/>
    </row>
    <row r="239" spans="1:12" ht="17.45" customHeight="1" x14ac:dyDescent="0.2">
      <c r="A239" s="303">
        <v>7</v>
      </c>
      <c r="B239" s="321">
        <v>0.98874018611082837</v>
      </c>
      <c r="C239" s="298"/>
      <c r="D239" s="298"/>
      <c r="E239" s="231"/>
      <c r="F239" s="231"/>
      <c r="G239" s="231"/>
      <c r="H239" s="231"/>
      <c r="I239" s="231"/>
      <c r="J239" s="231"/>
      <c r="K239" s="231"/>
      <c r="L239" s="237"/>
    </row>
    <row r="240" spans="1:12" ht="17.45" customHeight="1" x14ac:dyDescent="0.2">
      <c r="A240" s="303">
        <v>8</v>
      </c>
      <c r="B240" s="321">
        <v>0.99291188526001639</v>
      </c>
      <c r="C240" s="298"/>
      <c r="D240" s="298"/>
      <c r="E240" s="231"/>
      <c r="F240" s="231"/>
      <c r="G240" s="231"/>
      <c r="H240" s="231"/>
      <c r="I240" s="231"/>
      <c r="J240" s="231"/>
      <c r="K240" s="231"/>
      <c r="L240" s="237"/>
    </row>
    <row r="241" spans="1:12" ht="17.45" customHeight="1" x14ac:dyDescent="0.2">
      <c r="A241" s="303">
        <v>9</v>
      </c>
      <c r="B241" s="321">
        <v>0.99663895875988417</v>
      </c>
      <c r="C241" s="298"/>
      <c r="D241" s="298"/>
      <c r="E241" s="231"/>
      <c r="F241" s="231"/>
      <c r="G241" s="231"/>
      <c r="H241" s="231"/>
      <c r="I241" s="231"/>
      <c r="J241" s="231"/>
      <c r="K241" s="231"/>
      <c r="L241" s="237"/>
    </row>
    <row r="242" spans="1:12" ht="17.45" customHeight="1" x14ac:dyDescent="0.2">
      <c r="A242" s="306">
        <v>10</v>
      </c>
      <c r="B242" s="323">
        <v>0.99999317620204053</v>
      </c>
      <c r="C242" s="298"/>
      <c r="D242" s="298"/>
      <c r="E242" s="231"/>
      <c r="F242" s="231"/>
      <c r="G242" s="231"/>
      <c r="H242" s="231"/>
      <c r="I242" s="231"/>
      <c r="J242" s="231"/>
      <c r="K242" s="231"/>
      <c r="L242" s="237"/>
    </row>
    <row r="243" spans="1:12" ht="17.45" customHeight="1" x14ac:dyDescent="0.2">
      <c r="A243" s="303">
        <v>11</v>
      </c>
      <c r="B243" s="321">
        <v>1.0030219457519551</v>
      </c>
      <c r="C243" s="298"/>
      <c r="D243" s="298"/>
      <c r="E243" s="231"/>
      <c r="F243" s="231"/>
      <c r="G243" s="231"/>
      <c r="H243" s="231"/>
      <c r="I243" s="231"/>
      <c r="J243" s="231"/>
      <c r="K243" s="231"/>
      <c r="L243" s="237"/>
    </row>
    <row r="244" spans="1:12" ht="17.45" customHeight="1" x14ac:dyDescent="0.2">
      <c r="A244" s="303">
        <v>12</v>
      </c>
      <c r="B244" s="321">
        <v>1.005770972831258</v>
      </c>
      <c r="C244" s="298"/>
      <c r="D244" s="298"/>
      <c r="E244" s="231"/>
      <c r="F244" s="231"/>
      <c r="G244" s="231"/>
      <c r="H244" s="231"/>
      <c r="I244" s="231"/>
      <c r="J244" s="231"/>
      <c r="K244" s="231"/>
      <c r="L244" s="237"/>
    </row>
    <row r="245" spans="1:12" ht="17.45" customHeight="1" x14ac:dyDescent="0.2">
      <c r="A245" s="303">
        <v>13</v>
      </c>
      <c r="B245" s="321">
        <v>1.0082915220145801</v>
      </c>
      <c r="C245" s="298"/>
      <c r="D245" s="298"/>
      <c r="E245" s="231"/>
      <c r="F245" s="231"/>
      <c r="G245" s="231"/>
      <c r="H245" s="231"/>
      <c r="I245" s="231"/>
      <c r="J245" s="231"/>
      <c r="K245" s="231"/>
      <c r="L245" s="237"/>
    </row>
    <row r="246" spans="1:12" ht="17.45" customHeight="1" x14ac:dyDescent="0.2">
      <c r="A246" s="303">
        <v>14</v>
      </c>
      <c r="B246" s="321">
        <v>1.0106117116576132</v>
      </c>
      <c r="C246" s="298"/>
      <c r="D246" s="298"/>
      <c r="E246" s="231"/>
      <c r="F246" s="231"/>
      <c r="G246" s="231"/>
      <c r="H246" s="231"/>
      <c r="I246" s="231"/>
      <c r="J246" s="231"/>
      <c r="K246" s="231"/>
      <c r="L246" s="237"/>
    </row>
    <row r="247" spans="1:12" ht="17.45" customHeight="1" x14ac:dyDescent="0.2">
      <c r="A247" s="306">
        <v>15</v>
      </c>
      <c r="B247" s="323">
        <v>1.0127472144493319</v>
      </c>
      <c r="C247" s="298"/>
      <c r="D247" s="298"/>
      <c r="E247" s="231"/>
      <c r="F247" s="231"/>
      <c r="G247" s="231"/>
      <c r="H247" s="231"/>
      <c r="I247" s="231"/>
      <c r="J247" s="231"/>
      <c r="K247" s="231"/>
      <c r="L247" s="237"/>
    </row>
    <row r="248" spans="1:12" ht="17.45" customHeight="1" x14ac:dyDescent="0.2">
      <c r="A248" s="303">
        <v>16</v>
      </c>
      <c r="B248" s="321">
        <v>1.0147231846034606</v>
      </c>
      <c r="C248" s="298"/>
      <c r="D248" s="298"/>
      <c r="E248" s="231"/>
      <c r="F248" s="231"/>
      <c r="G248" s="231"/>
      <c r="H248" s="231"/>
      <c r="I248" s="231"/>
      <c r="J248" s="231"/>
      <c r="K248" s="231"/>
      <c r="L248" s="237"/>
    </row>
    <row r="249" spans="1:12" ht="17.45" customHeight="1" x14ac:dyDescent="0.2">
      <c r="A249" s="303">
        <v>17</v>
      </c>
      <c r="B249" s="321">
        <v>1.0165620192124696</v>
      </c>
      <c r="C249" s="298"/>
      <c r="D249" s="298"/>
      <c r="E249" s="231"/>
      <c r="F249" s="231"/>
      <c r="G249" s="231"/>
      <c r="H249" s="231"/>
      <c r="I249" s="231"/>
      <c r="J249" s="231"/>
      <c r="K249" s="231"/>
      <c r="L249" s="237"/>
    </row>
    <row r="250" spans="1:12" ht="17.45" customHeight="1" x14ac:dyDescent="0.2">
      <c r="A250" s="303">
        <v>18</v>
      </c>
      <c r="B250" s="321">
        <v>1.0182774081603918</v>
      </c>
      <c r="C250" s="298"/>
      <c r="D250" s="298"/>
      <c r="E250" s="231"/>
      <c r="F250" s="231"/>
      <c r="G250" s="231"/>
      <c r="H250" s="231"/>
      <c r="I250" s="231"/>
      <c r="J250" s="231"/>
      <c r="K250" s="231"/>
      <c r="L250" s="237"/>
    </row>
    <row r="251" spans="1:12" ht="17.45" customHeight="1" x14ac:dyDescent="0.2">
      <c r="A251" s="303">
        <v>19</v>
      </c>
      <c r="B251" s="321">
        <v>1.0198741613262179</v>
      </c>
      <c r="C251" s="298"/>
      <c r="D251" s="298"/>
      <c r="E251" s="231"/>
      <c r="F251" s="231"/>
      <c r="G251" s="231"/>
      <c r="H251" s="231"/>
      <c r="I251" s="231"/>
      <c r="J251" s="231"/>
      <c r="K251" s="231"/>
      <c r="L251" s="237"/>
    </row>
    <row r="252" spans="1:12" ht="17.45" customHeight="1" x14ac:dyDescent="0.2">
      <c r="A252" s="306">
        <v>20</v>
      </c>
      <c r="B252" s="323">
        <v>1.0213696161372745</v>
      </c>
      <c r="C252" s="298"/>
      <c r="D252" s="298"/>
      <c r="E252" s="231"/>
      <c r="F252" s="231"/>
      <c r="G252" s="231"/>
      <c r="H252" s="231"/>
      <c r="I252" s="231"/>
      <c r="J252" s="231"/>
      <c r="K252" s="231"/>
      <c r="L252" s="237"/>
    </row>
    <row r="253" spans="1:12" ht="17.45" customHeight="1" x14ac:dyDescent="0.2">
      <c r="A253" s="303">
        <v>21</v>
      </c>
      <c r="B253" s="321">
        <v>1.0227745153469625</v>
      </c>
      <c r="C253" s="298"/>
      <c r="D253" s="298"/>
      <c r="E253" s="231"/>
      <c r="F253" s="231"/>
      <c r="G253" s="231"/>
      <c r="H253" s="231"/>
      <c r="I253" s="231"/>
      <c r="J253" s="231"/>
      <c r="K253" s="231"/>
      <c r="L253" s="237"/>
    </row>
    <row r="254" spans="1:12" ht="17.45" customHeight="1" x14ac:dyDescent="0.2">
      <c r="A254" s="303">
        <v>22</v>
      </c>
      <c r="B254" s="321">
        <v>1.0240964913509301</v>
      </c>
      <c r="C254" s="298"/>
      <c r="D254" s="298"/>
      <c r="E254" s="231"/>
      <c r="F254" s="231"/>
      <c r="G254" s="231"/>
      <c r="H254" s="231"/>
      <c r="I254" s="231"/>
      <c r="J254" s="231"/>
      <c r="K254" s="231"/>
      <c r="L254" s="237"/>
    </row>
    <row r="255" spans="1:12" ht="17.45" customHeight="1" x14ac:dyDescent="0.2">
      <c r="A255" s="303">
        <v>23</v>
      </c>
      <c r="B255" s="321">
        <v>1.0253359721416582</v>
      </c>
      <c r="C255" s="298"/>
      <c r="D255" s="298"/>
      <c r="E255" s="231"/>
      <c r="F255" s="231"/>
      <c r="G255" s="231"/>
      <c r="H255" s="231"/>
      <c r="I255" s="231"/>
      <c r="J255" s="231"/>
      <c r="K255" s="231"/>
      <c r="L255" s="237"/>
    </row>
    <row r="256" spans="1:12" ht="17.45" customHeight="1" x14ac:dyDescent="0.2">
      <c r="A256" s="303">
        <v>24</v>
      </c>
      <c r="B256" s="321">
        <v>1.0265064882894495</v>
      </c>
      <c r="C256" s="298"/>
      <c r="D256" s="298"/>
      <c r="E256" s="231"/>
      <c r="F256" s="231"/>
      <c r="G256" s="231"/>
      <c r="H256" s="231"/>
      <c r="I256" s="231"/>
      <c r="J256" s="231"/>
      <c r="K256" s="231"/>
      <c r="L256" s="237"/>
    </row>
    <row r="257" spans="1:12" ht="17.45" customHeight="1" x14ac:dyDescent="0.2">
      <c r="A257" s="306">
        <v>25</v>
      </c>
      <c r="B257" s="323">
        <v>1.027613133440757</v>
      </c>
      <c r="C257" s="298"/>
      <c r="D257" s="298"/>
      <c r="E257" s="231"/>
      <c r="F257" s="231"/>
      <c r="G257" s="231"/>
      <c r="H257" s="231"/>
      <c r="I257" s="231"/>
      <c r="J257" s="231"/>
      <c r="K257" s="231"/>
      <c r="L257" s="237"/>
    </row>
    <row r="258" spans="1:12" ht="17.45" customHeight="1" x14ac:dyDescent="0.2">
      <c r="A258" s="303">
        <v>26</v>
      </c>
      <c r="B258" s="321">
        <v>1.0286596835601212</v>
      </c>
      <c r="C258" s="298"/>
      <c r="D258" s="298"/>
      <c r="E258" s="231"/>
      <c r="F258" s="231"/>
      <c r="G258" s="231"/>
      <c r="H258" s="231"/>
      <c r="I258" s="231"/>
      <c r="J258" s="231"/>
      <c r="K258" s="231"/>
      <c r="L258" s="237"/>
    </row>
    <row r="259" spans="1:12" ht="17.45" customHeight="1" x14ac:dyDescent="0.2">
      <c r="A259" s="303">
        <v>27</v>
      </c>
      <c r="B259" s="321">
        <v>1.029647797333276</v>
      </c>
      <c r="C259" s="298"/>
      <c r="D259" s="298"/>
      <c r="E259" s="231"/>
      <c r="F259" s="231"/>
      <c r="G259" s="231"/>
      <c r="H259" s="231"/>
      <c r="I259" s="231"/>
      <c r="J259" s="231"/>
      <c r="K259" s="231"/>
      <c r="L259" s="237"/>
    </row>
    <row r="260" spans="1:12" ht="17.45" customHeight="1" x14ac:dyDescent="0.2">
      <c r="A260" s="303">
        <v>28</v>
      </c>
      <c r="B260" s="321">
        <v>1.0305853656633377</v>
      </c>
      <c r="C260" s="298"/>
      <c r="D260" s="298"/>
      <c r="E260" s="231"/>
      <c r="F260" s="231"/>
      <c r="G260" s="231"/>
      <c r="H260" s="231"/>
      <c r="I260" s="231"/>
      <c r="J260" s="231"/>
      <c r="K260" s="231"/>
      <c r="L260" s="237"/>
    </row>
    <row r="261" spans="1:12" ht="17.45" customHeight="1" x14ac:dyDescent="0.2">
      <c r="A261" s="303">
        <v>29</v>
      </c>
      <c r="B261" s="321">
        <v>1.0314758021641564</v>
      </c>
      <c r="C261" s="298"/>
      <c r="D261" s="298"/>
      <c r="E261" s="231"/>
      <c r="F261" s="231"/>
      <c r="G261" s="231"/>
      <c r="H261" s="231"/>
      <c r="I261" s="231"/>
      <c r="J261" s="231"/>
      <c r="K261" s="231"/>
      <c r="L261" s="237"/>
    </row>
    <row r="262" spans="1:12" ht="17.45" customHeight="1" x14ac:dyDescent="0.2">
      <c r="A262" s="306">
        <v>30</v>
      </c>
      <c r="B262" s="323">
        <v>1.0323208022528201</v>
      </c>
      <c r="C262" s="298"/>
      <c r="D262" s="298"/>
      <c r="E262" s="231"/>
      <c r="F262" s="231"/>
      <c r="G262" s="231"/>
      <c r="H262" s="231"/>
      <c r="I262" s="231"/>
      <c r="J262" s="231"/>
      <c r="K262" s="231"/>
      <c r="L262" s="237"/>
    </row>
    <row r="263" spans="1:12" ht="17.45" customHeight="1" x14ac:dyDescent="0.2">
      <c r="A263" s="303">
        <v>31</v>
      </c>
      <c r="B263" s="321">
        <v>1.0331225656421024</v>
      </c>
      <c r="C263" s="298"/>
      <c r="D263" s="298"/>
      <c r="E263" s="231"/>
      <c r="F263" s="231"/>
      <c r="G263" s="231"/>
      <c r="H263" s="231"/>
      <c r="I263" s="231"/>
      <c r="J263" s="231"/>
      <c r="K263" s="231"/>
      <c r="L263" s="237"/>
    </row>
    <row r="264" spans="1:12" ht="17.45" customHeight="1" x14ac:dyDescent="0.2">
      <c r="A264" s="303">
        <v>32</v>
      </c>
      <c r="B264" s="321">
        <v>1.0338860827834513</v>
      </c>
      <c r="C264" s="298"/>
      <c r="D264" s="298"/>
      <c r="E264" s="231"/>
      <c r="F264" s="231"/>
      <c r="G264" s="231"/>
      <c r="H264" s="231"/>
      <c r="I264" s="231"/>
      <c r="J264" s="231"/>
      <c r="K264" s="231"/>
      <c r="L264" s="237"/>
    </row>
    <row r="265" spans="1:12" ht="17.45" customHeight="1" x14ac:dyDescent="0.2">
      <c r="A265" s="303">
        <v>33</v>
      </c>
      <c r="B265" s="321">
        <v>1.0346135542543713</v>
      </c>
      <c r="C265" s="298"/>
      <c r="D265" s="298"/>
      <c r="E265" s="231"/>
      <c r="F265" s="231"/>
      <c r="G265" s="231"/>
      <c r="H265" s="231"/>
      <c r="I265" s="231"/>
      <c r="J265" s="231"/>
      <c r="K265" s="231"/>
      <c r="L265" s="237"/>
    </row>
    <row r="266" spans="1:12" ht="17.45" customHeight="1" x14ac:dyDescent="0.2">
      <c r="A266" s="303">
        <v>34</v>
      </c>
      <c r="B266" s="321">
        <v>1.0353054884406778</v>
      </c>
      <c r="C266" s="298"/>
      <c r="D266" s="298"/>
      <c r="E266" s="231"/>
      <c r="F266" s="231"/>
      <c r="G266" s="231"/>
      <c r="H266" s="231"/>
      <c r="I266" s="231"/>
      <c r="J266" s="231"/>
      <c r="K266" s="231"/>
      <c r="L266" s="237"/>
    </row>
    <row r="267" spans="1:12" ht="17.45" customHeight="1" x14ac:dyDescent="0.2">
      <c r="A267" s="306">
        <v>35</v>
      </c>
      <c r="B267" s="323">
        <v>1.0359645602017971</v>
      </c>
      <c r="C267" s="298"/>
      <c r="D267" s="298"/>
      <c r="E267" s="231"/>
      <c r="F267" s="231"/>
      <c r="G267" s="231"/>
      <c r="H267" s="231"/>
      <c r="I267" s="231"/>
      <c r="J267" s="231"/>
      <c r="K267" s="231"/>
      <c r="L267" s="237"/>
    </row>
    <row r="268" spans="1:12" ht="17.45" customHeight="1" x14ac:dyDescent="0.2">
      <c r="A268" s="303">
        <v>36</v>
      </c>
      <c r="B268" s="321">
        <v>1.0365938212692376</v>
      </c>
      <c r="C268" s="298"/>
      <c r="D268" s="298"/>
      <c r="E268" s="231"/>
      <c r="F268" s="231"/>
      <c r="G268" s="231"/>
      <c r="H268" s="231"/>
      <c r="I268" s="231"/>
      <c r="J268" s="231"/>
      <c r="K268" s="231"/>
      <c r="L268" s="237"/>
    </row>
    <row r="269" spans="1:12" ht="17.45" customHeight="1" x14ac:dyDescent="0.2">
      <c r="A269" s="303">
        <v>37</v>
      </c>
      <c r="B269" s="321">
        <v>1.0371946415944511</v>
      </c>
      <c r="C269" s="298"/>
      <c r="D269" s="298"/>
      <c r="E269" s="231"/>
      <c r="F269" s="231"/>
      <c r="G269" s="231"/>
      <c r="H269" s="231"/>
      <c r="I269" s="231"/>
      <c r="J269" s="231"/>
      <c r="K269" s="231"/>
      <c r="L269" s="237"/>
    </row>
    <row r="270" spans="1:12" ht="17.45" customHeight="1" x14ac:dyDescent="0.2">
      <c r="A270" s="303">
        <v>38</v>
      </c>
      <c r="B270" s="321">
        <v>1.0377669982211395</v>
      </c>
      <c r="C270" s="298"/>
      <c r="D270" s="298"/>
      <c r="E270" s="231"/>
      <c r="F270" s="231"/>
      <c r="G270" s="231"/>
      <c r="H270" s="231"/>
      <c r="I270" s="231"/>
      <c r="J270" s="231"/>
      <c r="K270" s="231"/>
      <c r="L270" s="237"/>
    </row>
    <row r="271" spans="1:12" ht="17.45" customHeight="1" x14ac:dyDescent="0.2">
      <c r="A271" s="303">
        <v>39</v>
      </c>
      <c r="B271" s="321">
        <v>1.0383138104835565</v>
      </c>
      <c r="C271" s="298"/>
      <c r="D271" s="298"/>
      <c r="E271" s="231"/>
      <c r="F271" s="231"/>
      <c r="G271" s="231"/>
      <c r="H271" s="231"/>
      <c r="I271" s="231"/>
      <c r="J271" s="231"/>
      <c r="K271" s="231"/>
      <c r="L271" s="237"/>
    </row>
    <row r="272" spans="1:12" ht="17.45" customHeight="1" x14ac:dyDescent="0.2">
      <c r="A272" s="324">
        <v>40</v>
      </c>
      <c r="B272" s="325">
        <v>1.0388366303787386</v>
      </c>
      <c r="C272" s="298"/>
      <c r="D272" s="298"/>
      <c r="E272" s="231"/>
      <c r="F272" s="231"/>
      <c r="G272" s="231"/>
      <c r="H272" s="231"/>
      <c r="I272" s="231"/>
      <c r="J272" s="231"/>
      <c r="K272" s="231"/>
      <c r="L272" s="237"/>
    </row>
    <row r="273" spans="1:12" ht="17.45" customHeight="1" x14ac:dyDescent="0.2">
      <c r="A273" s="324">
        <v>41</v>
      </c>
      <c r="B273" s="325">
        <v>1.0393369216232435</v>
      </c>
      <c r="C273" s="298"/>
      <c r="D273" s="298"/>
      <c r="E273" s="231"/>
      <c r="F273" s="231"/>
      <c r="G273" s="231"/>
      <c r="H273" s="231"/>
      <c r="I273" s="231"/>
      <c r="J273" s="231"/>
      <c r="K273" s="231"/>
      <c r="L273" s="237"/>
    </row>
    <row r="274" spans="1:12" ht="17.45" customHeight="1" x14ac:dyDescent="0.2">
      <c r="A274" s="324">
        <v>42</v>
      </c>
      <c r="B274" s="325">
        <v>1.0398137456205867</v>
      </c>
      <c r="C274" s="298"/>
      <c r="D274" s="298"/>
      <c r="E274" s="231"/>
      <c r="F274" s="231"/>
      <c r="G274" s="231"/>
      <c r="H274" s="231"/>
      <c r="I274" s="231"/>
      <c r="J274" s="231"/>
      <c r="K274" s="231"/>
      <c r="L274" s="237"/>
    </row>
    <row r="275" spans="1:12" ht="17.45" customHeight="1" x14ac:dyDescent="0.2">
      <c r="A275" s="324">
        <v>43</v>
      </c>
      <c r="B275" s="325">
        <v>1.040270242206903</v>
      </c>
      <c r="C275" s="298"/>
      <c r="D275" s="298"/>
      <c r="E275" s="231"/>
      <c r="F275" s="231"/>
      <c r="G275" s="231"/>
      <c r="H275" s="231"/>
      <c r="I275" s="231"/>
      <c r="J275" s="231"/>
      <c r="K275" s="231"/>
      <c r="L275" s="237"/>
    </row>
    <row r="276" spans="1:12" ht="17.45" customHeight="1" x14ac:dyDescent="0.2">
      <c r="A276" s="324">
        <v>44</v>
      </c>
      <c r="B276" s="325">
        <v>1.0407073448645285</v>
      </c>
      <c r="C276" s="298"/>
      <c r="D276" s="298"/>
      <c r="E276" s="231"/>
      <c r="F276" s="231"/>
      <c r="G276" s="231"/>
      <c r="H276" s="231"/>
      <c r="I276" s="231"/>
      <c r="J276" s="231"/>
      <c r="K276" s="231"/>
      <c r="L276" s="237"/>
    </row>
    <row r="277" spans="1:12" ht="17.45" customHeight="1" x14ac:dyDescent="0.2">
      <c r="A277" s="324">
        <v>45</v>
      </c>
      <c r="B277" s="325">
        <v>1.0411255245788198</v>
      </c>
      <c r="C277" s="298"/>
      <c r="D277" s="298"/>
      <c r="E277" s="231"/>
      <c r="F277" s="231"/>
      <c r="G277" s="231"/>
      <c r="H277" s="231"/>
      <c r="I277" s="231"/>
      <c r="J277" s="231"/>
      <c r="K277" s="231"/>
      <c r="L277" s="237"/>
    </row>
    <row r="278" spans="1:12" ht="17.45" customHeight="1" x14ac:dyDescent="0.2">
      <c r="A278" s="324">
        <v>46</v>
      </c>
      <c r="B278" s="325">
        <v>1.041524963479622</v>
      </c>
      <c r="C278" s="298"/>
      <c r="D278" s="298"/>
      <c r="E278" s="231"/>
      <c r="F278" s="231"/>
      <c r="G278" s="231"/>
      <c r="H278" s="231"/>
      <c r="I278" s="231"/>
      <c r="J278" s="231"/>
      <c r="K278" s="231"/>
      <c r="L278" s="237"/>
    </row>
    <row r="279" spans="1:12" ht="17.45" customHeight="1" x14ac:dyDescent="0.2">
      <c r="A279" s="324">
        <v>47</v>
      </c>
      <c r="B279" s="325">
        <v>1.0419076000737695</v>
      </c>
      <c r="C279" s="298"/>
      <c r="D279" s="298"/>
      <c r="E279" s="231"/>
      <c r="F279" s="231"/>
      <c r="G279" s="231"/>
      <c r="H279" s="231"/>
      <c r="I279" s="231"/>
      <c r="J279" s="231"/>
      <c r="K279" s="231"/>
      <c r="L279" s="237"/>
    </row>
    <row r="280" spans="1:12" ht="17.45" customHeight="1" x14ac:dyDescent="0.2">
      <c r="A280" s="324">
        <v>48</v>
      </c>
      <c r="B280" s="325">
        <v>1.0422742314749023</v>
      </c>
      <c r="C280" s="298"/>
      <c r="D280" s="298"/>
      <c r="E280" s="231"/>
      <c r="F280" s="231"/>
      <c r="G280" s="231"/>
      <c r="H280" s="231"/>
      <c r="I280" s="231"/>
      <c r="J280" s="231"/>
      <c r="K280" s="231"/>
      <c r="L280" s="237"/>
    </row>
    <row r="281" spans="1:12" ht="17.45" customHeight="1" x14ac:dyDescent="0.2">
      <c r="A281" s="324">
        <v>49</v>
      </c>
      <c r="B281" s="325">
        <v>1.0426249386255868</v>
      </c>
      <c r="C281" s="298"/>
      <c r="D281" s="298"/>
      <c r="E281" s="231"/>
      <c r="F281" s="231"/>
      <c r="G281" s="231"/>
      <c r="H281" s="231"/>
      <c r="I281" s="231"/>
      <c r="J281" s="231"/>
      <c r="K281" s="231"/>
      <c r="L281" s="237"/>
    </row>
    <row r="282" spans="1:12" ht="17.45" customHeight="1" x14ac:dyDescent="0.2">
      <c r="A282" s="324">
        <v>50</v>
      </c>
      <c r="B282" s="325">
        <v>1.0429603432697807</v>
      </c>
      <c r="C282" s="298"/>
      <c r="D282" s="298"/>
      <c r="E282" s="231"/>
      <c r="F282" s="231"/>
      <c r="G282" s="231"/>
      <c r="H282" s="231"/>
      <c r="I282" s="231"/>
      <c r="J282" s="231"/>
      <c r="K282" s="231"/>
      <c r="L282" s="237"/>
    </row>
    <row r="283" spans="1:12" ht="17.45" customHeight="1" x14ac:dyDescent="0.2">
      <c r="A283" s="324">
        <v>51</v>
      </c>
      <c r="B283" s="325">
        <v>1.0432817695046539</v>
      </c>
      <c r="C283" s="298"/>
      <c r="D283" s="298"/>
      <c r="E283" s="231"/>
      <c r="F283" s="231"/>
      <c r="G283" s="231"/>
      <c r="H283" s="231"/>
      <c r="I283" s="231"/>
      <c r="J283" s="231"/>
      <c r="K283" s="231"/>
      <c r="L283" s="237"/>
    </row>
    <row r="284" spans="1:12" ht="17.45" customHeight="1" x14ac:dyDescent="0.2">
      <c r="A284" s="324">
        <v>52</v>
      </c>
      <c r="B284" s="325">
        <v>1.0435897808037728</v>
      </c>
      <c r="C284" s="298"/>
      <c r="D284" s="298"/>
      <c r="E284" s="231"/>
      <c r="F284" s="231"/>
      <c r="G284" s="231"/>
      <c r="H284" s="231"/>
      <c r="I284" s="231"/>
      <c r="J284" s="231"/>
      <c r="K284" s="231"/>
      <c r="L284" s="237"/>
    </row>
    <row r="285" spans="1:12" ht="17.45" customHeight="1" x14ac:dyDescent="0.2">
      <c r="A285" s="324">
        <v>53</v>
      </c>
      <c r="B285" s="325">
        <v>1.0438842159434343</v>
      </c>
      <c r="C285" s="298"/>
      <c r="D285" s="298"/>
      <c r="E285" s="231"/>
      <c r="F285" s="231"/>
      <c r="G285" s="231"/>
      <c r="H285" s="231"/>
      <c r="I285" s="231"/>
      <c r="J285" s="231"/>
      <c r="K285" s="231"/>
      <c r="L285" s="237"/>
    </row>
    <row r="286" spans="1:12" ht="17.45" customHeight="1" x14ac:dyDescent="0.2">
      <c r="A286" s="324">
        <v>54</v>
      </c>
      <c r="B286" s="325">
        <v>1.0441658882734217</v>
      </c>
      <c r="C286" s="298"/>
      <c r="D286" s="298"/>
      <c r="E286" s="231"/>
      <c r="F286" s="231"/>
      <c r="G286" s="231"/>
      <c r="H286" s="231"/>
      <c r="I286" s="231"/>
      <c r="J286" s="231"/>
      <c r="K286" s="231"/>
      <c r="L286" s="237"/>
    </row>
    <row r="287" spans="1:12" ht="17.45" customHeight="1" x14ac:dyDescent="0.2">
      <c r="A287" s="324">
        <v>55</v>
      </c>
      <c r="B287" s="325">
        <v>1.0444358279359072</v>
      </c>
      <c r="C287" s="298"/>
      <c r="D287" s="298"/>
      <c r="E287" s="231"/>
      <c r="F287" s="231"/>
      <c r="G287" s="231"/>
      <c r="H287" s="231"/>
      <c r="I287" s="231"/>
      <c r="J287" s="231"/>
      <c r="K287" s="231"/>
      <c r="L287" s="237"/>
    </row>
    <row r="288" spans="1:12" ht="17.45" customHeight="1" x14ac:dyDescent="0.2">
      <c r="A288" s="324">
        <v>56</v>
      </c>
      <c r="B288" s="325">
        <v>1.0446943620868558</v>
      </c>
      <c r="C288" s="298"/>
      <c r="D288" s="298"/>
      <c r="E288" s="231"/>
      <c r="F288" s="231"/>
      <c r="G288" s="231"/>
      <c r="H288" s="231"/>
      <c r="I288" s="231"/>
      <c r="J288" s="231"/>
      <c r="K288" s="231"/>
      <c r="L288" s="237"/>
    </row>
    <row r="289" spans="1:40" ht="17.45" customHeight="1" x14ac:dyDescent="0.2">
      <c r="A289" s="324">
        <v>57</v>
      </c>
      <c r="B289" s="325">
        <v>1.0449413320915824</v>
      </c>
      <c r="C289" s="298"/>
      <c r="D289" s="298"/>
      <c r="E289" s="231"/>
      <c r="F289" s="231"/>
      <c r="G289" s="231"/>
      <c r="H289" s="231"/>
      <c r="I289" s="231"/>
      <c r="J289" s="231"/>
      <c r="K289" s="231"/>
      <c r="L289" s="237"/>
    </row>
    <row r="290" spans="1:40" ht="17.45" customHeight="1" x14ac:dyDescent="0.2">
      <c r="A290" s="324">
        <v>58</v>
      </c>
      <c r="B290" s="325">
        <v>1.0451776296771673</v>
      </c>
      <c r="C290" s="298"/>
      <c r="D290" s="298"/>
      <c r="E290" s="231"/>
      <c r="F290" s="231"/>
      <c r="G290" s="231"/>
      <c r="H290" s="231"/>
      <c r="I290" s="231"/>
      <c r="J290" s="231"/>
      <c r="K290" s="231"/>
      <c r="L290" s="237"/>
    </row>
    <row r="291" spans="1:40" ht="17.45" customHeight="1" thickBot="1" x14ac:dyDescent="0.25">
      <c r="A291" s="326">
        <v>59</v>
      </c>
      <c r="B291" s="327">
        <v>1.0454037762988517</v>
      </c>
      <c r="C291" s="298"/>
      <c r="D291" s="298"/>
      <c r="E291" s="231"/>
      <c r="F291" s="231"/>
      <c r="G291" s="231"/>
      <c r="H291" s="231"/>
      <c r="I291" s="231"/>
      <c r="J291" s="231"/>
      <c r="K291" s="231"/>
      <c r="L291" s="237"/>
    </row>
    <row r="292" spans="1:40" ht="17.45" customHeight="1" thickBot="1" x14ac:dyDescent="0.25">
      <c r="A292" s="326">
        <v>59.000999999999998</v>
      </c>
      <c r="B292" s="327">
        <v>1.0454037762988517</v>
      </c>
      <c r="C292" s="298"/>
      <c r="D292" s="298"/>
      <c r="E292" s="231"/>
      <c r="F292" s="231"/>
      <c r="G292" s="231"/>
      <c r="H292" s="231"/>
      <c r="I292" s="231"/>
      <c r="J292" s="231"/>
      <c r="K292" s="231"/>
      <c r="L292" s="237"/>
    </row>
    <row r="293" spans="1:40" ht="17.45" customHeight="1" thickBot="1" x14ac:dyDescent="0.25">
      <c r="A293" s="312"/>
      <c r="B293" s="313"/>
      <c r="C293" s="313"/>
      <c r="D293" s="313"/>
      <c r="E293" s="247"/>
      <c r="F293" s="247"/>
      <c r="G293" s="247"/>
      <c r="H293" s="247"/>
      <c r="I293" s="247"/>
      <c r="J293" s="247"/>
      <c r="K293" s="247"/>
      <c r="L293" s="248"/>
    </row>
    <row r="294" spans="1:40" ht="17.45" customHeight="1" thickTop="1" thickBot="1" x14ac:dyDescent="0.25">
      <c r="A294" s="328"/>
      <c r="B294" s="328"/>
      <c r="C294" s="328"/>
      <c r="D294" s="328"/>
    </row>
    <row r="295" spans="1:40" ht="17.45" customHeight="1" thickTop="1" x14ac:dyDescent="0.2">
      <c r="A295" s="696" t="s">
        <v>91</v>
      </c>
      <c r="B295" s="697"/>
      <c r="C295" s="697"/>
      <c r="D295" s="697"/>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7.45" customHeight="1" thickBot="1" x14ac:dyDescent="0.25">
      <c r="A296" s="297"/>
      <c r="B296" s="699" t="s">
        <v>28</v>
      </c>
      <c r="C296" s="700"/>
      <c r="D296" s="700"/>
      <c r="E296" s="700"/>
      <c r="F296" s="700"/>
      <c r="G296" s="700"/>
      <c r="H296" s="700"/>
      <c r="I296" s="700"/>
      <c r="J296" s="700"/>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7.45" customHeight="1"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29">
        <v>40</v>
      </c>
      <c r="AM297" s="302">
        <f>AL297+0.001</f>
        <v>40.000999999999998</v>
      </c>
      <c r="AN297" s="299"/>
    </row>
    <row r="298" spans="1:40" ht="17.45" customHeight="1" thickTop="1" x14ac:dyDescent="0.2">
      <c r="A298" s="303">
        <v>4</v>
      </c>
      <c r="B298" s="304">
        <v>0.95729537366548045</v>
      </c>
      <c r="C298" s="304">
        <v>0.96368623962040334</v>
      </c>
      <c r="D298" s="304">
        <v>0.96975088967971534</v>
      </c>
      <c r="E298" s="304">
        <v>0.97343564650059311</v>
      </c>
      <c r="F298" s="304">
        <v>0.97580071174377225</v>
      </c>
      <c r="G298" s="304">
        <v>0.97851741230299949</v>
      </c>
      <c r="H298" s="304">
        <v>0.9804270462633452</v>
      </c>
      <c r="I298" s="304">
        <v>0.9816023046941198</v>
      </c>
      <c r="J298" s="305">
        <v>0.98255170310116946</v>
      </c>
      <c r="K298" s="304">
        <v>0.98337610574478906</v>
      </c>
      <c r="L298" s="304">
        <v>0.98417637688527382</v>
      </c>
      <c r="M298" s="304">
        <v>0.98505338078291815</v>
      </c>
      <c r="N298" s="304">
        <v>0.98585717674970363</v>
      </c>
      <c r="O298" s="304">
        <v>0.98642562277580081</v>
      </c>
      <c r="P298" s="304">
        <v>0.98684128113879011</v>
      </c>
      <c r="Q298" s="304">
        <v>0.98718671411625147</v>
      </c>
      <c r="R298" s="304">
        <v>0.98754448398576511</v>
      </c>
      <c r="S298" s="305">
        <v>0.98792402135231316</v>
      </c>
      <c r="T298" s="304">
        <v>0.9882818505338079</v>
      </c>
      <c r="U298" s="304">
        <v>0.98862117437722419</v>
      </c>
      <c r="V298" s="304">
        <v>0.98894519572953743</v>
      </c>
      <c r="W298" s="304">
        <v>0.98925711743772238</v>
      </c>
      <c r="X298" s="304">
        <v>0.98956014234875445</v>
      </c>
      <c r="Y298" s="304">
        <v>0.98985747330960838</v>
      </c>
      <c r="Z298" s="304">
        <v>0.99015231316725982</v>
      </c>
      <c r="AA298" s="304">
        <v>0.99044786476868318</v>
      </c>
      <c r="AB298" s="305">
        <v>0.99074733096085399</v>
      </c>
      <c r="AC298" s="304">
        <v>0.99101939501779357</v>
      </c>
      <c r="AD298" s="304">
        <v>0.99123701067615655</v>
      </c>
      <c r="AE298" s="304">
        <v>0.99140978647686806</v>
      </c>
      <c r="AF298" s="304">
        <v>0.99154733096085412</v>
      </c>
      <c r="AG298" s="304">
        <v>0.99165925266903909</v>
      </c>
      <c r="AH298" s="304">
        <v>0.99175516014234866</v>
      </c>
      <c r="AI298" s="304">
        <v>0.99184466192170817</v>
      </c>
      <c r="AJ298" s="304">
        <v>0.99193736654804288</v>
      </c>
      <c r="AK298" s="304">
        <v>0.99204288256227768</v>
      </c>
      <c r="AL298" s="330">
        <v>0.99217081850533817</v>
      </c>
      <c r="AM298" s="331">
        <f>AL298</f>
        <v>0.99217081850533817</v>
      </c>
      <c r="AN298" s="299"/>
    </row>
    <row r="299" spans="1:40" ht="17.45" customHeight="1" x14ac:dyDescent="0.2">
      <c r="A299" s="306">
        <v>5</v>
      </c>
      <c r="B299" s="307">
        <v>0.96012752075919339</v>
      </c>
      <c r="C299" s="307">
        <v>0.9669335705812574</v>
      </c>
      <c r="D299" s="307">
        <v>0.97397686832740216</v>
      </c>
      <c r="E299" s="307">
        <v>0.97787663107947809</v>
      </c>
      <c r="F299" s="307">
        <v>0.98076512455516007</v>
      </c>
      <c r="G299" s="307">
        <v>0.98356896951879924</v>
      </c>
      <c r="H299" s="307">
        <v>0.98573804734643344</v>
      </c>
      <c r="I299" s="307">
        <v>0.98715749938960362</v>
      </c>
      <c r="J299" s="308">
        <v>0.98832948527336806</v>
      </c>
      <c r="K299" s="307">
        <v>0.98934754187424556</v>
      </c>
      <c r="L299" s="307">
        <v>0.99073321515398882</v>
      </c>
      <c r="M299" s="307">
        <v>0.9919632265717675</v>
      </c>
      <c r="N299" s="307">
        <v>0.99290700526600795</v>
      </c>
      <c r="O299" s="307">
        <v>0.99357150196923849</v>
      </c>
      <c r="P299" s="307">
        <v>0.99360281264786954</v>
      </c>
      <c r="Q299" s="307">
        <v>0.99380263151871784</v>
      </c>
      <c r="R299" s="307">
        <v>0.99407250889679721</v>
      </c>
      <c r="S299" s="308">
        <v>0.99436855772187915</v>
      </c>
      <c r="T299" s="307">
        <v>0.99465312544809881</v>
      </c>
      <c r="U299" s="307">
        <v>0.99490551405889494</v>
      </c>
      <c r="V299" s="307">
        <v>0.99509175909872827</v>
      </c>
      <c r="W299" s="307">
        <v>0.99514976275207589</v>
      </c>
      <c r="X299" s="307">
        <v>0.9951180850102862</v>
      </c>
      <c r="Y299" s="307">
        <v>0.99512684909215032</v>
      </c>
      <c r="Z299" s="307">
        <v>0.99511318836431029</v>
      </c>
      <c r="AA299" s="307">
        <v>0.99525823427341853</v>
      </c>
      <c r="AB299" s="308">
        <v>0.99553956364239338</v>
      </c>
      <c r="AC299" s="307">
        <v>0.99583999469361451</v>
      </c>
      <c r="AD299" s="307">
        <v>0.99623093436461219</v>
      </c>
      <c r="AE299" s="307">
        <v>0.99680931884044277</v>
      </c>
      <c r="AF299" s="307">
        <v>0.99750665542458516</v>
      </c>
      <c r="AG299" s="307">
        <v>0.9981672597864768</v>
      </c>
      <c r="AH299" s="307">
        <v>0.99865323377031556</v>
      </c>
      <c r="AI299" s="307">
        <v>0.99896707989519395</v>
      </c>
      <c r="AJ299" s="307">
        <v>0.9992033309217474</v>
      </c>
      <c r="AK299" s="307">
        <v>0.99942567955308181</v>
      </c>
      <c r="AL299" s="332">
        <v>0.99968861209964421</v>
      </c>
      <c r="AM299" s="333">
        <f t="shared" ref="AM299:AM334" si="4">AL299</f>
        <v>0.99968861209964421</v>
      </c>
      <c r="AN299" s="299"/>
    </row>
    <row r="300" spans="1:40" ht="17.45" customHeight="1" x14ac:dyDescent="0.2">
      <c r="A300" s="303">
        <v>6</v>
      </c>
      <c r="B300" s="304">
        <v>0.9629893238434164</v>
      </c>
      <c r="C300" s="304">
        <v>0.97085557532621591</v>
      </c>
      <c r="D300" s="304">
        <v>0.97793594306049825</v>
      </c>
      <c r="E300" s="304">
        <v>0.98202995255041525</v>
      </c>
      <c r="F300" s="304">
        <v>0.98505338078291815</v>
      </c>
      <c r="G300" s="304">
        <v>0.98828021042859349</v>
      </c>
      <c r="H300" s="304">
        <v>0.99074733096085399</v>
      </c>
      <c r="I300" s="304">
        <v>0.99250546873656886</v>
      </c>
      <c r="J300" s="305">
        <v>0.99411550879364585</v>
      </c>
      <c r="K300" s="304">
        <v>0.99555822373510749</v>
      </c>
      <c r="L300" s="304">
        <v>0.99681438616397611</v>
      </c>
      <c r="M300" s="304">
        <v>0.9978647686832739</v>
      </c>
      <c r="N300" s="304">
        <v>0.99865686041913793</v>
      </c>
      <c r="O300" s="304">
        <v>0.99919715302491108</v>
      </c>
      <c r="P300" s="304">
        <v>0.99955492289442471</v>
      </c>
      <c r="Q300" s="304">
        <v>0.99979944642151064</v>
      </c>
      <c r="R300" s="304">
        <v>1</v>
      </c>
      <c r="S300" s="305">
        <v>1.0001476469224384</v>
      </c>
      <c r="T300" s="304">
        <v>1.0001813122219541</v>
      </c>
      <c r="U300" s="304">
        <v>1.0001242169842901</v>
      </c>
      <c r="V300" s="304">
        <v>1.0000321204661271</v>
      </c>
      <c r="W300" s="304">
        <v>0.99990912557193679</v>
      </c>
      <c r="X300" s="304">
        <v>0.9997826492337456</v>
      </c>
      <c r="Y300" s="304">
        <v>0.99979218979907425</v>
      </c>
      <c r="Z300" s="304">
        <v>0.99991293648072466</v>
      </c>
      <c r="AA300" s="304">
        <v>1.0001263709283466</v>
      </c>
      <c r="AB300" s="305">
        <v>1.000412250156252</v>
      </c>
      <c r="AC300" s="304">
        <v>1.0007168084811628</v>
      </c>
      <c r="AD300" s="304">
        <v>1.0010469485272286</v>
      </c>
      <c r="AE300" s="304">
        <v>1.0014484011564802</v>
      </c>
      <c r="AF300" s="304">
        <v>1.0019532442027268</v>
      </c>
      <c r="AG300" s="304">
        <v>1.0025934163701067</v>
      </c>
      <c r="AH300" s="304">
        <v>1.0034484188401283</v>
      </c>
      <c r="AI300" s="304">
        <v>1.0043813958758314</v>
      </c>
      <c r="AJ300" s="304">
        <v>1.0052150084248186</v>
      </c>
      <c r="AK300" s="304">
        <v>1.005885537522476</v>
      </c>
      <c r="AL300" s="330">
        <v>1.006405693950178</v>
      </c>
      <c r="AM300" s="334">
        <f t="shared" si="4"/>
        <v>1.006405693950178</v>
      </c>
      <c r="AN300" s="299"/>
    </row>
    <row r="301" spans="1:40" ht="17.45" customHeight="1" x14ac:dyDescent="0.2">
      <c r="A301" s="303">
        <v>7</v>
      </c>
      <c r="B301" s="304">
        <v>0.96513938315539749</v>
      </c>
      <c r="C301" s="304">
        <v>0.97325771055753263</v>
      </c>
      <c r="D301" s="304">
        <v>0.98041221826809011</v>
      </c>
      <c r="E301" s="304">
        <v>0.9845195729537366</v>
      </c>
      <c r="F301" s="304">
        <v>0.98785460091509913</v>
      </c>
      <c r="G301" s="304">
        <v>0.99148090227890617</v>
      </c>
      <c r="H301" s="304">
        <v>0.99450179547681672</v>
      </c>
      <c r="I301" s="304">
        <v>0.99614784107956611</v>
      </c>
      <c r="J301" s="305">
        <v>0.99764520887402397</v>
      </c>
      <c r="K301" s="304">
        <v>0.99905544673962343</v>
      </c>
      <c r="L301" s="304">
        <v>1.0002793097533118</v>
      </c>
      <c r="M301" s="304">
        <v>1.0013221629102411</v>
      </c>
      <c r="N301" s="304">
        <v>1.002305004576175</v>
      </c>
      <c r="O301" s="304">
        <v>1.0031116958543507</v>
      </c>
      <c r="P301" s="304">
        <v>1.0036368307094012</v>
      </c>
      <c r="Q301" s="304">
        <v>1.0040336705197888</v>
      </c>
      <c r="R301" s="304">
        <v>1.0043340111845449</v>
      </c>
      <c r="S301" s="305">
        <v>1.0044495974099354</v>
      </c>
      <c r="T301" s="304">
        <v>1.0044208601813422</v>
      </c>
      <c r="U301" s="304">
        <v>1.0043547958652239</v>
      </c>
      <c r="V301" s="304">
        <v>1.0043335639074258</v>
      </c>
      <c r="W301" s="304">
        <v>1.0043532543356626</v>
      </c>
      <c r="X301" s="304">
        <v>1.0044112768083402</v>
      </c>
      <c r="Y301" s="304">
        <v>1.0045119702924659</v>
      </c>
      <c r="Z301" s="304">
        <v>1.0046620785344436</v>
      </c>
      <c r="AA301" s="304">
        <v>1.0048701698296643</v>
      </c>
      <c r="AB301" s="305">
        <v>1.0051485191137643</v>
      </c>
      <c r="AC301" s="304">
        <v>1.0054712134371968</v>
      </c>
      <c r="AD301" s="304">
        <v>1.0058172669514986</v>
      </c>
      <c r="AE301" s="304">
        <v>1.0062028974455441</v>
      </c>
      <c r="AF301" s="304">
        <v>1.0066371638472729</v>
      </c>
      <c r="AG301" s="304">
        <v>1.0071259168946121</v>
      </c>
      <c r="AH301" s="304">
        <v>1.0076750416974631</v>
      </c>
      <c r="AI301" s="304">
        <v>1.0082957927149792</v>
      </c>
      <c r="AJ301" s="304">
        <v>1.0090706192936472</v>
      </c>
      <c r="AK301" s="304">
        <v>1.0100294761981177</v>
      </c>
      <c r="AL301" s="330">
        <v>1.0107562277580071</v>
      </c>
      <c r="AM301" s="334">
        <f t="shared" si="4"/>
        <v>1.0107562277580071</v>
      </c>
      <c r="AN301" s="299"/>
    </row>
    <row r="302" spans="1:40" ht="17.45" customHeight="1" x14ac:dyDescent="0.2">
      <c r="A302" s="303">
        <v>8</v>
      </c>
      <c r="B302" s="304">
        <v>0.96654804270462646</v>
      </c>
      <c r="C302" s="304">
        <v>0.974982206405694</v>
      </c>
      <c r="D302" s="304">
        <v>0.98220640569395012</v>
      </c>
      <c r="E302" s="304">
        <v>0.98655821047280123</v>
      </c>
      <c r="F302" s="304">
        <v>0.99003558718861207</v>
      </c>
      <c r="G302" s="304">
        <v>0.99409422131842051</v>
      </c>
      <c r="H302" s="304">
        <v>0.99715302491103197</v>
      </c>
      <c r="I302" s="304">
        <v>0.99875611651823393</v>
      </c>
      <c r="J302" s="305">
        <v>1.0002398516291477</v>
      </c>
      <c r="K302" s="304">
        <v>1.0015983522872887</v>
      </c>
      <c r="L302" s="304">
        <v>1.0028253692669504</v>
      </c>
      <c r="M302" s="304">
        <v>1.0039112956372742</v>
      </c>
      <c r="N302" s="304">
        <v>1.0049411052480879</v>
      </c>
      <c r="O302" s="304">
        <v>1.0059159158963622</v>
      </c>
      <c r="P302" s="304">
        <v>1.0067561821945885</v>
      </c>
      <c r="Q302" s="304">
        <v>1.0074101605539219</v>
      </c>
      <c r="R302" s="304">
        <v>1.0078291814946618</v>
      </c>
      <c r="S302" s="305">
        <v>1.0080812966087913</v>
      </c>
      <c r="T302" s="304">
        <v>1.0082781112170141</v>
      </c>
      <c r="U302" s="304">
        <v>1.008433939462583</v>
      </c>
      <c r="V302" s="304">
        <v>1.0085624564469433</v>
      </c>
      <c r="W302" s="304">
        <v>1.0086767711364173</v>
      </c>
      <c r="X302" s="304">
        <v>1.0087896568810104</v>
      </c>
      <c r="Y302" s="304">
        <v>1.0089141147792158</v>
      </c>
      <c r="Z302" s="304">
        <v>1.0090646609009701</v>
      </c>
      <c r="AA302" s="304">
        <v>1.009260275582045</v>
      </c>
      <c r="AB302" s="305">
        <v>1.0095314991262643</v>
      </c>
      <c r="AC302" s="304">
        <v>1.0098741502929598</v>
      </c>
      <c r="AD302" s="304">
        <v>1.0102500279882953</v>
      </c>
      <c r="AE302" s="304">
        <v>1.0106570776190178</v>
      </c>
      <c r="AF302" s="304">
        <v>1.0110936733798948</v>
      </c>
      <c r="AG302" s="304">
        <v>1.0115582195365791</v>
      </c>
      <c r="AH302" s="304">
        <v>1.0120490078597375</v>
      </c>
      <c r="AI302" s="304">
        <v>1.0125641725989643</v>
      </c>
      <c r="AJ302" s="304">
        <v>1.0131016844157941</v>
      </c>
      <c r="AK302" s="304">
        <v>1.0136593597219157</v>
      </c>
      <c r="AL302" s="330">
        <v>1.0142348754448398</v>
      </c>
      <c r="AM302" s="334">
        <f t="shared" si="4"/>
        <v>1.0142348754448398</v>
      </c>
      <c r="AN302" s="299"/>
    </row>
    <row r="303" spans="1:40" ht="17.45" customHeight="1" x14ac:dyDescent="0.2">
      <c r="A303" s="303">
        <v>9</v>
      </c>
      <c r="B303" s="304">
        <v>0.96746314184036608</v>
      </c>
      <c r="C303" s="304">
        <v>0.97595799440772768</v>
      </c>
      <c r="D303" s="304">
        <v>0.98352503812913072</v>
      </c>
      <c r="E303" s="304">
        <v>0.98819426792069143</v>
      </c>
      <c r="F303" s="304">
        <v>0.99205643111337061</v>
      </c>
      <c r="G303" s="304">
        <v>0.99566078938854741</v>
      </c>
      <c r="H303" s="304">
        <v>0.99890727784967104</v>
      </c>
      <c r="I303" s="304">
        <v>1.0006817291249392</v>
      </c>
      <c r="J303" s="305">
        <v>1.0022201210003971</v>
      </c>
      <c r="K303" s="304">
        <v>1.0035257841442751</v>
      </c>
      <c r="L303" s="304">
        <v>1.0047517960999457</v>
      </c>
      <c r="M303" s="304">
        <v>1.0058793001186241</v>
      </c>
      <c r="N303" s="304">
        <v>1.0069436943957852</v>
      </c>
      <c r="O303" s="304">
        <v>1.0080521879772517</v>
      </c>
      <c r="P303" s="304">
        <v>1.0090984126661813</v>
      </c>
      <c r="Q303" s="304">
        <v>1.0096964302320366</v>
      </c>
      <c r="R303" s="304">
        <v>1.0101383513455893</v>
      </c>
      <c r="S303" s="305">
        <v>1.0106011107149038</v>
      </c>
      <c r="T303" s="304">
        <v>1.0110784671310045</v>
      </c>
      <c r="U303" s="304">
        <v>1.0115353299757954</v>
      </c>
      <c r="V303" s="304">
        <v>1.0119382302593474</v>
      </c>
      <c r="W303" s="304">
        <v>1.0122434483493779</v>
      </c>
      <c r="X303" s="304">
        <v>1.0124633549854898</v>
      </c>
      <c r="Y303" s="304">
        <v>1.0126627625582607</v>
      </c>
      <c r="Z303" s="304">
        <v>1.0128584492090611</v>
      </c>
      <c r="AA303" s="304">
        <v>1.0130717156925593</v>
      </c>
      <c r="AB303" s="305">
        <v>1.013344318805087</v>
      </c>
      <c r="AC303" s="304">
        <v>1.0137020262721519</v>
      </c>
      <c r="AD303" s="304">
        <v>1.0140889300106897</v>
      </c>
      <c r="AE303" s="304">
        <v>1.0144881606459033</v>
      </c>
      <c r="AF303" s="304">
        <v>1.0148924541896014</v>
      </c>
      <c r="AG303" s="304">
        <v>1.0152964642406155</v>
      </c>
      <c r="AH303" s="304">
        <v>1.0156584217850204</v>
      </c>
      <c r="AI303" s="304">
        <v>1.0159653379845799</v>
      </c>
      <c r="AJ303" s="304">
        <v>1.0162493890553583</v>
      </c>
      <c r="AK303" s="304">
        <v>1.0165439037426984</v>
      </c>
      <c r="AL303" s="330">
        <v>1.0168937468225723</v>
      </c>
      <c r="AM303" s="334">
        <f t="shared" si="4"/>
        <v>1.0168937468225723</v>
      </c>
      <c r="AN303" s="299"/>
    </row>
    <row r="304" spans="1:40" ht="17.45" customHeight="1" x14ac:dyDescent="0.2">
      <c r="A304" s="306">
        <v>10</v>
      </c>
      <c r="B304" s="307">
        <v>0.96797153024911031</v>
      </c>
      <c r="C304" s="307">
        <v>0.97659665734621259</v>
      </c>
      <c r="D304" s="307">
        <v>0.98434163701067623</v>
      </c>
      <c r="E304" s="307">
        <v>0.98959551347229291</v>
      </c>
      <c r="F304" s="307">
        <v>0.99359430604982202</v>
      </c>
      <c r="G304" s="307">
        <v>0.99725210287932708</v>
      </c>
      <c r="H304" s="307">
        <v>1</v>
      </c>
      <c r="I304" s="307">
        <v>1.001945385048588</v>
      </c>
      <c r="J304" s="308">
        <v>1.0036213379345054</v>
      </c>
      <c r="K304" s="307">
        <v>1.0050719292569827</v>
      </c>
      <c r="L304" s="307">
        <v>1.0063412296152512</v>
      </c>
      <c r="M304" s="307">
        <v>1.0074733096085411</v>
      </c>
      <c r="N304" s="307">
        <v>1.0084749380306723</v>
      </c>
      <c r="O304" s="307">
        <v>1.009340986492175</v>
      </c>
      <c r="P304" s="307">
        <v>1.0100976798173447</v>
      </c>
      <c r="Q304" s="307">
        <v>1.0107712428304785</v>
      </c>
      <c r="R304" s="307">
        <v>1.0113879003558719</v>
      </c>
      <c r="S304" s="308">
        <v>1.0119806566410288</v>
      </c>
      <c r="T304" s="307">
        <v>1.0125625071748365</v>
      </c>
      <c r="U304" s="307">
        <v>1.0131296636436689</v>
      </c>
      <c r="V304" s="307">
        <v>1.0136783377338998</v>
      </c>
      <c r="W304" s="307">
        <v>1.0142047411319024</v>
      </c>
      <c r="X304" s="307">
        <v>1.0147050855240503</v>
      </c>
      <c r="Y304" s="307">
        <v>1.0151755825967168</v>
      </c>
      <c r="Z304" s="307">
        <v>1.0156124440362764</v>
      </c>
      <c r="AA304" s="307">
        <v>1.0160118815291015</v>
      </c>
      <c r="AB304" s="308">
        <v>1.016370106761566</v>
      </c>
      <c r="AC304" s="307">
        <v>1.0166831247847552</v>
      </c>
      <c r="AD304" s="307">
        <v>1.0169543795201472</v>
      </c>
      <c r="AE304" s="307">
        <v>1.0171912409597061</v>
      </c>
      <c r="AF304" s="307">
        <v>1.0174010790953969</v>
      </c>
      <c r="AG304" s="307">
        <v>1.0175912639191829</v>
      </c>
      <c r="AH304" s="307">
        <v>1.0177691654230285</v>
      </c>
      <c r="AI304" s="307">
        <v>1.0179421535988979</v>
      </c>
      <c r="AJ304" s="307">
        <v>1.0181175984387556</v>
      </c>
      <c r="AK304" s="307">
        <v>1.0183028699345655</v>
      </c>
      <c r="AL304" s="332">
        <v>1.0185053380782918</v>
      </c>
      <c r="AM304" s="333">
        <f t="shared" si="4"/>
        <v>1.0185053380782918</v>
      </c>
      <c r="AN304" s="299"/>
    </row>
    <row r="305" spans="1:40" ht="17.45" customHeight="1" x14ac:dyDescent="0.2">
      <c r="A305" s="303">
        <v>11</v>
      </c>
      <c r="B305" s="304">
        <v>0.96858973055414355</v>
      </c>
      <c r="C305" s="304">
        <v>0.97737503506126966</v>
      </c>
      <c r="D305" s="304">
        <v>0.9850769700050841</v>
      </c>
      <c r="E305" s="304">
        <v>0.99051311988533297</v>
      </c>
      <c r="F305" s="304">
        <v>0.99458790035587197</v>
      </c>
      <c r="G305" s="304">
        <v>0.99825838103126885</v>
      </c>
      <c r="H305" s="304">
        <v>1.0010403783642219</v>
      </c>
      <c r="I305" s="304">
        <v>1.0029318667098028</v>
      </c>
      <c r="J305" s="305">
        <v>1.0046791977455456</v>
      </c>
      <c r="K305" s="304">
        <v>1.0062187516392342</v>
      </c>
      <c r="L305" s="304">
        <v>1.00757931292462</v>
      </c>
      <c r="M305" s="304">
        <v>1.0087823909318574</v>
      </c>
      <c r="N305" s="304">
        <v>1.0098152704814629</v>
      </c>
      <c r="O305" s="304">
        <v>1.0106419145743479</v>
      </c>
      <c r="P305" s="304">
        <v>1.0113629133726536</v>
      </c>
      <c r="Q305" s="304">
        <v>1.0120044164344906</v>
      </c>
      <c r="R305" s="304">
        <v>1.0126105383997246</v>
      </c>
      <c r="S305" s="305">
        <v>1.0132464875017642</v>
      </c>
      <c r="T305" s="304">
        <v>1.0139033906972377</v>
      </c>
      <c r="U305" s="304">
        <v>1.0145721991390584</v>
      </c>
      <c r="V305" s="304">
        <v>1.0152304973857507</v>
      </c>
      <c r="W305" s="304">
        <v>1.0158722624924152</v>
      </c>
      <c r="X305" s="304">
        <v>1.016492067129799</v>
      </c>
      <c r="Y305" s="304">
        <v>1.017083887740087</v>
      </c>
      <c r="Z305" s="304">
        <v>1.0176398006699994</v>
      </c>
      <c r="AA305" s="304">
        <v>1.0181465670867016</v>
      </c>
      <c r="AB305" s="305">
        <v>1.0185721960739298</v>
      </c>
      <c r="AC305" s="304">
        <v>1.0189267396130381</v>
      </c>
      <c r="AD305" s="304">
        <v>1.0191612137909924</v>
      </c>
      <c r="AE305" s="304">
        <v>1.0192893369125013</v>
      </c>
      <c r="AF305" s="304">
        <v>1.0194202959039202</v>
      </c>
      <c r="AG305" s="304">
        <v>1.0195397966993021</v>
      </c>
      <c r="AH305" s="304">
        <v>1.0196487700584131</v>
      </c>
      <c r="AI305" s="304">
        <v>1.0197531670801716</v>
      </c>
      <c r="AJ305" s="304">
        <v>1.0198622879665011</v>
      </c>
      <c r="AK305" s="304">
        <v>1.0199908320117461</v>
      </c>
      <c r="AL305" s="330">
        <v>1.0201702762243687</v>
      </c>
      <c r="AM305" s="334">
        <f t="shared" si="4"/>
        <v>1.0201702762243687</v>
      </c>
      <c r="AN305" s="299"/>
    </row>
    <row r="306" spans="1:40" ht="17.45" customHeight="1" x14ac:dyDescent="0.2">
      <c r="A306" s="303">
        <v>12</v>
      </c>
      <c r="B306" s="304">
        <v>0.96920793085917645</v>
      </c>
      <c r="C306" s="304">
        <v>0.97807234527753917</v>
      </c>
      <c r="D306" s="304">
        <v>0.98573116420945606</v>
      </c>
      <c r="E306" s="304">
        <v>0.99130153896789575</v>
      </c>
      <c r="F306" s="304">
        <v>0.99545053380782911</v>
      </c>
      <c r="G306" s="304">
        <v>0.99915281000925649</v>
      </c>
      <c r="H306" s="304">
        <v>1.0020735776678837</v>
      </c>
      <c r="I306" s="304">
        <v>1.0039207554382155</v>
      </c>
      <c r="J306" s="305">
        <v>1.0055332254933678</v>
      </c>
      <c r="K306" s="304">
        <v>1.0071112469095862</v>
      </c>
      <c r="L306" s="304">
        <v>1.0085406893503375</v>
      </c>
      <c r="M306" s="304">
        <v>1.0097983392645316</v>
      </c>
      <c r="N306" s="304">
        <v>1.0108921644636504</v>
      </c>
      <c r="O306" s="304">
        <v>1.0117882392814779</v>
      </c>
      <c r="P306" s="304">
        <v>1.0124924830660365</v>
      </c>
      <c r="Q306" s="304">
        <v>1.0131238504216427</v>
      </c>
      <c r="R306" s="304">
        <v>1.0137402364826082</v>
      </c>
      <c r="S306" s="305">
        <v>1.0144014402023842</v>
      </c>
      <c r="T306" s="304">
        <v>1.0150736371836178</v>
      </c>
      <c r="U306" s="304">
        <v>1.015746380140351</v>
      </c>
      <c r="V306" s="304">
        <v>1.0164281149226162</v>
      </c>
      <c r="W306" s="304">
        <v>1.017122609209224</v>
      </c>
      <c r="X306" s="304">
        <v>1.0178109132653594</v>
      </c>
      <c r="Y306" s="304">
        <v>1.0184815277252719</v>
      </c>
      <c r="Z306" s="304">
        <v>1.0191180375445421</v>
      </c>
      <c r="AA306" s="304">
        <v>1.0196940463062494</v>
      </c>
      <c r="AB306" s="305">
        <v>1.0201606244977617</v>
      </c>
      <c r="AC306" s="304">
        <v>1.0205392885842204</v>
      </c>
      <c r="AD306" s="304">
        <v>1.0208820122937561</v>
      </c>
      <c r="AE306" s="304">
        <v>1.0211425601605377</v>
      </c>
      <c r="AF306" s="304">
        <v>1.0212485363333719</v>
      </c>
      <c r="AG306" s="304">
        <v>1.0212729550324278</v>
      </c>
      <c r="AH306" s="304">
        <v>1.0213300670137315</v>
      </c>
      <c r="AI306" s="304">
        <v>1.0214004818477895</v>
      </c>
      <c r="AJ306" s="304">
        <v>1.0214852818215006</v>
      </c>
      <c r="AK306" s="304">
        <v>1.0216009526563041</v>
      </c>
      <c r="AL306" s="330">
        <v>1.021785866802237</v>
      </c>
      <c r="AM306" s="334">
        <f t="shared" si="4"/>
        <v>1.021785866802237</v>
      </c>
      <c r="AN306" s="299"/>
    </row>
    <row r="307" spans="1:40" ht="17.45" customHeight="1" x14ac:dyDescent="0.2">
      <c r="A307" s="303">
        <v>13</v>
      </c>
      <c r="B307" s="304">
        <v>0.96980172852058977</v>
      </c>
      <c r="C307" s="304">
        <v>0.97837320177349429</v>
      </c>
      <c r="D307" s="304">
        <v>0.98630238942552118</v>
      </c>
      <c r="E307" s="304">
        <v>0.99184408371375887</v>
      </c>
      <c r="F307" s="304">
        <v>0.99620782918149464</v>
      </c>
      <c r="G307" s="304">
        <v>0.99995378349170205</v>
      </c>
      <c r="H307" s="304">
        <v>1.003049221241392</v>
      </c>
      <c r="I307" s="304">
        <v>1.0049194380681925</v>
      </c>
      <c r="J307" s="305">
        <v>1.0064528525382617</v>
      </c>
      <c r="K307" s="304">
        <v>1.0078786153348431</v>
      </c>
      <c r="L307" s="304">
        <v>1.0093208921210923</v>
      </c>
      <c r="M307" s="304">
        <v>1.010622380387505</v>
      </c>
      <c r="N307" s="304">
        <v>1.0117446927806757</v>
      </c>
      <c r="O307" s="304">
        <v>1.0127205893121278</v>
      </c>
      <c r="P307" s="304">
        <v>1.0135154945489466</v>
      </c>
      <c r="Q307" s="304">
        <v>1.0141596770397339</v>
      </c>
      <c r="R307" s="304">
        <v>1.0147924233727472</v>
      </c>
      <c r="S307" s="305">
        <v>1.0154778586052953</v>
      </c>
      <c r="T307" s="304">
        <v>1.0161702243816721</v>
      </c>
      <c r="U307" s="304">
        <v>1.016853296247866</v>
      </c>
      <c r="V307" s="304">
        <v>1.0175215338255541</v>
      </c>
      <c r="W307" s="304">
        <v>1.0181772816973713</v>
      </c>
      <c r="X307" s="304">
        <v>1.0188338840128992</v>
      </c>
      <c r="Y307" s="304">
        <v>1.0195061090992581</v>
      </c>
      <c r="Z307" s="304">
        <v>1.0201712828085703</v>
      </c>
      <c r="AA307" s="304">
        <v>1.0207882089073825</v>
      </c>
      <c r="AB307" s="305">
        <v>1.0212885776604295</v>
      </c>
      <c r="AC307" s="304">
        <v>1.0216811054330859</v>
      </c>
      <c r="AD307" s="304">
        <v>1.0220396933015921</v>
      </c>
      <c r="AE307" s="304">
        <v>1.0223591418650722</v>
      </c>
      <c r="AF307" s="304">
        <v>1.0226289268531952</v>
      </c>
      <c r="AG307" s="304">
        <v>1.0228264388937141</v>
      </c>
      <c r="AH307" s="304">
        <v>1.0229011594535646</v>
      </c>
      <c r="AI307" s="304">
        <v>1.0229232525612701</v>
      </c>
      <c r="AJ307" s="304">
        <v>1.0229985182937829</v>
      </c>
      <c r="AK307" s="304">
        <v>1.0231193719411769</v>
      </c>
      <c r="AL307" s="330">
        <v>1.0233163192679207</v>
      </c>
      <c r="AM307" s="334">
        <f t="shared" si="4"/>
        <v>1.0233163192679207</v>
      </c>
      <c r="AN307" s="299"/>
    </row>
    <row r="308" spans="1:40" ht="17.45" customHeight="1" x14ac:dyDescent="0.2">
      <c r="A308" s="303">
        <v>14</v>
      </c>
      <c r="B308" s="304">
        <v>0.9703467208947637</v>
      </c>
      <c r="C308" s="304">
        <v>0.97887741700496622</v>
      </c>
      <c r="D308" s="304">
        <v>0.98678881545500763</v>
      </c>
      <c r="E308" s="304">
        <v>0.99243597015993767</v>
      </c>
      <c r="F308" s="304">
        <v>0.99688540925266889</v>
      </c>
      <c r="G308" s="304">
        <v>1.0008298347289917</v>
      </c>
      <c r="H308" s="304">
        <v>1.0039169324151529</v>
      </c>
      <c r="I308" s="304">
        <v>1.0058287092133842</v>
      </c>
      <c r="J308" s="305">
        <v>1.007400180417974</v>
      </c>
      <c r="K308" s="304">
        <v>1.0087566320615919</v>
      </c>
      <c r="L308" s="304">
        <v>1.0100425752183759</v>
      </c>
      <c r="M308" s="304">
        <v>1.011355740081719</v>
      </c>
      <c r="N308" s="304">
        <v>1.012497840526088</v>
      </c>
      <c r="O308" s="304">
        <v>1.0134971323127908</v>
      </c>
      <c r="P308" s="304">
        <v>1.0143696819277337</v>
      </c>
      <c r="Q308" s="304">
        <v>1.0151203148242298</v>
      </c>
      <c r="R308" s="304">
        <v>1.0157825278383656</v>
      </c>
      <c r="S308" s="305">
        <v>1.0164892185815606</v>
      </c>
      <c r="T308" s="304">
        <v>1.0171939775653116</v>
      </c>
      <c r="U308" s="304">
        <v>1.0178829893813488</v>
      </c>
      <c r="V308" s="304">
        <v>1.0185507776719258</v>
      </c>
      <c r="W308" s="304">
        <v>1.0191945952689423</v>
      </c>
      <c r="X308" s="304">
        <v>1.019813476646187</v>
      </c>
      <c r="Y308" s="304">
        <v>1.0204092699736815</v>
      </c>
      <c r="Z308" s="304">
        <v>1.020992508948978</v>
      </c>
      <c r="AA308" s="304">
        <v>1.0215865815362262</v>
      </c>
      <c r="AB308" s="305">
        <v>1.0221092411893009</v>
      </c>
      <c r="AC308" s="304">
        <v>1.022516536614503</v>
      </c>
      <c r="AD308" s="304">
        <v>1.0228813069855947</v>
      </c>
      <c r="AE308" s="304">
        <v>1.0232108436564011</v>
      </c>
      <c r="AF308" s="304">
        <v>1.023510307915956</v>
      </c>
      <c r="AG308" s="304">
        <v>1.0237831546271048</v>
      </c>
      <c r="AH308" s="304">
        <v>1.0240297972260779</v>
      </c>
      <c r="AI308" s="304">
        <v>1.0242428933591583</v>
      </c>
      <c r="AJ308" s="304">
        <v>1.0243881682164315</v>
      </c>
      <c r="AK308" s="304">
        <v>1.0245132078674204</v>
      </c>
      <c r="AL308" s="330">
        <v>1.0247258430774446</v>
      </c>
      <c r="AM308" s="334">
        <f t="shared" si="4"/>
        <v>1.0247258430774446</v>
      </c>
      <c r="AN308" s="299"/>
    </row>
    <row r="309" spans="1:40" ht="17.45" customHeight="1" x14ac:dyDescent="0.2">
      <c r="A309" s="306">
        <v>15</v>
      </c>
      <c r="B309" s="307">
        <v>0.97081850533807834</v>
      </c>
      <c r="C309" s="307">
        <v>0.9793668446026097</v>
      </c>
      <c r="D309" s="307">
        <v>0.98718861209964404</v>
      </c>
      <c r="E309" s="307">
        <v>0.99297894424673772</v>
      </c>
      <c r="F309" s="307">
        <v>0.99750889679715282</v>
      </c>
      <c r="G309" s="307">
        <v>1.0015823589222164</v>
      </c>
      <c r="H309" s="307">
        <v>1.0046263345195727</v>
      </c>
      <c r="I309" s="307">
        <v>1.0065816641247245</v>
      </c>
      <c r="J309" s="308">
        <v>1.0082086426029484</v>
      </c>
      <c r="K309" s="307">
        <v>1.0096052872394508</v>
      </c>
      <c r="L309" s="307">
        <v>1.0108696153194374</v>
      </c>
      <c r="M309" s="307">
        <v>1.0120996441281138</v>
      </c>
      <c r="N309" s="307">
        <v>1.013262430096594</v>
      </c>
      <c r="O309" s="307">
        <v>1.0142783934926285</v>
      </c>
      <c r="P309" s="307">
        <v>1.0151755973563803</v>
      </c>
      <c r="Q309" s="307">
        <v>1.0159821047280124</v>
      </c>
      <c r="R309" s="307">
        <v>1.016725978647687</v>
      </c>
      <c r="S309" s="308">
        <v>1.0174390673383558</v>
      </c>
      <c r="T309" s="307">
        <v>1.0181332347367937</v>
      </c>
      <c r="U309" s="307">
        <v>1.0188065674538984</v>
      </c>
      <c r="V309" s="307">
        <v>1.0194571521005686</v>
      </c>
      <c r="W309" s="307">
        <v>1.0200830752877017</v>
      </c>
      <c r="X309" s="307">
        <v>1.020682423626196</v>
      </c>
      <c r="Y309" s="307">
        <v>1.0212532837269492</v>
      </c>
      <c r="Z309" s="307">
        <v>1.0217937422008596</v>
      </c>
      <c r="AA309" s="307">
        <v>1.0223018856588251</v>
      </c>
      <c r="AB309" s="308">
        <v>1.0227758007117438</v>
      </c>
      <c r="AC309" s="307">
        <v>1.0232093497250081</v>
      </c>
      <c r="AD309" s="307">
        <v>1.0236016823034617</v>
      </c>
      <c r="AE309" s="307">
        <v>1.0239588159171789</v>
      </c>
      <c r="AF309" s="307">
        <v>1.0242867680362342</v>
      </c>
      <c r="AG309" s="307">
        <v>1.024591556130702</v>
      </c>
      <c r="AH309" s="307">
        <v>1.0248791976706568</v>
      </c>
      <c r="AI309" s="307">
        <v>1.0251557101261726</v>
      </c>
      <c r="AJ309" s="307">
        <v>1.0254271109673245</v>
      </c>
      <c r="AK309" s="307">
        <v>1.0256994176641865</v>
      </c>
      <c r="AL309" s="332">
        <v>1.0259786476868327</v>
      </c>
      <c r="AM309" s="333">
        <f t="shared" si="4"/>
        <v>1.0259786476868327</v>
      </c>
      <c r="AN309" s="299"/>
    </row>
    <row r="310" spans="1:40" ht="17.45" customHeight="1" x14ac:dyDescent="0.2">
      <c r="A310" s="303">
        <v>16</v>
      </c>
      <c r="B310" s="304">
        <v>0.97113736654804284</v>
      </c>
      <c r="C310" s="304">
        <v>0.97972951048624146</v>
      </c>
      <c r="D310" s="304">
        <v>0.98758529062870715</v>
      </c>
      <c r="E310" s="304">
        <v>0.99339632090411323</v>
      </c>
      <c r="F310" s="304">
        <v>0.99801423487544472</v>
      </c>
      <c r="G310" s="304">
        <v>1.0021317637989051</v>
      </c>
      <c r="H310" s="304">
        <v>1.0051992543636672</v>
      </c>
      <c r="I310" s="304">
        <v>1.0072044738179968</v>
      </c>
      <c r="J310" s="305">
        <v>1.0089112671581086</v>
      </c>
      <c r="K310" s="304">
        <v>1.0103341580523075</v>
      </c>
      <c r="L310" s="304">
        <v>1.0116106062531773</v>
      </c>
      <c r="M310" s="304">
        <v>1.0128561260803255</v>
      </c>
      <c r="N310" s="304">
        <v>1.0141302152177598</v>
      </c>
      <c r="O310" s="304">
        <v>1.0152205770208438</v>
      </c>
      <c r="P310" s="304">
        <v>1.0161356455591333</v>
      </c>
      <c r="Q310" s="304">
        <v>1.0169441196407389</v>
      </c>
      <c r="R310" s="304">
        <v>1.0176854092526693</v>
      </c>
      <c r="S310" s="305">
        <v>1.0183959076387785</v>
      </c>
      <c r="T310" s="304">
        <v>1.019084417047958</v>
      </c>
      <c r="U310" s="304">
        <v>1.0197505971913192</v>
      </c>
      <c r="V310" s="304">
        <v>1.0203921181652142</v>
      </c>
      <c r="W310" s="304">
        <v>1.0210052751349652</v>
      </c>
      <c r="X310" s="304">
        <v>1.0215840835143504</v>
      </c>
      <c r="Y310" s="304">
        <v>1.0221168410878256</v>
      </c>
      <c r="Z310" s="304">
        <v>1.0225720509620866</v>
      </c>
      <c r="AA310" s="304">
        <v>1.0229725077064868</v>
      </c>
      <c r="AB310" s="305">
        <v>1.0233944061107183</v>
      </c>
      <c r="AC310" s="304">
        <v>1.0238289632097415</v>
      </c>
      <c r="AD310" s="304">
        <v>1.0242564865739243</v>
      </c>
      <c r="AE310" s="304">
        <v>1.0246635204955845</v>
      </c>
      <c r="AF310" s="304">
        <v>1.0250432567669578</v>
      </c>
      <c r="AG310" s="304">
        <v>1.0254000254194204</v>
      </c>
      <c r="AH310" s="304">
        <v>1.0257392027031884</v>
      </c>
      <c r="AI310" s="304">
        <v>1.0260663962964673</v>
      </c>
      <c r="AJ310" s="304">
        <v>1.0263871530249111</v>
      </c>
      <c r="AK310" s="304">
        <v>1.0267065989671327</v>
      </c>
      <c r="AL310" s="330">
        <v>1.0270282325029656</v>
      </c>
      <c r="AM310" s="334">
        <f t="shared" si="4"/>
        <v>1.0270282325029656</v>
      </c>
      <c r="AN310" s="299"/>
    </row>
    <row r="311" spans="1:40" ht="17.45" customHeight="1" x14ac:dyDescent="0.2">
      <c r="A311" s="303">
        <v>17</v>
      </c>
      <c r="B311" s="304">
        <v>0.97129110320284706</v>
      </c>
      <c r="C311" s="304">
        <v>0.97993037235501146</v>
      </c>
      <c r="D311" s="304">
        <v>0.9880085409252668</v>
      </c>
      <c r="E311" s="304">
        <v>0.99366527552422557</v>
      </c>
      <c r="F311" s="304">
        <v>0.99835587188612096</v>
      </c>
      <c r="G311" s="304">
        <v>1.0025240115589646</v>
      </c>
      <c r="H311" s="304">
        <v>1.0056943568886629</v>
      </c>
      <c r="I311" s="304">
        <v>1.0076911794611081</v>
      </c>
      <c r="J311" s="305">
        <v>1.0094548042704625</v>
      </c>
      <c r="K311" s="304">
        <v>1.0109908301794421</v>
      </c>
      <c r="L311" s="304">
        <v>1.0122873034702216</v>
      </c>
      <c r="M311" s="304">
        <v>1.0135434672089476</v>
      </c>
      <c r="N311" s="304">
        <v>1.014853550245721</v>
      </c>
      <c r="O311" s="304">
        <v>1.0160988307066599</v>
      </c>
      <c r="P311" s="304">
        <v>1.0171141614415637</v>
      </c>
      <c r="Q311" s="304">
        <v>1.0179245702235027</v>
      </c>
      <c r="R311" s="304">
        <v>1.0186505338078293</v>
      </c>
      <c r="S311" s="305">
        <v>1.019368601623762</v>
      </c>
      <c r="T311" s="304">
        <v>1.0200695979281034</v>
      </c>
      <c r="U311" s="304">
        <v>1.0207430121494454</v>
      </c>
      <c r="V311" s="304">
        <v>1.021374910672562</v>
      </c>
      <c r="W311" s="304">
        <v>1.0219429748538884</v>
      </c>
      <c r="X311" s="304">
        <v>1.0224052502657486</v>
      </c>
      <c r="Y311" s="304">
        <v>1.0227887118774859</v>
      </c>
      <c r="Z311" s="304">
        <v>1.0231730531437131</v>
      </c>
      <c r="AA311" s="304">
        <v>1.0235651968742026</v>
      </c>
      <c r="AB311" s="305">
        <v>1.0239700653425805</v>
      </c>
      <c r="AC311" s="304">
        <v>1.0243863046072168</v>
      </c>
      <c r="AD311" s="304">
        <v>1.0248024435546004</v>
      </c>
      <c r="AE311" s="304">
        <v>1.0252168831744033</v>
      </c>
      <c r="AF311" s="304">
        <v>1.0256248463280491</v>
      </c>
      <c r="AG311" s="304">
        <v>1.026024140575386</v>
      </c>
      <c r="AH311" s="304">
        <v>1.0264101110751644</v>
      </c>
      <c r="AI311" s="304">
        <v>1.0267846858885901</v>
      </c>
      <c r="AJ311" s="304">
        <v>1.0271513311046407</v>
      </c>
      <c r="AK311" s="304">
        <v>1.0275137460009345</v>
      </c>
      <c r="AL311" s="330">
        <v>1.0278747330960853</v>
      </c>
      <c r="AM311" s="334">
        <f t="shared" si="4"/>
        <v>1.0278747330960853</v>
      </c>
      <c r="AN311" s="299"/>
    </row>
    <row r="312" spans="1:40" ht="17.45" customHeight="1" x14ac:dyDescent="0.2">
      <c r="A312" s="303">
        <v>18</v>
      </c>
      <c r="B312" s="304">
        <v>0.97135658362989319</v>
      </c>
      <c r="C312" s="304">
        <v>0.97992408373215523</v>
      </c>
      <c r="D312" s="304">
        <v>0.9883758007117438</v>
      </c>
      <c r="E312" s="304">
        <v>0.99380681928707459</v>
      </c>
      <c r="F312" s="304">
        <v>0.99858718861209983</v>
      </c>
      <c r="G312" s="304">
        <v>1.0027422086987443</v>
      </c>
      <c r="H312" s="304">
        <v>1.0061165226232842</v>
      </c>
      <c r="I312" s="304">
        <v>1.0081428458453368</v>
      </c>
      <c r="J312" s="305">
        <v>1.0098634129808506</v>
      </c>
      <c r="K312" s="304">
        <v>1.0114480935434671</v>
      </c>
      <c r="L312" s="304">
        <v>1.0128566704795796</v>
      </c>
      <c r="M312" s="304">
        <v>1.0141372648703608</v>
      </c>
      <c r="N312" s="304">
        <v>1.0154743640437591</v>
      </c>
      <c r="O312" s="304">
        <v>1.0167494021728898</v>
      </c>
      <c r="P312" s="304">
        <v>1.0179062531774277</v>
      </c>
      <c r="Q312" s="304">
        <v>1.0188048423995932</v>
      </c>
      <c r="R312" s="304">
        <v>1.0195274021352314</v>
      </c>
      <c r="S312" s="305">
        <v>1.0202529256102313</v>
      </c>
      <c r="T312" s="304">
        <v>1.0209577721033416</v>
      </c>
      <c r="U312" s="304">
        <v>1.0216014397295639</v>
      </c>
      <c r="V312" s="304">
        <v>1.0221268013125666</v>
      </c>
      <c r="W312" s="304">
        <v>1.0225527352282613</v>
      </c>
      <c r="X312" s="304">
        <v>1.0229568650685161</v>
      </c>
      <c r="Y312" s="304">
        <v>1.0233468674778465</v>
      </c>
      <c r="Z312" s="304">
        <v>1.0237303545375824</v>
      </c>
      <c r="AA312" s="304">
        <v>1.0241143713077052</v>
      </c>
      <c r="AB312" s="305">
        <v>1.024504496819056</v>
      </c>
      <c r="AC312" s="304">
        <v>1.0249028800583817</v>
      </c>
      <c r="AD312" s="304">
        <v>1.0253032786430651</v>
      </c>
      <c r="AE312" s="304">
        <v>1.0257076045236764</v>
      </c>
      <c r="AF312" s="304">
        <v>1.0261157299457024</v>
      </c>
      <c r="AG312" s="304">
        <v>1.0265219804312051</v>
      </c>
      <c r="AH312" s="304">
        <v>1.0269290197347136</v>
      </c>
      <c r="AI312" s="304">
        <v>1.0273390192725422</v>
      </c>
      <c r="AJ312" s="304">
        <v>1.0277471821417015</v>
      </c>
      <c r="AK312" s="304">
        <v>1.0281516920090583</v>
      </c>
      <c r="AL312" s="330">
        <v>1.0285523131672596</v>
      </c>
      <c r="AM312" s="334">
        <f t="shared" si="4"/>
        <v>1.0285523131672596</v>
      </c>
      <c r="AN312" s="299"/>
    </row>
    <row r="313" spans="1:40" ht="17.45" customHeight="1" x14ac:dyDescent="0.2">
      <c r="A313" s="303">
        <v>19</v>
      </c>
      <c r="B313" s="304">
        <v>0.97141067615658372</v>
      </c>
      <c r="C313" s="304">
        <v>0.98031155035090478</v>
      </c>
      <c r="D313" s="304">
        <v>0.98860450771055763</v>
      </c>
      <c r="E313" s="304">
        <v>0.99408497146158759</v>
      </c>
      <c r="F313" s="304">
        <v>0.99876156583629916</v>
      </c>
      <c r="G313" s="304">
        <v>1.0030890127946503</v>
      </c>
      <c r="H313" s="304">
        <v>1.0064706320962549</v>
      </c>
      <c r="I313" s="304">
        <v>1.0085352694458565</v>
      </c>
      <c r="J313" s="305">
        <v>1.0102785742529514</v>
      </c>
      <c r="K313" s="304">
        <v>1.0118078207083543</v>
      </c>
      <c r="L313" s="304">
        <v>1.0132551093035078</v>
      </c>
      <c r="M313" s="304">
        <v>1.0146131164209455</v>
      </c>
      <c r="N313" s="304">
        <v>1.0159736061684459</v>
      </c>
      <c r="O313" s="304">
        <v>1.0172627163004389</v>
      </c>
      <c r="P313" s="304">
        <v>1.0184351804778851</v>
      </c>
      <c r="Q313" s="304">
        <v>1.0194532452126759</v>
      </c>
      <c r="R313" s="304">
        <v>1.0202220640569397</v>
      </c>
      <c r="S313" s="305">
        <v>1.0209467391800093</v>
      </c>
      <c r="T313" s="304">
        <v>1.0215881067923773</v>
      </c>
      <c r="U313" s="304">
        <v>1.0221160827794009</v>
      </c>
      <c r="V313" s="304">
        <v>1.022599526948653</v>
      </c>
      <c r="W313" s="304">
        <v>1.0230460786314017</v>
      </c>
      <c r="X313" s="304">
        <v>1.0234636870270892</v>
      </c>
      <c r="Y313" s="304">
        <v>1.023860340427859</v>
      </c>
      <c r="Z313" s="304">
        <v>1.0242438495567303</v>
      </c>
      <c r="AA313" s="304">
        <v>1.024621532375416</v>
      </c>
      <c r="AB313" s="305">
        <v>1.0249996541609043</v>
      </c>
      <c r="AC313" s="304">
        <v>1.0253823495376249</v>
      </c>
      <c r="AD313" s="304">
        <v>1.0257693999665087</v>
      </c>
      <c r="AE313" s="304">
        <v>1.0261547079917093</v>
      </c>
      <c r="AF313" s="304">
        <v>1.0265559479322575</v>
      </c>
      <c r="AG313" s="304">
        <v>1.0269647219700959</v>
      </c>
      <c r="AH313" s="304">
        <v>1.0273761626019515</v>
      </c>
      <c r="AI313" s="304">
        <v>1.0277919969294813</v>
      </c>
      <c r="AJ313" s="304">
        <v>1.0282171465545131</v>
      </c>
      <c r="AK313" s="304">
        <v>1.0286553306093758</v>
      </c>
      <c r="AL313" s="330">
        <v>1.0290951364175562</v>
      </c>
      <c r="AM313" s="334">
        <f t="shared" si="4"/>
        <v>1.0290951364175562</v>
      </c>
      <c r="AN313" s="299"/>
    </row>
    <row r="314" spans="1:40" ht="17.45" customHeight="1" x14ac:dyDescent="0.2">
      <c r="A314" s="306">
        <v>20</v>
      </c>
      <c r="B314" s="307">
        <v>0.97153024911032027</v>
      </c>
      <c r="C314" s="307">
        <v>0.9805864472123369</v>
      </c>
      <c r="D314" s="307">
        <v>0.98861209964412811</v>
      </c>
      <c r="E314" s="307">
        <v>0.994246737841044</v>
      </c>
      <c r="F314" s="307">
        <v>0.99893238434163723</v>
      </c>
      <c r="G314" s="307">
        <v>1.0033982587697001</v>
      </c>
      <c r="H314" s="307">
        <v>1.0067615658362989</v>
      </c>
      <c r="I314" s="307">
        <v>1.0088524656837825</v>
      </c>
      <c r="J314" s="308">
        <v>1.0106163701067614</v>
      </c>
      <c r="K314" s="307">
        <v>1.0121533299440773</v>
      </c>
      <c r="L314" s="307">
        <v>1.0135633960345705</v>
      </c>
      <c r="M314" s="307">
        <v>1.0149466192170817</v>
      </c>
      <c r="N314" s="307">
        <v>1.016320759193357</v>
      </c>
      <c r="O314" s="307">
        <v>1.0176130147432638</v>
      </c>
      <c r="P314" s="307">
        <v>1.0187875953228267</v>
      </c>
      <c r="Q314" s="307">
        <v>1.01980871038807</v>
      </c>
      <c r="R314" s="307">
        <v>1.0206405693950178</v>
      </c>
      <c r="S314" s="308">
        <v>1.0213296021998497</v>
      </c>
      <c r="T314" s="307">
        <v>1.0219513007177212</v>
      </c>
      <c r="U314" s="307">
        <v>1.0225135497085298</v>
      </c>
      <c r="V314" s="307">
        <v>1.0230243356686459</v>
      </c>
      <c r="W314" s="307">
        <v>1.0234917269690442</v>
      </c>
      <c r="X314" s="307">
        <v>1.0239238353138445</v>
      </c>
      <c r="Y314" s="307">
        <v>1.024328746138411</v>
      </c>
      <c r="Z314" s="307">
        <v>1.0247143966832168</v>
      </c>
      <c r="AA314" s="307">
        <v>1.0250883641296351</v>
      </c>
      <c r="AB314" s="308">
        <v>1.0254574948265784</v>
      </c>
      <c r="AC314" s="307">
        <v>1.0258272424857382</v>
      </c>
      <c r="AD314" s="307">
        <v>1.0262004483603839</v>
      </c>
      <c r="AE314" s="307">
        <v>1.0265749871208003</v>
      </c>
      <c r="AF314" s="307">
        <v>1.0269540455944666</v>
      </c>
      <c r="AG314" s="307">
        <v>1.0273588862205409</v>
      </c>
      <c r="AH314" s="307">
        <v>1.0277749670664118</v>
      </c>
      <c r="AI314" s="307">
        <v>1.0281980729699141</v>
      </c>
      <c r="AJ314" s="307">
        <v>1.0286297571528247</v>
      </c>
      <c r="AK314" s="307">
        <v>1.0290742840360565</v>
      </c>
      <c r="AL314" s="332">
        <v>1.0295373665480425</v>
      </c>
      <c r="AM314" s="333">
        <f t="shared" si="4"/>
        <v>1.0295373665480425</v>
      </c>
      <c r="AN314" s="299"/>
    </row>
    <row r="315" spans="1:40" ht="17.45" customHeight="1" x14ac:dyDescent="0.2">
      <c r="A315" s="303">
        <v>21</v>
      </c>
      <c r="B315" s="304">
        <v>0.97170782918149468</v>
      </c>
      <c r="C315" s="304">
        <v>0.98064902287313327</v>
      </c>
      <c r="D315" s="304">
        <v>0.98845451790302685</v>
      </c>
      <c r="E315" s="304">
        <v>0.99434686683055573</v>
      </c>
      <c r="F315" s="304">
        <v>0.99913164631001505</v>
      </c>
      <c r="G315" s="304">
        <v>1.0035929225863984</v>
      </c>
      <c r="H315" s="304">
        <v>1.0070137010676157</v>
      </c>
      <c r="I315" s="304">
        <v>1.0091111295951092</v>
      </c>
      <c r="J315" s="305">
        <v>1.0108672826953373</v>
      </c>
      <c r="K315" s="304">
        <v>1.012395713559445</v>
      </c>
      <c r="L315" s="304">
        <v>1.013805720666721</v>
      </c>
      <c r="M315" s="304">
        <v>1.0152490766997015</v>
      </c>
      <c r="N315" s="304">
        <v>1.0166561947127604</v>
      </c>
      <c r="O315" s="304">
        <v>1.0179702787349287</v>
      </c>
      <c r="P315" s="304">
        <v>1.0191547241208332</v>
      </c>
      <c r="Q315" s="304">
        <v>1.020150406710727</v>
      </c>
      <c r="R315" s="304">
        <v>1.0208741103202847</v>
      </c>
      <c r="S315" s="305">
        <v>1.0215869636543462</v>
      </c>
      <c r="T315" s="304">
        <v>1.0222411367564821</v>
      </c>
      <c r="U315" s="304">
        <v>1.0228462351239471</v>
      </c>
      <c r="V315" s="304">
        <v>1.0233897547644946</v>
      </c>
      <c r="W315" s="304">
        <v>1.0238824558749415</v>
      </c>
      <c r="X315" s="304">
        <v>1.0243331329762764</v>
      </c>
      <c r="Y315" s="304">
        <v>1.0247501680015048</v>
      </c>
      <c r="Z315" s="304">
        <v>1.0251417325946919</v>
      </c>
      <c r="AA315" s="304">
        <v>1.0255157179143697</v>
      </c>
      <c r="AB315" s="305">
        <v>1.0258795073384166</v>
      </c>
      <c r="AC315" s="304">
        <v>1.0262395529919646</v>
      </c>
      <c r="AD315" s="304">
        <v>1.0266006294440893</v>
      </c>
      <c r="AE315" s="304">
        <v>1.026964505107097</v>
      </c>
      <c r="AF315" s="304">
        <v>1.0273275001155429</v>
      </c>
      <c r="AG315" s="304">
        <v>1.0277125535897251</v>
      </c>
      <c r="AH315" s="304">
        <v>1.0281272899844727</v>
      </c>
      <c r="AI315" s="304">
        <v>1.0285562265437109</v>
      </c>
      <c r="AJ315" s="304">
        <v>1.0289956715739774</v>
      </c>
      <c r="AK315" s="304">
        <v>1.0294469389705958</v>
      </c>
      <c r="AL315" s="330">
        <v>1.0299114245043213</v>
      </c>
      <c r="AM315" s="334">
        <f t="shared" si="4"/>
        <v>1.0299114245043213</v>
      </c>
      <c r="AN315" s="299"/>
    </row>
    <row r="316" spans="1:40" ht="17.45" customHeight="1" x14ac:dyDescent="0.2">
      <c r="A316" s="303">
        <v>22</v>
      </c>
      <c r="B316" s="304">
        <v>0.97188327402135233</v>
      </c>
      <c r="C316" s="304">
        <v>0.98074639981163569</v>
      </c>
      <c r="D316" s="304">
        <v>0.98825277031880576</v>
      </c>
      <c r="E316" s="304">
        <v>0.99451414379289249</v>
      </c>
      <c r="F316" s="304">
        <v>0.99936612256183721</v>
      </c>
      <c r="G316" s="304">
        <v>1.0037498394293389</v>
      </c>
      <c r="H316" s="304">
        <v>1.0072483985765126</v>
      </c>
      <c r="I316" s="304">
        <v>1.0093595212675817</v>
      </c>
      <c r="J316" s="305">
        <v>1.0111046398915438</v>
      </c>
      <c r="K316" s="304">
        <v>1.0126290137264868</v>
      </c>
      <c r="L316" s="304">
        <v>1.0141082528385019</v>
      </c>
      <c r="M316" s="304">
        <v>1.015662423106253</v>
      </c>
      <c r="N316" s="304">
        <v>1.017131851098684</v>
      </c>
      <c r="O316" s="304">
        <v>1.0184722042874088</v>
      </c>
      <c r="P316" s="304">
        <v>1.0196058973055415</v>
      </c>
      <c r="Q316" s="304">
        <v>1.0204148448369288</v>
      </c>
      <c r="R316" s="304">
        <v>1.0210782918149466</v>
      </c>
      <c r="S316" s="305">
        <v>1.021826055922725</v>
      </c>
      <c r="T316" s="304">
        <v>1.0224805084332915</v>
      </c>
      <c r="U316" s="304">
        <v>1.0230845966852717</v>
      </c>
      <c r="V316" s="304">
        <v>1.0236625493984073</v>
      </c>
      <c r="W316" s="304">
        <v>1.0241987018469518</v>
      </c>
      <c r="X316" s="304">
        <v>1.0246797299060033</v>
      </c>
      <c r="Y316" s="304">
        <v>1.0251176580732722</v>
      </c>
      <c r="Z316" s="304">
        <v>1.0255222070678007</v>
      </c>
      <c r="AA316" s="304">
        <v>1.0259021877666943</v>
      </c>
      <c r="AB316" s="305">
        <v>1.0262657846361229</v>
      </c>
      <c r="AC316" s="304">
        <v>1.026620434383356</v>
      </c>
      <c r="AD316" s="304">
        <v>1.0269724075617543</v>
      </c>
      <c r="AE316" s="304">
        <v>1.0273260091827388</v>
      </c>
      <c r="AF316" s="304">
        <v>1.0276821559404485</v>
      </c>
      <c r="AG316" s="304">
        <v>1.0280406867238738</v>
      </c>
      <c r="AH316" s="304">
        <v>1.0284411785309722</v>
      </c>
      <c r="AI316" s="304">
        <v>1.0288706176441496</v>
      </c>
      <c r="AJ316" s="304">
        <v>1.0293152883466306</v>
      </c>
      <c r="AK316" s="304">
        <v>1.0297708142646922</v>
      </c>
      <c r="AL316" s="330">
        <v>1.0302331076088798</v>
      </c>
      <c r="AM316" s="334">
        <f t="shared" si="4"/>
        <v>1.0302331076088798</v>
      </c>
      <c r="AN316" s="299"/>
    </row>
    <row r="317" spans="1:40" ht="17.45" customHeight="1" x14ac:dyDescent="0.2">
      <c r="A317" s="303">
        <v>23</v>
      </c>
      <c r="B317" s="304">
        <v>0.97205444839857646</v>
      </c>
      <c r="C317" s="304">
        <v>0.98081956480648658</v>
      </c>
      <c r="D317" s="304">
        <v>0.98802151109974279</v>
      </c>
      <c r="E317" s="304">
        <v>0.99461248119541257</v>
      </c>
      <c r="F317" s="304">
        <v>0.99963142608631661</v>
      </c>
      <c r="G317" s="304">
        <v>1.0038960700458668</v>
      </c>
      <c r="H317" s="304">
        <v>1.0074660142348753</v>
      </c>
      <c r="I317" s="304">
        <v>1.0095934327111629</v>
      </c>
      <c r="J317" s="305">
        <v>1.0113343055310584</v>
      </c>
      <c r="K317" s="304">
        <v>1.0128926341782263</v>
      </c>
      <c r="L317" s="304">
        <v>1.0145386480499672</v>
      </c>
      <c r="M317" s="304">
        <v>1.0161802805473994</v>
      </c>
      <c r="N317" s="304">
        <v>1.0176866209117099</v>
      </c>
      <c r="O317" s="304">
        <v>1.0189674377224198</v>
      </c>
      <c r="P317" s="304">
        <v>1.019916475054778</v>
      </c>
      <c r="Q317" s="304">
        <v>1.0206087772317309</v>
      </c>
      <c r="R317" s="304">
        <v>1.0212557829181494</v>
      </c>
      <c r="S317" s="305">
        <v>1.0220320569956811</v>
      </c>
      <c r="T317" s="304">
        <v>1.0227206370333013</v>
      </c>
      <c r="U317" s="304">
        <v>1.0233258814831554</v>
      </c>
      <c r="V317" s="304">
        <v>1.0238861992393005</v>
      </c>
      <c r="W317" s="304">
        <v>1.0244187414470023</v>
      </c>
      <c r="X317" s="304">
        <v>1.024933508896797</v>
      </c>
      <c r="Y317" s="304">
        <v>1.025412883371118</v>
      </c>
      <c r="Z317" s="304">
        <v>1.0258447354133062</v>
      </c>
      <c r="AA317" s="304">
        <v>1.0262414480907938</v>
      </c>
      <c r="AB317" s="305">
        <v>1.026613229868484</v>
      </c>
      <c r="AC317" s="304">
        <v>1.0269690497074024</v>
      </c>
      <c r="AD317" s="304">
        <v>1.0273167573393238</v>
      </c>
      <c r="AE317" s="304">
        <v>1.0276627345728842</v>
      </c>
      <c r="AF317" s="304">
        <v>1.0280110681517418</v>
      </c>
      <c r="AG317" s="304">
        <v>1.0283620219440135</v>
      </c>
      <c r="AH317" s="304">
        <v>1.0287296574564664</v>
      </c>
      <c r="AI317" s="304">
        <v>1.0291495574088989</v>
      </c>
      <c r="AJ317" s="304">
        <v>1.0295952514010307</v>
      </c>
      <c r="AK317" s="304">
        <v>1.0300527187495492</v>
      </c>
      <c r="AL317" s="330">
        <v>1.0305116441281137</v>
      </c>
      <c r="AM317" s="334">
        <f t="shared" si="4"/>
        <v>1.0305116441281137</v>
      </c>
      <c r="AN317" s="299"/>
    </row>
    <row r="318" spans="1:40" ht="17.45" customHeight="1" x14ac:dyDescent="0.2">
      <c r="A318" s="303">
        <v>24</v>
      </c>
      <c r="B318" s="304">
        <v>0.97221921708185055</v>
      </c>
      <c r="C318" s="304">
        <v>0.98079924136427687</v>
      </c>
      <c r="D318" s="304">
        <v>0.98777492730655081</v>
      </c>
      <c r="E318" s="304">
        <v>0.99456301752456655</v>
      </c>
      <c r="F318" s="304">
        <v>0.99989658258804426</v>
      </c>
      <c r="G318" s="304">
        <v>1.0040616056069498</v>
      </c>
      <c r="H318" s="304">
        <v>1.0076669039145907</v>
      </c>
      <c r="I318" s="304">
        <v>1.0098128061157243</v>
      </c>
      <c r="J318" s="305">
        <v>1.0115685913875239</v>
      </c>
      <c r="K318" s="304">
        <v>1.0132490086426027</v>
      </c>
      <c r="L318" s="304">
        <v>1.0150568280329135</v>
      </c>
      <c r="M318" s="304">
        <v>1.0167473927206312</v>
      </c>
      <c r="N318" s="304">
        <v>1.0181954245043214</v>
      </c>
      <c r="O318" s="304">
        <v>1.0193097756192355</v>
      </c>
      <c r="P318" s="304">
        <v>1.0201329218106996</v>
      </c>
      <c r="Q318" s="304">
        <v>1.0207622247475503</v>
      </c>
      <c r="R318" s="304">
        <v>1.0214092526690393</v>
      </c>
      <c r="S318" s="305">
        <v>1.0222062523506166</v>
      </c>
      <c r="T318" s="304">
        <v>1.0229407029317066</v>
      </c>
      <c r="U318" s="304">
        <v>1.0235654816544795</v>
      </c>
      <c r="V318" s="304">
        <v>1.0241276285899457</v>
      </c>
      <c r="W318" s="304">
        <v>1.0246492509850811</v>
      </c>
      <c r="X318" s="304">
        <v>1.0251436035264891</v>
      </c>
      <c r="Y318" s="304">
        <v>1.0256193478053151</v>
      </c>
      <c r="Z318" s="304">
        <v>1.0260827168276565</v>
      </c>
      <c r="AA318" s="304">
        <v>1.0265170371215739</v>
      </c>
      <c r="AB318" s="305">
        <v>1.0269120619101701</v>
      </c>
      <c r="AC318" s="304">
        <v>1.0272802194709061</v>
      </c>
      <c r="AD318" s="304">
        <v>1.0276318355447298</v>
      </c>
      <c r="AE318" s="304">
        <v>1.0279756104473294</v>
      </c>
      <c r="AF318" s="304">
        <v>1.0283183953865058</v>
      </c>
      <c r="AG318" s="304">
        <v>1.0286643473451962</v>
      </c>
      <c r="AH318" s="304">
        <v>1.0290132495262745</v>
      </c>
      <c r="AI318" s="304">
        <v>1.0294044859423299</v>
      </c>
      <c r="AJ318" s="304">
        <v>1.0298442967048203</v>
      </c>
      <c r="AK318" s="304">
        <v>1.0303012854874602</v>
      </c>
      <c r="AL318" s="330">
        <v>1.0307562623284188</v>
      </c>
      <c r="AM318" s="334">
        <f t="shared" si="4"/>
        <v>1.0307562623284188</v>
      </c>
      <c r="AN318" s="299"/>
    </row>
    <row r="319" spans="1:40" ht="17.45" customHeight="1" x14ac:dyDescent="0.2">
      <c r="A319" s="306">
        <v>25</v>
      </c>
      <c r="B319" s="307">
        <v>0.97237544483985761</v>
      </c>
      <c r="C319" s="307">
        <v>0.98057903321470929</v>
      </c>
      <c r="D319" s="307">
        <v>0.9875268840119511</v>
      </c>
      <c r="E319" s="307">
        <v>0.99442491291994284</v>
      </c>
      <c r="F319" s="307">
        <v>1.0001304863582443</v>
      </c>
      <c r="G319" s="307">
        <v>1.004291221826809</v>
      </c>
      <c r="H319" s="307">
        <v>1.0078514234875444</v>
      </c>
      <c r="I319" s="307">
        <v>1.010019718812792</v>
      </c>
      <c r="J319" s="308">
        <v>1.0118308544691106</v>
      </c>
      <c r="K319" s="307">
        <v>1.01372384341637</v>
      </c>
      <c r="L319" s="307">
        <v>1.0156113503764495</v>
      </c>
      <c r="M319" s="307">
        <v>1.0172502541942041</v>
      </c>
      <c r="N319" s="307">
        <v>1.0185518449780926</v>
      </c>
      <c r="O319" s="307">
        <v>1.01954684436052</v>
      </c>
      <c r="P319" s="307">
        <v>1.0202909231308182</v>
      </c>
      <c r="Q319" s="307">
        <v>1.0208869466045722</v>
      </c>
      <c r="R319" s="307">
        <v>1.0215413701067615</v>
      </c>
      <c r="S319" s="308">
        <v>1.0223559222365104</v>
      </c>
      <c r="T319" s="307">
        <v>1.023128892278145</v>
      </c>
      <c r="U319" s="307">
        <v>1.0237895818217648</v>
      </c>
      <c r="V319" s="307">
        <v>1.0243661978114194</v>
      </c>
      <c r="W319" s="307">
        <v>1.0248901679564668</v>
      </c>
      <c r="X319" s="307">
        <v>1.0253778040979564</v>
      </c>
      <c r="Y319" s="307">
        <v>1.0258398498656403</v>
      </c>
      <c r="Z319" s="307">
        <v>1.0262838101644793</v>
      </c>
      <c r="AA319" s="307">
        <v>1.0267152948371199</v>
      </c>
      <c r="AB319" s="308">
        <v>1.0271388747669885</v>
      </c>
      <c r="AC319" s="307">
        <v>1.027539731537626</v>
      </c>
      <c r="AD319" s="307">
        <v>1.0279098774641686</v>
      </c>
      <c r="AE319" s="307">
        <v>1.0282616381999232</v>
      </c>
      <c r="AF319" s="307">
        <v>1.028605084272904</v>
      </c>
      <c r="AG319" s="307">
        <v>1.02894797620111</v>
      </c>
      <c r="AH319" s="307">
        <v>1.0292948885876525</v>
      </c>
      <c r="AI319" s="307">
        <v>1.0296517732656865</v>
      </c>
      <c r="AJ319" s="307">
        <v>1.0300726176954718</v>
      </c>
      <c r="AK319" s="307">
        <v>1.0305256292915232</v>
      </c>
      <c r="AL319" s="332">
        <v>1.0309761904761903</v>
      </c>
      <c r="AM319" s="333">
        <f t="shared" si="4"/>
        <v>1.0309761904761903</v>
      </c>
      <c r="AN319" s="299"/>
    </row>
    <row r="320" spans="1:40" ht="17.45" customHeight="1" x14ac:dyDescent="0.2">
      <c r="A320" s="303">
        <v>26</v>
      </c>
      <c r="B320" s="304">
        <v>0.97252099644128109</v>
      </c>
      <c r="C320" s="304">
        <v>0.98024390170738296</v>
      </c>
      <c r="D320" s="304">
        <v>0.98729127143700712</v>
      </c>
      <c r="E320" s="304">
        <v>0.99423567116077971</v>
      </c>
      <c r="F320" s="304">
        <v>1.0002436966842672</v>
      </c>
      <c r="G320" s="304">
        <v>1.0045625095508246</v>
      </c>
      <c r="H320" s="304">
        <v>1.0080199288256226</v>
      </c>
      <c r="I320" s="304">
        <v>1.0102191255719368</v>
      </c>
      <c r="J320" s="305">
        <v>1.0121683782409758</v>
      </c>
      <c r="K320" s="304">
        <v>1.0142393496864937</v>
      </c>
      <c r="L320" s="304">
        <v>1.0160923233350279</v>
      </c>
      <c r="M320" s="304">
        <v>1.0176021691103634</v>
      </c>
      <c r="N320" s="304">
        <v>1.0187980028494856</v>
      </c>
      <c r="O320" s="304">
        <v>1.0197142762443057</v>
      </c>
      <c r="P320" s="304">
        <v>1.0204094673219228</v>
      </c>
      <c r="Q320" s="304">
        <v>1.0209894766737591</v>
      </c>
      <c r="R320" s="304">
        <v>1.0216548042704625</v>
      </c>
      <c r="S320" s="305">
        <v>1.0224852709342003</v>
      </c>
      <c r="T320" s="304">
        <v>1.0232864045106396</v>
      </c>
      <c r="U320" s="304">
        <v>1.023992355871886</v>
      </c>
      <c r="V320" s="304">
        <v>1.0245920219690305</v>
      </c>
      <c r="W320" s="304">
        <v>1.0251274340161669</v>
      </c>
      <c r="X320" s="304">
        <v>1.0256178036942891</v>
      </c>
      <c r="Y320" s="304">
        <v>1.0260759989285</v>
      </c>
      <c r="Z320" s="304">
        <v>1.0265110032061371</v>
      </c>
      <c r="AA320" s="304">
        <v>1.0269293671756827</v>
      </c>
      <c r="AB320" s="305">
        <v>1.0273361118261499</v>
      </c>
      <c r="AC320" s="304">
        <v>1.027735334915163</v>
      </c>
      <c r="AD320" s="304">
        <v>1.0281306842907982</v>
      </c>
      <c r="AE320" s="304">
        <v>1.0285096180085325</v>
      </c>
      <c r="AF320" s="304">
        <v>1.0288666539719138</v>
      </c>
      <c r="AG320" s="304">
        <v>1.029213870239241</v>
      </c>
      <c r="AH320" s="304">
        <v>1.0295605104636676</v>
      </c>
      <c r="AI320" s="304">
        <v>1.0299120328883262</v>
      </c>
      <c r="AJ320" s="304">
        <v>1.0302928501236472</v>
      </c>
      <c r="AK320" s="304">
        <v>1.0307351685229731</v>
      </c>
      <c r="AL320" s="330">
        <v>1.0311806568378241</v>
      </c>
      <c r="AM320" s="334">
        <f t="shared" si="4"/>
        <v>1.0311806568378241</v>
      </c>
      <c r="AN320" s="299"/>
    </row>
    <row r="321" spans="1:40" ht="17.45" customHeight="1" x14ac:dyDescent="0.2">
      <c r="A321" s="303">
        <v>27</v>
      </c>
      <c r="B321" s="304">
        <v>0.97265373665480415</v>
      </c>
      <c r="C321" s="304">
        <v>0.97999026810932655</v>
      </c>
      <c r="D321" s="304">
        <v>0.98708276681471552</v>
      </c>
      <c r="E321" s="304">
        <v>0.99402392917681326</v>
      </c>
      <c r="F321" s="304">
        <v>1.0001853667427045</v>
      </c>
      <c r="G321" s="304">
        <v>1.0047947989621595</v>
      </c>
      <c r="H321" s="304">
        <v>1.0081727758007115</v>
      </c>
      <c r="I321" s="304">
        <v>1.0104227980505498</v>
      </c>
      <c r="J321" s="305">
        <v>1.0125973571962064</v>
      </c>
      <c r="K321" s="304">
        <v>1.0146820284697506</v>
      </c>
      <c r="L321" s="304">
        <v>1.0164207732409314</v>
      </c>
      <c r="M321" s="304">
        <v>1.0178423425826548</v>
      </c>
      <c r="N321" s="304">
        <v>1.0189683088473176</v>
      </c>
      <c r="O321" s="304">
        <v>1.0198339161643304</v>
      </c>
      <c r="P321" s="304">
        <v>1.0205000656929877</v>
      </c>
      <c r="Q321" s="304">
        <v>1.0210743796450965</v>
      </c>
      <c r="R321" s="304">
        <v>1.0217522241992882</v>
      </c>
      <c r="S321" s="305">
        <v>1.0225976233541261</v>
      </c>
      <c r="T321" s="304">
        <v>1.0234208488673762</v>
      </c>
      <c r="U321" s="304">
        <v>1.024166531255257</v>
      </c>
      <c r="V321" s="304">
        <v>1.0248003639648418</v>
      </c>
      <c r="W321" s="304">
        <v>1.02535377099281</v>
      </c>
      <c r="X321" s="304">
        <v>1.0258535492364758</v>
      </c>
      <c r="Y321" s="304">
        <v>1.0263147537433821</v>
      </c>
      <c r="Z321" s="304">
        <v>1.0267479614472124</v>
      </c>
      <c r="AA321" s="304">
        <v>1.0271608503998231</v>
      </c>
      <c r="AB321" s="305">
        <v>1.0275591899299614</v>
      </c>
      <c r="AC321" s="304">
        <v>1.0279474848205263</v>
      </c>
      <c r="AD321" s="304">
        <v>1.0283294174734585</v>
      </c>
      <c r="AE321" s="304">
        <v>1.0287081871025172</v>
      </c>
      <c r="AF321" s="304">
        <v>1.0290868469750889</v>
      </c>
      <c r="AG321" s="304">
        <v>1.0294553837774369</v>
      </c>
      <c r="AH321" s="304">
        <v>1.0298110224794046</v>
      </c>
      <c r="AI321" s="304">
        <v>1.0301653070488743</v>
      </c>
      <c r="AJ321" s="304">
        <v>1.0305253112723576</v>
      </c>
      <c r="AK321" s="304">
        <v>1.030939875427064</v>
      </c>
      <c r="AL321" s="330">
        <v>1.0313788896797151</v>
      </c>
      <c r="AM321" s="334">
        <f t="shared" si="4"/>
        <v>1.0313788896797151</v>
      </c>
      <c r="AN321" s="299"/>
    </row>
    <row r="322" spans="1:40" ht="17.45" customHeight="1" x14ac:dyDescent="0.2">
      <c r="A322" s="303">
        <v>28</v>
      </c>
      <c r="B322" s="304">
        <v>0.97277153024911045</v>
      </c>
      <c r="C322" s="304">
        <v>0.97982554736337579</v>
      </c>
      <c r="D322" s="304">
        <v>0.98691848184448494</v>
      </c>
      <c r="E322" s="304">
        <v>0.99382152501596399</v>
      </c>
      <c r="F322" s="304">
        <v>1.0000328108136594</v>
      </c>
      <c r="G322" s="304">
        <v>1.0049761797439831</v>
      </c>
      <c r="H322" s="304">
        <v>1.0083103202846975</v>
      </c>
      <c r="I322" s="304">
        <v>1.0106658532452126</v>
      </c>
      <c r="J322" s="305">
        <v>1.012979766141332</v>
      </c>
      <c r="K322" s="304">
        <v>1.0149678318638298</v>
      </c>
      <c r="L322" s="304">
        <v>1.0166380855545065</v>
      </c>
      <c r="M322" s="304">
        <v>1.0180034137936587</v>
      </c>
      <c r="N322" s="304">
        <v>1.0190851619625048</v>
      </c>
      <c r="O322" s="304">
        <v>1.0199199061572217</v>
      </c>
      <c r="P322" s="304">
        <v>1.0205704190573026</v>
      </c>
      <c r="Q322" s="304">
        <v>1.0211453324477708</v>
      </c>
      <c r="R322" s="304">
        <v>1.0218362989323844</v>
      </c>
      <c r="S322" s="305">
        <v>1.0226959739898807</v>
      </c>
      <c r="T322" s="304">
        <v>1.0235373563350845</v>
      </c>
      <c r="U322" s="304">
        <v>1.0243130300820684</v>
      </c>
      <c r="V322" s="304">
        <v>1.0249888601931876</v>
      </c>
      <c r="W322" s="304">
        <v>1.0255654793193774</v>
      </c>
      <c r="X322" s="304">
        <v>1.0260796453124912</v>
      </c>
      <c r="Y322" s="304">
        <v>1.0265487846732999</v>
      </c>
      <c r="Z322" s="304">
        <v>1.026985200438518</v>
      </c>
      <c r="AA322" s="304">
        <v>1.027397821558558</v>
      </c>
      <c r="AB322" s="305">
        <v>1.0277933132840009</v>
      </c>
      <c r="AC322" s="304">
        <v>1.028176799900651</v>
      </c>
      <c r="AD322" s="304">
        <v>1.0285523471144458</v>
      </c>
      <c r="AE322" s="304">
        <v>1.028923294632871</v>
      </c>
      <c r="AF322" s="304">
        <v>1.0292925005231828</v>
      </c>
      <c r="AG322" s="304">
        <v>1.0296625542594997</v>
      </c>
      <c r="AH322" s="304">
        <v>1.0300360643958653</v>
      </c>
      <c r="AI322" s="304">
        <v>1.030405756635679</v>
      </c>
      <c r="AJ322" s="304">
        <v>1.0307718417182126</v>
      </c>
      <c r="AK322" s="304">
        <v>1.0311519033497332</v>
      </c>
      <c r="AL322" s="330">
        <v>1.0315801172682597</v>
      </c>
      <c r="AM322" s="334">
        <f t="shared" si="4"/>
        <v>1.0315801172682597</v>
      </c>
      <c r="AN322" s="299"/>
    </row>
    <row r="323" spans="1:40" ht="17.45" customHeight="1" x14ac:dyDescent="0.2">
      <c r="A323" s="303">
        <v>29</v>
      </c>
      <c r="B323" s="304">
        <v>0.97287224199288269</v>
      </c>
      <c r="C323" s="304">
        <v>0.97975674597292206</v>
      </c>
      <c r="D323" s="304">
        <v>0.9868216193687892</v>
      </c>
      <c r="E323" s="304">
        <v>0.9936739178868228</v>
      </c>
      <c r="F323" s="304">
        <v>0.99987269873390372</v>
      </c>
      <c r="G323" s="304">
        <v>1.0049644860176039</v>
      </c>
      <c r="H323" s="304">
        <v>1.008432918149466</v>
      </c>
      <c r="I323" s="304">
        <v>1.0109459328927299</v>
      </c>
      <c r="J323" s="305">
        <v>1.0132034733622486</v>
      </c>
      <c r="K323" s="304">
        <v>1.0151439183252051</v>
      </c>
      <c r="L323" s="304">
        <v>1.0167740908819041</v>
      </c>
      <c r="M323" s="304">
        <v>1.018106496275853</v>
      </c>
      <c r="N323" s="304">
        <v>1.0191631289858156</v>
      </c>
      <c r="O323" s="304">
        <v>1.0199816559974269</v>
      </c>
      <c r="P323" s="304">
        <v>1.0206260541159118</v>
      </c>
      <c r="Q323" s="304">
        <v>1.0212055511620755</v>
      </c>
      <c r="R323" s="304">
        <v>1.0219096975088966</v>
      </c>
      <c r="S323" s="305">
        <v>1.0227831696348515</v>
      </c>
      <c r="T323" s="304">
        <v>1.0236399540400141</v>
      </c>
      <c r="U323" s="304">
        <v>1.0244389186555762</v>
      </c>
      <c r="V323" s="304">
        <v>1.0251521662225729</v>
      </c>
      <c r="W323" s="304">
        <v>1.0257606501509557</v>
      </c>
      <c r="X323" s="304">
        <v>1.0262933032317183</v>
      </c>
      <c r="Y323" s="304">
        <v>1.0267741248469135</v>
      </c>
      <c r="Z323" s="304">
        <v>1.0272173747006048</v>
      </c>
      <c r="AA323" s="304">
        <v>1.0276333765207557</v>
      </c>
      <c r="AB323" s="305">
        <v>1.0280297972023356</v>
      </c>
      <c r="AC323" s="304">
        <v>1.0284124820770333</v>
      </c>
      <c r="AD323" s="304">
        <v>1.0287860111240226</v>
      </c>
      <c r="AE323" s="304">
        <v>1.0291540760281499</v>
      </c>
      <c r="AF323" s="304">
        <v>1.0295197403910374</v>
      </c>
      <c r="AG323" s="304">
        <v>1.0298856235867115</v>
      </c>
      <c r="AH323" s="304">
        <v>1.0302540378858114</v>
      </c>
      <c r="AI323" s="304">
        <v>1.0306271136046568</v>
      </c>
      <c r="AJ323" s="304">
        <v>1.0310070381291307</v>
      </c>
      <c r="AK323" s="304">
        <v>1.031389687523909</v>
      </c>
      <c r="AL323" s="330">
        <v>1.0317935678698527</v>
      </c>
      <c r="AM323" s="334">
        <f t="shared" si="4"/>
        <v>1.0317935678698527</v>
      </c>
      <c r="AN323" s="299"/>
    </row>
    <row r="324" spans="1:40" ht="17.45" customHeight="1" x14ac:dyDescent="0.2">
      <c r="A324" s="306">
        <v>30</v>
      </c>
      <c r="B324" s="307">
        <v>0.97295373665480422</v>
      </c>
      <c r="C324" s="307">
        <v>0.97978614735732172</v>
      </c>
      <c r="D324" s="307">
        <v>0.98683010412547767</v>
      </c>
      <c r="E324" s="307">
        <v>0.99365658362989318</v>
      </c>
      <c r="F324" s="307">
        <v>0.99983656254118869</v>
      </c>
      <c r="G324" s="307">
        <v>1.0049410175299853</v>
      </c>
      <c r="H324" s="307">
        <v>1.0085409252669038</v>
      </c>
      <c r="I324" s="307">
        <v>1.0110871305206262</v>
      </c>
      <c r="J324" s="308">
        <v>1.0133173501317696</v>
      </c>
      <c r="K324" s="307">
        <v>1.0152347245994902</v>
      </c>
      <c r="L324" s="307">
        <v>1.0168460642264021</v>
      </c>
      <c r="M324" s="307">
        <v>1.0181640980499225</v>
      </c>
      <c r="N324" s="307">
        <v>1.0192111575692808</v>
      </c>
      <c r="O324" s="307">
        <v>1.020025340956151</v>
      </c>
      <c r="P324" s="307">
        <v>1.020671097805143</v>
      </c>
      <c r="Q324" s="307">
        <v>1.0212579766561487</v>
      </c>
      <c r="R324" s="307">
        <v>1.0219750889679715</v>
      </c>
      <c r="S324" s="308">
        <v>1.0228619820871541</v>
      </c>
      <c r="T324" s="307">
        <v>1.0237321140726754</v>
      </c>
      <c r="U324" s="307">
        <v>1.0245494921441887</v>
      </c>
      <c r="V324" s="307">
        <v>1.0252913070101113</v>
      </c>
      <c r="W324" s="307">
        <v>1.0259380613455347</v>
      </c>
      <c r="X324" s="307">
        <v>1.0264931123204164</v>
      </c>
      <c r="Y324" s="307">
        <v>1.0269887580578194</v>
      </c>
      <c r="Z324" s="307">
        <v>1.0274416314221695</v>
      </c>
      <c r="AA324" s="307">
        <v>1.0278636815022719</v>
      </c>
      <c r="AB324" s="308">
        <v>1.0282637067163756</v>
      </c>
      <c r="AC324" s="307">
        <v>1.0286483513399665</v>
      </c>
      <c r="AD324" s="307">
        <v>1.0290227661160916</v>
      </c>
      <c r="AE324" s="307">
        <v>1.0293910538552788</v>
      </c>
      <c r="AF324" s="307">
        <v>1.029756574665311</v>
      </c>
      <c r="AG324" s="307">
        <v>1.0301221579016739</v>
      </c>
      <c r="AH324" s="307">
        <v>1.0304902511361194</v>
      </c>
      <c r="AI324" s="307">
        <v>1.0308630259847151</v>
      </c>
      <c r="AJ324" s="307">
        <v>1.0312424539999947</v>
      </c>
      <c r="AK324" s="307">
        <v>1.031630361544746</v>
      </c>
      <c r="AL324" s="332">
        <v>1.0320284697508897</v>
      </c>
      <c r="AM324" s="333">
        <f t="shared" si="4"/>
        <v>1.0320284697508897</v>
      </c>
      <c r="AN324" s="299"/>
    </row>
    <row r="325" spans="1:40" ht="17.45" customHeight="1" x14ac:dyDescent="0.2">
      <c r="A325" s="303">
        <v>31</v>
      </c>
      <c r="B325" s="304">
        <v>0.97301138790035591</v>
      </c>
      <c r="C325" s="304">
        <v>0.97989315717370573</v>
      </c>
      <c r="D325" s="304">
        <v>0.98696529752858497</v>
      </c>
      <c r="E325" s="304">
        <v>0.99382683336210331</v>
      </c>
      <c r="F325" s="304">
        <v>1.000035842990123</v>
      </c>
      <c r="G325" s="304">
        <v>1.0051383269480259</v>
      </c>
      <c r="H325" s="304">
        <v>1.0086158362989324</v>
      </c>
      <c r="I325" s="304">
        <v>1.0111065836298931</v>
      </c>
      <c r="J325" s="305">
        <v>1.0133331797806215</v>
      </c>
      <c r="K325" s="304">
        <v>1.015248688180074</v>
      </c>
      <c r="L325" s="304">
        <v>1.0168606091190924</v>
      </c>
      <c r="M325" s="304">
        <v>1.0181815763672017</v>
      </c>
      <c r="N325" s="304">
        <v>1.0192336524279288</v>
      </c>
      <c r="O325" s="304">
        <v>1.0200546080048694</v>
      </c>
      <c r="P325" s="304">
        <v>1.0207086280267774</v>
      </c>
      <c r="Q325" s="304">
        <v>1.0213053542923254</v>
      </c>
      <c r="R325" s="304">
        <v>1.0220351423487544</v>
      </c>
      <c r="S325" s="305">
        <v>1.0229351406294773</v>
      </c>
      <c r="T325" s="304">
        <v>1.0238170016506232</v>
      </c>
      <c r="U325" s="304">
        <v>1.0246490759369422</v>
      </c>
      <c r="V325" s="304">
        <v>1.0254128129859255</v>
      </c>
      <c r="W325" s="304">
        <v>1.0260934739466481</v>
      </c>
      <c r="X325" s="304">
        <v>1.026678240119131</v>
      </c>
      <c r="Y325" s="304">
        <v>1.0271917402197994</v>
      </c>
      <c r="Z325" s="304">
        <v>1.0276565912732107</v>
      </c>
      <c r="AA325" s="304">
        <v>1.0280867641651326</v>
      </c>
      <c r="AB325" s="305">
        <v>1.0284923967006629</v>
      </c>
      <c r="AC325" s="304">
        <v>1.0288810368983166</v>
      </c>
      <c r="AD325" s="304">
        <v>1.0292584550596349</v>
      </c>
      <c r="AE325" s="304">
        <v>1.0296291844481564</v>
      </c>
      <c r="AF325" s="304">
        <v>1.029996887279532</v>
      </c>
      <c r="AG325" s="304">
        <v>1.0303646058121705</v>
      </c>
      <c r="AH325" s="304">
        <v>1.0307349358784137</v>
      </c>
      <c r="AI325" s="304">
        <v>1.0311101450852136</v>
      </c>
      <c r="AJ325" s="304">
        <v>1.0314922419167667</v>
      </c>
      <c r="AK325" s="304">
        <v>1.0318829435688868</v>
      </c>
      <c r="AL325" s="330">
        <v>1.0322293787493646</v>
      </c>
      <c r="AM325" s="334">
        <f t="shared" si="4"/>
        <v>1.0322293787493646</v>
      </c>
      <c r="AN325" s="299"/>
    </row>
    <row r="326" spans="1:40" ht="17.45" customHeight="1" x14ac:dyDescent="0.2">
      <c r="A326" s="303">
        <v>32</v>
      </c>
      <c r="B326" s="304">
        <v>0.97304483985765133</v>
      </c>
      <c r="C326" s="304">
        <v>0.98008346499847265</v>
      </c>
      <c r="D326" s="304">
        <v>0.98718367320048994</v>
      </c>
      <c r="E326" s="304">
        <v>0.99410242813110616</v>
      </c>
      <c r="F326" s="304">
        <v>1.0003332800862776</v>
      </c>
      <c r="G326" s="304">
        <v>1.00529575451952</v>
      </c>
      <c r="H326" s="304">
        <v>1.0086443653618029</v>
      </c>
      <c r="I326" s="304">
        <v>1.0110671411625147</v>
      </c>
      <c r="J326" s="305">
        <v>1.0132378015025703</v>
      </c>
      <c r="K326" s="304">
        <v>1.0151789328005658</v>
      </c>
      <c r="L326" s="304">
        <v>1.0168141816157066</v>
      </c>
      <c r="M326" s="304">
        <v>1.0181575427689096</v>
      </c>
      <c r="N326" s="304">
        <v>1.0192307744450093</v>
      </c>
      <c r="O326" s="304">
        <v>1.0200707709677206</v>
      </c>
      <c r="P326" s="304">
        <v>1.0207407695225186</v>
      </c>
      <c r="Q326" s="304">
        <v>1.0213502553287843</v>
      </c>
      <c r="R326" s="304">
        <v>1.0220925266903915</v>
      </c>
      <c r="S326" s="305">
        <v>1.023005347384101</v>
      </c>
      <c r="T326" s="304">
        <v>1.0238975973086797</v>
      </c>
      <c r="U326" s="304">
        <v>1.0247414248653808</v>
      </c>
      <c r="V326" s="304">
        <v>1.0255219290540838</v>
      </c>
      <c r="W326" s="304">
        <v>1.0262282669562179</v>
      </c>
      <c r="X326" s="304">
        <v>1.0268478047788512</v>
      </c>
      <c r="Y326" s="304">
        <v>1.0273826174049023</v>
      </c>
      <c r="Z326" s="304">
        <v>1.0278617042296798</v>
      </c>
      <c r="AA326" s="304">
        <v>1.0283017542426223</v>
      </c>
      <c r="AB326" s="305">
        <v>1.0287145977755712</v>
      </c>
      <c r="AC326" s="304">
        <v>1.0291088586371058</v>
      </c>
      <c r="AD326" s="304">
        <v>1.0294910024892203</v>
      </c>
      <c r="AE326" s="304">
        <v>1.0298660176835424</v>
      </c>
      <c r="AF326" s="304">
        <v>1.0302378659555438</v>
      </c>
      <c r="AG326" s="304">
        <v>1.0306097848645508</v>
      </c>
      <c r="AH326" s="304">
        <v>1.0309844908836103</v>
      </c>
      <c r="AI326" s="304">
        <v>1.0313643091873228</v>
      </c>
      <c r="AJ326" s="304">
        <v>1.0317512286053212</v>
      </c>
      <c r="AK326" s="304">
        <v>1.0320571198938873</v>
      </c>
      <c r="AL326" s="330">
        <v>1.0323447605490597</v>
      </c>
      <c r="AM326" s="334">
        <f t="shared" si="4"/>
        <v>1.0323447605490597</v>
      </c>
      <c r="AN326" s="299"/>
    </row>
    <row r="327" spans="1:40" ht="17.45" customHeight="1" x14ac:dyDescent="0.2">
      <c r="A327" s="303">
        <v>33</v>
      </c>
      <c r="B327" s="304">
        <v>0.97305836298932369</v>
      </c>
      <c r="C327" s="304">
        <v>0.98036712698425477</v>
      </c>
      <c r="D327" s="304">
        <v>0.98746085037362374</v>
      </c>
      <c r="E327" s="304">
        <v>0.99442075420643716</v>
      </c>
      <c r="F327" s="304">
        <v>1.000607741935909</v>
      </c>
      <c r="G327" s="304">
        <v>1.0052354500898912</v>
      </c>
      <c r="H327" s="304">
        <v>1.0086346975088967</v>
      </c>
      <c r="I327" s="304">
        <v>1.0110043368041823</v>
      </c>
      <c r="J327" s="305">
        <v>1.01314369455062</v>
      </c>
      <c r="K327" s="304">
        <v>1.0150023131672596</v>
      </c>
      <c r="L327" s="304">
        <v>1.0166923818065556</v>
      </c>
      <c r="M327" s="304">
        <v>1.0180833312411999</v>
      </c>
      <c r="N327" s="304">
        <v>1.0191980589485874</v>
      </c>
      <c r="O327" s="304">
        <v>1.0200725682087781</v>
      </c>
      <c r="P327" s="304">
        <v>1.0207685779351061</v>
      </c>
      <c r="Q327" s="304">
        <v>1.021395051686155</v>
      </c>
      <c r="R327" s="304">
        <v>1.0221499110320285</v>
      </c>
      <c r="S327" s="305">
        <v>1.0230752841288349</v>
      </c>
      <c r="T327" s="304">
        <v>1.0239767598370788</v>
      </c>
      <c r="U327" s="304">
        <v>1.0248299361016937</v>
      </c>
      <c r="V327" s="304">
        <v>1.0256231095193193</v>
      </c>
      <c r="W327" s="304">
        <v>1.026348647144705</v>
      </c>
      <c r="X327" s="304">
        <v>1.026998252989852</v>
      </c>
      <c r="Y327" s="304">
        <v>1.0275609748293728</v>
      </c>
      <c r="Z327" s="304">
        <v>1.0280568272060426</v>
      </c>
      <c r="AA327" s="304">
        <v>1.0285084018927164</v>
      </c>
      <c r="AB327" s="305">
        <v>1.0289298389037262</v>
      </c>
      <c r="AC327" s="304">
        <v>1.029331128234924</v>
      </c>
      <c r="AD327" s="304">
        <v>1.0297195585032668</v>
      </c>
      <c r="AE327" s="304">
        <v>1.0301006208445502</v>
      </c>
      <c r="AF327" s="304">
        <v>1.0304785876844478</v>
      </c>
      <c r="AG327" s="304">
        <v>1.0308568909515499</v>
      </c>
      <c r="AH327" s="304">
        <v>1.0312383720746197</v>
      </c>
      <c r="AI327" s="304">
        <v>1.0316254448398576</v>
      </c>
      <c r="AJ327" s="304">
        <v>1.0319235030315013</v>
      </c>
      <c r="AK327" s="304">
        <v>1.0321313600456923</v>
      </c>
      <c r="AL327" s="330">
        <v>1.0323897081850533</v>
      </c>
      <c r="AM327" s="334">
        <f t="shared" si="4"/>
        <v>1.0323897081850533</v>
      </c>
      <c r="AN327" s="299"/>
    </row>
    <row r="328" spans="1:40" ht="17.45" customHeight="1" x14ac:dyDescent="0.2">
      <c r="A328" s="303">
        <v>34</v>
      </c>
      <c r="B328" s="304">
        <v>0.97305622775800704</v>
      </c>
      <c r="C328" s="304">
        <v>0.98074347355099833</v>
      </c>
      <c r="D328" s="304">
        <v>0.98778146581179094</v>
      </c>
      <c r="E328" s="304">
        <v>0.9947439688976959</v>
      </c>
      <c r="F328" s="304">
        <v>1.0007774201888835</v>
      </c>
      <c r="G328" s="304">
        <v>1.0050987617370972</v>
      </c>
      <c r="H328" s="304">
        <v>1.0085950177935943</v>
      </c>
      <c r="I328" s="304">
        <v>1.0109464323843413</v>
      </c>
      <c r="J328" s="305">
        <v>1.0130021352313165</v>
      </c>
      <c r="K328" s="304">
        <v>1.0148797489126136</v>
      </c>
      <c r="L328" s="304">
        <v>1.0164678529062869</v>
      </c>
      <c r="M328" s="304">
        <v>1.0179413912085291</v>
      </c>
      <c r="N328" s="304">
        <v>1.0191252376140474</v>
      </c>
      <c r="O328" s="304">
        <v>1.0200553963222299</v>
      </c>
      <c r="P328" s="304">
        <v>1.0207916624300966</v>
      </c>
      <c r="Q328" s="304">
        <v>1.0214418308767206</v>
      </c>
      <c r="R328" s="304">
        <v>1.0222099644128113</v>
      </c>
      <c r="S328" s="305">
        <v>1.0231476136635438</v>
      </c>
      <c r="T328" s="304">
        <v>1.0240572577367839</v>
      </c>
      <c r="U328" s="304">
        <v>1.0249177677750918</v>
      </c>
      <c r="V328" s="304">
        <v>1.0257203010987415</v>
      </c>
      <c r="W328" s="304">
        <v>1.0264598735646098</v>
      </c>
      <c r="X328" s="304">
        <v>1.0271315519790836</v>
      </c>
      <c r="Y328" s="304">
        <v>1.0277259359430604</v>
      </c>
      <c r="Z328" s="304">
        <v>1.0282419173466577</v>
      </c>
      <c r="AA328" s="304">
        <v>1.0287067689513849</v>
      </c>
      <c r="AB328" s="305">
        <v>1.029138081020166</v>
      </c>
      <c r="AC328" s="304">
        <v>1.0295477106246329</v>
      </c>
      <c r="AD328" s="304">
        <v>1.0299439780157706</v>
      </c>
      <c r="AE328" s="304">
        <v>1.0303329548161957</v>
      </c>
      <c r="AF328" s="304">
        <v>1.0307192492816659</v>
      </c>
      <c r="AG328" s="304">
        <v>1.0311065021310493</v>
      </c>
      <c r="AH328" s="304">
        <v>1.0314977122521607</v>
      </c>
      <c r="AI328" s="304">
        <v>1.0317974393928391</v>
      </c>
      <c r="AJ328" s="304">
        <v>1.0319807599559396</v>
      </c>
      <c r="AK328" s="304">
        <v>1.0321424733096085</v>
      </c>
      <c r="AL328" s="330">
        <v>1.0323793146924252</v>
      </c>
      <c r="AM328" s="334">
        <f t="shared" si="4"/>
        <v>1.0323793146924252</v>
      </c>
      <c r="AN328" s="299"/>
    </row>
    <row r="329" spans="1:40" ht="17.45" customHeight="1" x14ac:dyDescent="0.2">
      <c r="A329" s="306">
        <v>35</v>
      </c>
      <c r="B329" s="307">
        <v>0.97304270462633446</v>
      </c>
      <c r="C329" s="307">
        <v>0.98120996441281139</v>
      </c>
      <c r="D329" s="307">
        <v>0.98813394954513478</v>
      </c>
      <c r="E329" s="307">
        <v>0.99504538703820811</v>
      </c>
      <c r="F329" s="307">
        <v>1.0007666073546855</v>
      </c>
      <c r="G329" s="307">
        <v>1.0049214116251481</v>
      </c>
      <c r="H329" s="307">
        <v>1.0085335112692762</v>
      </c>
      <c r="I329" s="307">
        <v>1.0108774360277919</v>
      </c>
      <c r="J329" s="308">
        <v>1.0128751834277931</v>
      </c>
      <c r="K329" s="307">
        <v>1.014758159424747</v>
      </c>
      <c r="L329" s="307">
        <v>1.016344657685138</v>
      </c>
      <c r="M329" s="307">
        <v>1.0177021550019769</v>
      </c>
      <c r="N329" s="307">
        <v>1.0189938768348974</v>
      </c>
      <c r="O329" s="307">
        <v>1.0200097199021956</v>
      </c>
      <c r="P329" s="307">
        <v>1.0208073675496296</v>
      </c>
      <c r="Q329" s="307">
        <v>1.0214922007883158</v>
      </c>
      <c r="R329" s="307">
        <v>1.0222753558718862</v>
      </c>
      <c r="S329" s="308">
        <v>1.0232249759105787</v>
      </c>
      <c r="T329" s="307">
        <v>1.0241417806105264</v>
      </c>
      <c r="U329" s="307">
        <v>1.0250079054991779</v>
      </c>
      <c r="V329" s="307">
        <v>1.025817113010929</v>
      </c>
      <c r="W329" s="307">
        <v>1.0265665930758754</v>
      </c>
      <c r="X329" s="307">
        <v>1.0272539584018658</v>
      </c>
      <c r="Y329" s="307">
        <v>1.0278743684996727</v>
      </c>
      <c r="Z329" s="307">
        <v>1.0284167320703568</v>
      </c>
      <c r="AA329" s="307">
        <v>1.0288970254959924</v>
      </c>
      <c r="AB329" s="308">
        <v>1.0293394846824455</v>
      </c>
      <c r="AC329" s="307">
        <v>1.0297587507684915</v>
      </c>
      <c r="AD329" s="307">
        <v>1.0301645157818289</v>
      </c>
      <c r="AE329" s="307">
        <v>1.0305635411993714</v>
      </c>
      <c r="AF329" s="307">
        <v>1.0309607983353655</v>
      </c>
      <c r="AG329" s="307">
        <v>1.0313601508218946</v>
      </c>
      <c r="AH329" s="307">
        <v>1.031666558336001</v>
      </c>
      <c r="AI329" s="307">
        <v>1.0318461696564747</v>
      </c>
      <c r="AJ329" s="307">
        <v>1.0319727597622679</v>
      </c>
      <c r="AK329" s="307">
        <v>1.0321099056029424</v>
      </c>
      <c r="AL329" s="332">
        <v>1.0323286731062531</v>
      </c>
      <c r="AM329" s="333">
        <f t="shared" si="4"/>
        <v>1.0323286731062531</v>
      </c>
      <c r="AN329" s="299"/>
    </row>
    <row r="330" spans="1:40" ht="17.45" customHeight="1" x14ac:dyDescent="0.2">
      <c r="A330" s="303">
        <v>36</v>
      </c>
      <c r="B330" s="304">
        <v>0.97302206405693947</v>
      </c>
      <c r="C330" s="304">
        <v>0.98157536778497634</v>
      </c>
      <c r="D330" s="304">
        <v>0.98850830030897274</v>
      </c>
      <c r="E330" s="304">
        <v>0.9953002869225509</v>
      </c>
      <c r="F330" s="304">
        <v>1.0006404608469255</v>
      </c>
      <c r="G330" s="304">
        <v>1.0048042817842937</v>
      </c>
      <c r="H330" s="304">
        <v>1.0084583629893236</v>
      </c>
      <c r="I330" s="304">
        <v>1.0107979649400289</v>
      </c>
      <c r="J330" s="305">
        <v>1.0127902148411758</v>
      </c>
      <c r="K330" s="304">
        <v>1.0145992882562278</v>
      </c>
      <c r="L330" s="304">
        <v>1.0162792197179387</v>
      </c>
      <c r="M330" s="304">
        <v>1.0176054971222706</v>
      </c>
      <c r="N330" s="304">
        <v>1.0187729537366548</v>
      </c>
      <c r="O330" s="304">
        <v>1.0199179383930812</v>
      </c>
      <c r="P330" s="304">
        <v>1.0208090532887291</v>
      </c>
      <c r="Q330" s="304">
        <v>1.0215468425092458</v>
      </c>
      <c r="R330" s="304">
        <v>1.0223487544483987</v>
      </c>
      <c r="S330" s="305">
        <v>1.023309975891092</v>
      </c>
      <c r="T330" s="304">
        <v>1.024232933129978</v>
      </c>
      <c r="U330" s="304">
        <v>1.0251031965526425</v>
      </c>
      <c r="V330" s="304">
        <v>1.0259169237003145</v>
      </c>
      <c r="W330" s="304">
        <v>1.0266730579320698</v>
      </c>
      <c r="X330" s="304">
        <v>1.0273710642941873</v>
      </c>
      <c r="Y330" s="304">
        <v>1.0280092450419578</v>
      </c>
      <c r="Z330" s="304">
        <v>1.0285803002880869</v>
      </c>
      <c r="AA330" s="304">
        <v>1.029079298995712</v>
      </c>
      <c r="AB330" s="305">
        <v>1.0295342637265037</v>
      </c>
      <c r="AC330" s="304">
        <v>1.0299645104326323</v>
      </c>
      <c r="AD330" s="304">
        <v>1.0303816804185855</v>
      </c>
      <c r="AE330" s="304">
        <v>1.0307933586902456</v>
      </c>
      <c r="AF330" s="304">
        <v>1.0312048805287239</v>
      </c>
      <c r="AG330" s="304">
        <v>1.031521734847201</v>
      </c>
      <c r="AH330" s="304">
        <v>1.031707906381216</v>
      </c>
      <c r="AI330" s="304">
        <v>1.0318271083489827</v>
      </c>
      <c r="AJ330" s="304">
        <v>1.0319263754165962</v>
      </c>
      <c r="AK330" s="304">
        <v>1.0320502169751518</v>
      </c>
      <c r="AL330" s="330">
        <v>1.0322528764616168</v>
      </c>
      <c r="AM330" s="334">
        <f t="shared" si="4"/>
        <v>1.0322528764616168</v>
      </c>
      <c r="AN330" s="299"/>
    </row>
    <row r="331" spans="1:40" ht="17.45" customHeight="1" x14ac:dyDescent="0.2">
      <c r="A331" s="303">
        <v>37</v>
      </c>
      <c r="B331" s="304">
        <v>0.97299857651245536</v>
      </c>
      <c r="C331" s="304">
        <v>0.98175269641390639</v>
      </c>
      <c r="D331" s="304">
        <v>0.98889507518619546</v>
      </c>
      <c r="E331" s="304">
        <v>0.99547407060632886</v>
      </c>
      <c r="F331" s="304">
        <v>1.0004899884028109</v>
      </c>
      <c r="G331" s="304">
        <v>1.0047617907004027</v>
      </c>
      <c r="H331" s="304">
        <v>1.0083777580071172</v>
      </c>
      <c r="I331" s="304">
        <v>1.0107138027452973</v>
      </c>
      <c r="J331" s="305">
        <v>1.0127232413392402</v>
      </c>
      <c r="K331" s="304">
        <v>1.0145038586680224</v>
      </c>
      <c r="L331" s="304">
        <v>1.0161832155566852</v>
      </c>
      <c r="M331" s="304">
        <v>1.0176166272060425</v>
      </c>
      <c r="N331" s="304">
        <v>1.0187276662147657</v>
      </c>
      <c r="O331" s="304">
        <v>1.0197479833926451</v>
      </c>
      <c r="P331" s="304">
        <v>1.0207822478794852</v>
      </c>
      <c r="Q331" s="304">
        <v>1.0216043788700111</v>
      </c>
      <c r="R331" s="304">
        <v>1.0224328291814946</v>
      </c>
      <c r="S331" s="305">
        <v>1.0234051542908977</v>
      </c>
      <c r="T331" s="304">
        <v>1.0243332063750294</v>
      </c>
      <c r="U331" s="304">
        <v>1.0252063596163021</v>
      </c>
      <c r="V331" s="304">
        <v>1.0260229505389733</v>
      </c>
      <c r="W331" s="304">
        <v>1.0267832779854529</v>
      </c>
      <c r="X331" s="304">
        <v>1.0274880654226102</v>
      </c>
      <c r="Y331" s="304">
        <v>1.0281376037114112</v>
      </c>
      <c r="Z331" s="304">
        <v>1.0287298047581097</v>
      </c>
      <c r="AA331" s="304">
        <v>1.0292534967329341</v>
      </c>
      <c r="AB331" s="305">
        <v>1.0297225945449715</v>
      </c>
      <c r="AC331" s="304">
        <v>1.0301652910397217</v>
      </c>
      <c r="AD331" s="304">
        <v>1.0305962587230617</v>
      </c>
      <c r="AE331" s="304">
        <v>1.0310240213523132</v>
      </c>
      <c r="AF331" s="304">
        <v>1.0313550411068342</v>
      </c>
      <c r="AG331" s="304">
        <v>1.0315550331420824</v>
      </c>
      <c r="AH331" s="304">
        <v>1.0316820772542876</v>
      </c>
      <c r="AI331" s="304">
        <v>1.0317738973677932</v>
      </c>
      <c r="AJ331" s="304">
        <v>1.0318621327498974</v>
      </c>
      <c r="AK331" s="304">
        <v>1.0319791601423489</v>
      </c>
      <c r="AL331" s="330">
        <v>1.0321670177935942</v>
      </c>
      <c r="AM331" s="334">
        <f t="shared" si="4"/>
        <v>1.0321670177935942</v>
      </c>
      <c r="AN331" s="299"/>
    </row>
    <row r="332" spans="1:40" ht="17.45" customHeight="1" x14ac:dyDescent="0.2">
      <c r="A332" s="303">
        <v>38</v>
      </c>
      <c r="B332" s="304">
        <v>0.97297651245551608</v>
      </c>
      <c r="C332" s="304">
        <v>0.98184604630245198</v>
      </c>
      <c r="D332" s="304">
        <v>0.98928491613062708</v>
      </c>
      <c r="E332" s="304">
        <v>0.99551404315393821</v>
      </c>
      <c r="F332" s="304">
        <v>1.0003625448694351</v>
      </c>
      <c r="G332" s="304">
        <v>1.0047535119536455</v>
      </c>
      <c r="H332" s="304">
        <v>1.008299881376038</v>
      </c>
      <c r="I332" s="304">
        <v>1.0106335913404507</v>
      </c>
      <c r="J332" s="305">
        <v>1.0126706418874389</v>
      </c>
      <c r="K332" s="304">
        <v>1.0144750504151838</v>
      </c>
      <c r="L332" s="304">
        <v>1.0161119810201662</v>
      </c>
      <c r="M332" s="304">
        <v>1.017622248418347</v>
      </c>
      <c r="N332" s="304">
        <v>1.018821216993981</v>
      </c>
      <c r="O332" s="304">
        <v>1.0197736892052194</v>
      </c>
      <c r="P332" s="304">
        <v>1.0206949782522736</v>
      </c>
      <c r="Q332" s="304">
        <v>1.0216579686827454</v>
      </c>
      <c r="R332" s="304">
        <v>1.0225302491103203</v>
      </c>
      <c r="S332" s="305">
        <v>1.0235129115971837</v>
      </c>
      <c r="T332" s="304">
        <v>1.0244449080662203</v>
      </c>
      <c r="U332" s="304">
        <v>1.0253199693417581</v>
      </c>
      <c r="V332" s="304">
        <v>1.0261382973298101</v>
      </c>
      <c r="W332" s="304">
        <v>1.0269011392251994</v>
      </c>
      <c r="X332" s="304">
        <v>1.0276099696806837</v>
      </c>
      <c r="Y332" s="304">
        <v>1.0282661617562203</v>
      </c>
      <c r="Z332" s="304">
        <v>1.0288703788633162</v>
      </c>
      <c r="AA332" s="304">
        <v>1.0294187432638535</v>
      </c>
      <c r="AB332" s="305">
        <v>1.0299045615131914</v>
      </c>
      <c r="AC332" s="304">
        <v>1.0303614743767298</v>
      </c>
      <c r="AD332" s="304">
        <v>1.0308096932723267</v>
      </c>
      <c r="AE332" s="304">
        <v>1.0311597066567499</v>
      </c>
      <c r="AF332" s="304">
        <v>1.0313820815963395</v>
      </c>
      <c r="AG332" s="304">
        <v>1.0315289567990897</v>
      </c>
      <c r="AH332" s="304">
        <v>1.0316310016004822</v>
      </c>
      <c r="AI332" s="304">
        <v>1.0317130799259207</v>
      </c>
      <c r="AJ332" s="304">
        <v>1.0317985976953059</v>
      </c>
      <c r="AK332" s="304">
        <v>1.0319122302214943</v>
      </c>
      <c r="AL332" s="330">
        <v>1.0320861901372651</v>
      </c>
      <c r="AM332" s="334">
        <f t="shared" si="4"/>
        <v>1.0320861901372651</v>
      </c>
      <c r="AN332" s="299"/>
    </row>
    <row r="333" spans="1:40" ht="17.45" customHeight="1" x14ac:dyDescent="0.2">
      <c r="A333" s="303">
        <v>39</v>
      </c>
      <c r="B333" s="304">
        <v>0.9729601423487545</v>
      </c>
      <c r="C333" s="304">
        <v>0.98192581642688403</v>
      </c>
      <c r="D333" s="304">
        <v>0.98966832911522562</v>
      </c>
      <c r="E333" s="304">
        <v>0.99551843734618561</v>
      </c>
      <c r="F333" s="304">
        <v>1.0003116390112443</v>
      </c>
      <c r="G333" s="304">
        <v>1.0047619056550849</v>
      </c>
      <c r="H333" s="304">
        <v>1.0082329181494663</v>
      </c>
      <c r="I333" s="304">
        <v>1.0105696986072665</v>
      </c>
      <c r="J333" s="305">
        <v>1.0126416523878563</v>
      </c>
      <c r="K333" s="304">
        <v>1.0144898779867819</v>
      </c>
      <c r="L333" s="304">
        <v>1.0161448048562602</v>
      </c>
      <c r="M333" s="304">
        <v>1.0176614802610706</v>
      </c>
      <c r="N333" s="304">
        <v>1.0189283943399423</v>
      </c>
      <c r="O333" s="304">
        <v>1.0199358903387372</v>
      </c>
      <c r="P333" s="304">
        <v>1.0207988239386083</v>
      </c>
      <c r="Q333" s="304">
        <v>1.0216816725978648</v>
      </c>
      <c r="R333" s="304">
        <v>1.0226436832740213</v>
      </c>
      <c r="S333" s="305">
        <v>1.0236352785903733</v>
      </c>
      <c r="T333" s="304">
        <v>1.0245699996432363</v>
      </c>
      <c r="U333" s="304">
        <v>1.0254464042553546</v>
      </c>
      <c r="V333" s="304">
        <v>1.0262659885524408</v>
      </c>
      <c r="W333" s="304">
        <v>1.0270305113422509</v>
      </c>
      <c r="X333" s="304">
        <v>1.0277417826667681</v>
      </c>
      <c r="Y333" s="304">
        <v>1.0284016052458151</v>
      </c>
      <c r="Z333" s="304">
        <v>1.0290116926657233</v>
      </c>
      <c r="AA333" s="304">
        <v>1.0295731769180396</v>
      </c>
      <c r="AB333" s="305">
        <v>1.0300801259438954</v>
      </c>
      <c r="AC333" s="304">
        <v>1.030554016268429</v>
      </c>
      <c r="AD333" s="304">
        <v>1.030931994225712</v>
      </c>
      <c r="AE333" s="304">
        <v>1.0311918511865534</v>
      </c>
      <c r="AF333" s="304">
        <v>1.0313733085191372</v>
      </c>
      <c r="AG333" s="304">
        <v>1.0314998289178858</v>
      </c>
      <c r="AH333" s="304">
        <v>1.0315921910285137</v>
      </c>
      <c r="AI333" s="304">
        <v>1.031670461761929</v>
      </c>
      <c r="AJ333" s="304">
        <v>1.0317545858611534</v>
      </c>
      <c r="AK333" s="304">
        <v>1.0318649683774044</v>
      </c>
      <c r="AL333" s="330">
        <v>1.0320254865277074</v>
      </c>
      <c r="AM333" s="334">
        <f t="shared" si="4"/>
        <v>1.0320254865277074</v>
      </c>
      <c r="AN333" s="299"/>
    </row>
    <row r="334" spans="1:40" ht="17.45" customHeight="1" thickBot="1" x14ac:dyDescent="0.25">
      <c r="A334" s="324">
        <v>40</v>
      </c>
      <c r="B334" s="335">
        <v>0.97295373665480422</v>
      </c>
      <c r="C334" s="335">
        <v>0.98205516014234873</v>
      </c>
      <c r="D334" s="335">
        <v>0.99003558718861207</v>
      </c>
      <c r="E334" s="335">
        <v>0.99563612099644128</v>
      </c>
      <c r="F334" s="335">
        <v>1.0003558718861212</v>
      </c>
      <c r="G334" s="335">
        <v>1.0047820284697511</v>
      </c>
      <c r="H334" s="335">
        <v>1.0081850533807828</v>
      </c>
      <c r="I334" s="335">
        <v>1.0105451957295375</v>
      </c>
      <c r="J334" s="336">
        <v>1.0126604982206404</v>
      </c>
      <c r="K334" s="335">
        <v>1.0145565836298933</v>
      </c>
      <c r="L334" s="335">
        <v>1.0162590747330962</v>
      </c>
      <c r="M334" s="335">
        <v>1.0177935943060499</v>
      </c>
      <c r="N334" s="335">
        <v>1.0190810597073945</v>
      </c>
      <c r="O334" s="335">
        <v>1.0201043890865955</v>
      </c>
      <c r="P334" s="335">
        <v>1.0209822064056939</v>
      </c>
      <c r="Q334" s="335">
        <v>1.0218331356267301</v>
      </c>
      <c r="R334" s="335">
        <v>1.0227758007117438</v>
      </c>
      <c r="S334" s="336">
        <v>1.0237729964412812</v>
      </c>
      <c r="T334" s="335">
        <v>1.0247096812969554</v>
      </c>
      <c r="U334" s="335">
        <v>1.0255877247924079</v>
      </c>
      <c r="V334" s="335">
        <v>1.0264089964412813</v>
      </c>
      <c r="W334" s="335">
        <v>1.0271753657572162</v>
      </c>
      <c r="X334" s="335">
        <v>1.0278887022538554</v>
      </c>
      <c r="Y334" s="335">
        <v>1.0285508754448398</v>
      </c>
      <c r="Z334" s="335">
        <v>1.029163754843812</v>
      </c>
      <c r="AA334" s="335">
        <v>1.0297292099644129</v>
      </c>
      <c r="AB334" s="336">
        <v>1.0302491103202847</v>
      </c>
      <c r="AC334" s="335">
        <v>1.0306855516014235</v>
      </c>
      <c r="AD334" s="335">
        <v>1.0310122894424676</v>
      </c>
      <c r="AE334" s="335">
        <v>1.0312486832740213</v>
      </c>
      <c r="AF334" s="335">
        <v>1.0314140925266904</v>
      </c>
      <c r="AG334" s="335">
        <v>1.0315278766310794</v>
      </c>
      <c r="AH334" s="335">
        <v>1.0316093950177936</v>
      </c>
      <c r="AI334" s="335">
        <v>1.0316780071174376</v>
      </c>
      <c r="AJ334" s="335">
        <v>1.031753072360617</v>
      </c>
      <c r="AK334" s="335">
        <v>1.031853950177936</v>
      </c>
      <c r="AL334" s="337">
        <v>1.032</v>
      </c>
      <c r="AM334" s="338">
        <f t="shared" si="4"/>
        <v>1.032</v>
      </c>
      <c r="AN334" s="299"/>
    </row>
    <row r="335" spans="1:40" ht="17.45" customHeight="1" thickTop="1" thickBot="1" x14ac:dyDescent="0.25">
      <c r="A335" s="309">
        <f>A334+0.001</f>
        <v>40.000999999999998</v>
      </c>
      <c r="B335" s="339">
        <f>B334</f>
        <v>0.97295373665480422</v>
      </c>
      <c r="C335" s="340">
        <f t="shared" ref="C335" si="5">C334</f>
        <v>0.98205516014234873</v>
      </c>
      <c r="D335" s="340">
        <f t="shared" ref="D335" si="6">D334</f>
        <v>0.99003558718861207</v>
      </c>
      <c r="E335" s="340">
        <f t="shared" ref="E335" si="7">E334</f>
        <v>0.99563612099644128</v>
      </c>
      <c r="F335" s="340">
        <f t="shared" ref="F335" si="8">F334</f>
        <v>1.0003558718861212</v>
      </c>
      <c r="G335" s="340">
        <f t="shared" ref="G335" si="9">G334</f>
        <v>1.0047820284697511</v>
      </c>
      <c r="H335" s="340">
        <f t="shared" ref="H335" si="10">H334</f>
        <v>1.0081850533807828</v>
      </c>
      <c r="I335" s="340">
        <f t="shared" ref="I335" si="11">I334</f>
        <v>1.0105451957295375</v>
      </c>
      <c r="J335" s="341">
        <f t="shared" ref="J335" si="12">J334</f>
        <v>1.0126604982206404</v>
      </c>
      <c r="K335" s="340">
        <f t="shared" ref="K335" si="13">K334</f>
        <v>1.0145565836298933</v>
      </c>
      <c r="L335" s="340">
        <f t="shared" ref="L335" si="14">L334</f>
        <v>1.0162590747330962</v>
      </c>
      <c r="M335" s="340">
        <f t="shared" ref="M335" si="15">M334</f>
        <v>1.0177935943060499</v>
      </c>
      <c r="N335" s="340">
        <f t="shared" ref="N335" si="16">N334</f>
        <v>1.0190810597073945</v>
      </c>
      <c r="O335" s="340">
        <f t="shared" ref="O335" si="17">O334</f>
        <v>1.0201043890865955</v>
      </c>
      <c r="P335" s="340">
        <f t="shared" ref="P335" si="18">P334</f>
        <v>1.0209822064056939</v>
      </c>
      <c r="Q335" s="340">
        <f t="shared" ref="Q335" si="19">Q334</f>
        <v>1.0218331356267301</v>
      </c>
      <c r="R335" s="340">
        <f t="shared" ref="R335" si="20">R334</f>
        <v>1.0227758007117438</v>
      </c>
      <c r="S335" s="341">
        <f t="shared" ref="S335" si="21">S334</f>
        <v>1.0237729964412812</v>
      </c>
      <c r="T335" s="340">
        <f t="shared" ref="T335" si="22">T334</f>
        <v>1.0247096812969554</v>
      </c>
      <c r="U335" s="340">
        <f t="shared" ref="U335" si="23">U334</f>
        <v>1.0255877247924079</v>
      </c>
      <c r="V335" s="340">
        <f t="shared" ref="V335" si="24">V334</f>
        <v>1.0264089964412813</v>
      </c>
      <c r="W335" s="340">
        <f t="shared" ref="W335" si="25">W334</f>
        <v>1.0271753657572162</v>
      </c>
      <c r="X335" s="340">
        <f t="shared" ref="X335" si="26">X334</f>
        <v>1.0278887022538554</v>
      </c>
      <c r="Y335" s="340">
        <f t="shared" ref="Y335" si="27">Y334</f>
        <v>1.0285508754448398</v>
      </c>
      <c r="Z335" s="340">
        <f t="shared" ref="Z335" si="28">Z334</f>
        <v>1.029163754843812</v>
      </c>
      <c r="AA335" s="340">
        <f t="shared" ref="AA335" si="29">AA334</f>
        <v>1.0297292099644129</v>
      </c>
      <c r="AB335" s="341">
        <f t="shared" ref="AB335" si="30">AB334</f>
        <v>1.0302491103202847</v>
      </c>
      <c r="AC335" s="340">
        <f t="shared" ref="AC335" si="31">AC334</f>
        <v>1.0306855516014235</v>
      </c>
      <c r="AD335" s="340">
        <f t="shared" ref="AD335" si="32">AD334</f>
        <v>1.0310122894424676</v>
      </c>
      <c r="AE335" s="340">
        <f t="shared" ref="AE335" si="33">AE334</f>
        <v>1.0312486832740213</v>
      </c>
      <c r="AF335" s="340">
        <f t="shared" ref="AF335" si="34">AF334</f>
        <v>1.0314140925266904</v>
      </c>
      <c r="AG335" s="340">
        <f t="shared" ref="AG335" si="35">AG334</f>
        <v>1.0315278766310794</v>
      </c>
      <c r="AH335" s="340">
        <f t="shared" ref="AH335" si="36">AH334</f>
        <v>1.0316093950177936</v>
      </c>
      <c r="AI335" s="340">
        <f t="shared" ref="AI335" si="37">AI334</f>
        <v>1.0316780071174376</v>
      </c>
      <c r="AJ335" s="340">
        <f t="shared" ref="AJ335" si="38">AJ334</f>
        <v>1.031753072360617</v>
      </c>
      <c r="AK335" s="340">
        <f t="shared" ref="AK335" si="39">AK334</f>
        <v>1.031853950177936</v>
      </c>
      <c r="AL335" s="342">
        <f t="shared" ref="AL335" si="40">AL334</f>
        <v>1.032</v>
      </c>
      <c r="AM335" s="311">
        <f>AL334</f>
        <v>1.032</v>
      </c>
      <c r="AN335" s="299"/>
    </row>
    <row r="336" spans="1:40" ht="17.45" customHeight="1"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ht="17.45" customHeight="1" thickTop="1" x14ac:dyDescent="0.2"/>
  </sheetData>
  <sheetProtection sheet="1" objects="1" scenarios="1"/>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zoomScale="75" zoomScaleNormal="75" workbookViewId="0">
      <selection activeCell="F3" sqref="F3"/>
    </sheetView>
  </sheetViews>
  <sheetFormatPr defaultColWidth="5.28515625" defaultRowHeight="12.75" x14ac:dyDescent="0.2"/>
  <cols>
    <col min="1" max="1" width="13.140625" style="233" customWidth="1"/>
    <col min="2" max="8" width="8.28515625" style="232" customWidth="1"/>
    <col min="9" max="16384" width="5.28515625" style="232"/>
  </cols>
  <sheetData>
    <row r="1" spans="1:19" x14ac:dyDescent="0.2">
      <c r="E1" s="231"/>
      <c r="F1" s="15" t="s">
        <v>9</v>
      </c>
      <c r="G1" s="15" t="s">
        <v>57</v>
      </c>
      <c r="H1" s="15"/>
      <c r="I1" s="15"/>
      <c r="J1" s="231"/>
      <c r="K1" s="15"/>
      <c r="L1" s="15"/>
      <c r="M1" s="15" t="s">
        <v>142</v>
      </c>
      <c r="N1" s="15"/>
      <c r="O1" s="15"/>
      <c r="P1" s="231"/>
      <c r="Q1" s="14" t="s">
        <v>91</v>
      </c>
      <c r="R1" s="231"/>
      <c r="S1" s="231"/>
    </row>
    <row r="2" spans="1:19" ht="13.5" thickBot="1" x14ac:dyDescent="0.25"/>
    <row r="3" spans="1:19" ht="21.75" thickTop="1" thickBot="1" x14ac:dyDescent="0.25">
      <c r="A3" s="696" t="s">
        <v>194</v>
      </c>
      <c r="B3" s="697"/>
      <c r="C3" s="697"/>
      <c r="D3" s="698"/>
    </row>
    <row r="4" spans="1:19" ht="13.5" thickBot="1" x14ac:dyDescent="0.25">
      <c r="A4" s="234"/>
      <c r="B4" s="235" t="s">
        <v>198</v>
      </c>
      <c r="C4" s="236" t="s">
        <v>197</v>
      </c>
      <c r="D4" s="237"/>
    </row>
    <row r="5" spans="1:19" x14ac:dyDescent="0.2">
      <c r="A5" s="238" t="s">
        <v>196</v>
      </c>
      <c r="B5" s="239">
        <v>-2</v>
      </c>
      <c r="C5" s="240">
        <v>20</v>
      </c>
      <c r="D5" s="237"/>
    </row>
    <row r="6" spans="1:19" x14ac:dyDescent="0.2">
      <c r="A6" s="238" t="s">
        <v>199</v>
      </c>
      <c r="B6" s="241">
        <v>-2</v>
      </c>
      <c r="C6" s="242">
        <v>20</v>
      </c>
      <c r="D6" s="237"/>
    </row>
    <row r="7" spans="1:19" x14ac:dyDescent="0.2">
      <c r="A7" s="238" t="s">
        <v>200</v>
      </c>
      <c r="B7" s="241">
        <v>-10</v>
      </c>
      <c r="C7" s="242">
        <v>20</v>
      </c>
      <c r="D7" s="237"/>
    </row>
    <row r="8" spans="1:19" x14ac:dyDescent="0.2">
      <c r="A8" s="238" t="s">
        <v>201</v>
      </c>
      <c r="B8" s="241">
        <v>-10</v>
      </c>
      <c r="C8" s="242">
        <v>20</v>
      </c>
      <c r="D8" s="237"/>
    </row>
    <row r="9" spans="1:19" x14ac:dyDescent="0.2">
      <c r="A9" s="238" t="s">
        <v>292</v>
      </c>
      <c r="B9" s="241">
        <f>MIN(MIN(A87:A123),MIN(A299:A335))</f>
        <v>4</v>
      </c>
      <c r="C9" s="242">
        <f>MAX(MAX(A87:A123),MAX(A299:A335))</f>
        <v>40</v>
      </c>
      <c r="D9" s="237"/>
    </row>
    <row r="10" spans="1:19" x14ac:dyDescent="0.2">
      <c r="A10" s="238" t="s">
        <v>293</v>
      </c>
      <c r="B10" s="241">
        <f>MIN(MIN(B86:AL86),MIN(B298:AL298))</f>
        <v>4</v>
      </c>
      <c r="C10" s="242">
        <f>MAX(MAX(B86:AL86),MAX(B298:AL298))</f>
        <v>40</v>
      </c>
      <c r="D10" s="237"/>
    </row>
    <row r="11" spans="1:19" x14ac:dyDescent="0.2">
      <c r="A11" s="238" t="s">
        <v>31</v>
      </c>
      <c r="B11" s="241">
        <f>MIN(B29:BF29)</f>
        <v>4</v>
      </c>
      <c r="C11" s="242">
        <f>MAX(B29:BF29)</f>
        <v>60</v>
      </c>
      <c r="D11" s="237"/>
    </row>
    <row r="12" spans="1:19" ht="13.5" thickBot="1" x14ac:dyDescent="0.25">
      <c r="A12" s="243" t="s">
        <v>24</v>
      </c>
      <c r="B12" s="343">
        <f>MIN(A30:A80)</f>
        <v>0</v>
      </c>
      <c r="C12" s="344">
        <f>MAX(A30:A80)</f>
        <v>30</v>
      </c>
      <c r="D12" s="237"/>
    </row>
    <row r="13" spans="1:19" ht="13.5" thickBot="1" x14ac:dyDescent="0.25">
      <c r="A13" s="246"/>
      <c r="B13" s="247"/>
      <c r="C13" s="247"/>
      <c r="D13" s="248"/>
    </row>
    <row r="14" spans="1:19" ht="17.45" customHeight="1" thickTop="1" thickBot="1" x14ac:dyDescent="0.25">
      <c r="A14" s="249"/>
      <c r="B14" s="231"/>
      <c r="C14" s="231"/>
      <c r="D14" s="231"/>
    </row>
    <row r="15" spans="1:19" ht="22.5" customHeight="1" thickTop="1" thickBot="1" x14ac:dyDescent="0.25">
      <c r="A15" s="696" t="s">
        <v>138</v>
      </c>
      <c r="B15" s="697"/>
      <c r="C15" s="697"/>
      <c r="D15" s="698"/>
    </row>
    <row r="16" spans="1:19"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4.25"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273">
        <v>0</v>
      </c>
      <c r="B30" s="274">
        <v>0.47154423597711392</v>
      </c>
      <c r="C30" s="275">
        <v>0.4784170664331549</v>
      </c>
      <c r="D30" s="275">
        <v>0.48527128100758488</v>
      </c>
      <c r="E30" s="275">
        <v>0.49665250321221838</v>
      </c>
      <c r="F30" s="275">
        <v>0.50812610960187432</v>
      </c>
      <c r="G30" s="275">
        <v>0.51527788297213561</v>
      </c>
      <c r="H30" s="275">
        <v>0.52234210778779777</v>
      </c>
      <c r="I30" s="275">
        <v>0.53080019345151375</v>
      </c>
      <c r="J30" s="276">
        <v>0.53934648994334544</v>
      </c>
      <c r="K30" s="274">
        <v>0.54789799164891995</v>
      </c>
      <c r="L30" s="275">
        <v>0.55645470322683888</v>
      </c>
      <c r="M30" s="275">
        <v>0.56501662934126817</v>
      </c>
      <c r="N30" s="275">
        <v>0.57358377466194266</v>
      </c>
      <c r="O30" s="275">
        <v>0.58215614386417336</v>
      </c>
      <c r="P30" s="275">
        <v>0.59073374162885794</v>
      </c>
      <c r="Q30" s="275">
        <v>0.59931657264248861</v>
      </c>
      <c r="R30" s="275">
        <v>0.6079046415971574</v>
      </c>
      <c r="S30" s="276">
        <v>0.6141291964367831</v>
      </c>
      <c r="T30" s="274">
        <v>0.6202809479375937</v>
      </c>
      <c r="U30" s="275">
        <v>0.62643257719016709</v>
      </c>
      <c r="V30" s="275">
        <v>0.63258408419450229</v>
      </c>
      <c r="W30" s="275">
        <v>0.63873546895060129</v>
      </c>
      <c r="X30" s="275">
        <v>0.6448867314584632</v>
      </c>
      <c r="Y30" s="275">
        <v>0.65103787171808714</v>
      </c>
      <c r="Z30" s="275">
        <v>0.65718888972947487</v>
      </c>
      <c r="AA30" s="275">
        <v>0.66333978549262551</v>
      </c>
      <c r="AB30" s="276">
        <v>0.66949055900753773</v>
      </c>
      <c r="AC30" s="274">
        <v>0.6731616394958666</v>
      </c>
      <c r="AD30" s="275">
        <v>0.67691426296389701</v>
      </c>
      <c r="AE30" s="275">
        <v>0.68066839557860137</v>
      </c>
      <c r="AF30" s="275">
        <v>0.68442403824276044</v>
      </c>
      <c r="AG30" s="275">
        <v>0.68818119185987336</v>
      </c>
      <c r="AH30" s="275">
        <v>0.69193985733416108</v>
      </c>
      <c r="AI30" s="275">
        <v>0.69570003557056626</v>
      </c>
      <c r="AJ30" s="275">
        <v>0.69946172747475288</v>
      </c>
      <c r="AK30" s="275">
        <v>0.70322493395310881</v>
      </c>
      <c r="AL30" s="276">
        <v>0.70698965591274754</v>
      </c>
      <c r="AM30" s="274">
        <v>0.70959172473019805</v>
      </c>
      <c r="AN30" s="275">
        <v>0.71219379354764856</v>
      </c>
      <c r="AO30" s="275">
        <v>0.71479586236509896</v>
      </c>
      <c r="AP30" s="275">
        <v>0.71739793118254946</v>
      </c>
      <c r="AQ30" s="275">
        <v>0.72</v>
      </c>
      <c r="AR30" s="275">
        <v>0.7218</v>
      </c>
      <c r="AS30" s="275">
        <v>0.72360000000000002</v>
      </c>
      <c r="AT30" s="275">
        <v>0.72539999999999993</v>
      </c>
      <c r="AU30" s="275">
        <v>0.72719999999999996</v>
      </c>
      <c r="AV30" s="276">
        <v>0.72899999999999998</v>
      </c>
      <c r="AW30" s="274">
        <v>0.73019999999999996</v>
      </c>
      <c r="AX30" s="275">
        <v>0.73139999999999994</v>
      </c>
      <c r="AY30" s="275">
        <v>0.73260000000000003</v>
      </c>
      <c r="AZ30" s="275">
        <v>0.73380000000000001</v>
      </c>
      <c r="BA30" s="275">
        <v>0.73499999999999999</v>
      </c>
      <c r="BB30" s="275">
        <v>0.73580000000000001</v>
      </c>
      <c r="BC30" s="275">
        <v>0.73660000000000003</v>
      </c>
      <c r="BD30" s="275">
        <v>0.73739999999999994</v>
      </c>
      <c r="BE30" s="275">
        <v>0.73819999999999997</v>
      </c>
      <c r="BF30" s="276">
        <v>0.73899999999999999</v>
      </c>
      <c r="BG30" s="276">
        <f>BF30</f>
        <v>0.73899999999999999</v>
      </c>
      <c r="BH30" s="237"/>
    </row>
    <row r="31" spans="1:60" x14ac:dyDescent="0.2">
      <c r="A31" s="273">
        <v>0.5</v>
      </c>
      <c r="B31" s="277">
        <v>0.84491523208694463</v>
      </c>
      <c r="C31" s="278">
        <v>0.84609041710915822</v>
      </c>
      <c r="D31" s="278">
        <v>0.84723631343875527</v>
      </c>
      <c r="E31" s="278">
        <v>0.85091207889192155</v>
      </c>
      <c r="F31" s="278">
        <v>0.85477914982125447</v>
      </c>
      <c r="G31" s="278">
        <v>0.86028462297810326</v>
      </c>
      <c r="H31" s="278">
        <v>0.86574687820688057</v>
      </c>
      <c r="I31" s="278">
        <v>0.86932869415852954</v>
      </c>
      <c r="J31" s="279">
        <v>0.87292298707585303</v>
      </c>
      <c r="K31" s="277">
        <v>0.87651945606043347</v>
      </c>
      <c r="L31" s="278">
        <v>0.88011810305982385</v>
      </c>
      <c r="M31" s="278">
        <v>0.883718930023904</v>
      </c>
      <c r="N31" s="278">
        <v>0.88732193890488054</v>
      </c>
      <c r="O31" s="278">
        <v>0.89092713165729387</v>
      </c>
      <c r="P31" s="278">
        <v>0.89453451023801589</v>
      </c>
      <c r="Q31" s="278">
        <v>0.89814407660626117</v>
      </c>
      <c r="R31" s="278">
        <v>0.90175583272358284</v>
      </c>
      <c r="S31" s="279">
        <v>0.9041356760162651</v>
      </c>
      <c r="T31" s="277">
        <v>0.90628981258185981</v>
      </c>
      <c r="U31" s="278">
        <v>0.90844391750826303</v>
      </c>
      <c r="V31" s="278">
        <v>0.91059799079547454</v>
      </c>
      <c r="W31" s="278">
        <v>0.91275203244349568</v>
      </c>
      <c r="X31" s="278">
        <v>0.91490604245232554</v>
      </c>
      <c r="Y31" s="278">
        <v>0.91706002082196447</v>
      </c>
      <c r="Z31" s="278">
        <v>0.91921396755241114</v>
      </c>
      <c r="AA31" s="278">
        <v>0.92136788264366787</v>
      </c>
      <c r="AB31" s="279">
        <v>0.92352176609573322</v>
      </c>
      <c r="AC31" s="277">
        <v>0.92467160400411619</v>
      </c>
      <c r="AD31" s="278">
        <v>0.92574078500231349</v>
      </c>
      <c r="AE31" s="278">
        <v>0.9268103937074349</v>
      </c>
      <c r="AF31" s="278">
        <v>0.92788043037533763</v>
      </c>
      <c r="AG31" s="278">
        <v>0.92895089526208208</v>
      </c>
      <c r="AH31" s="278">
        <v>0.93002178862393281</v>
      </c>
      <c r="AI31" s="278">
        <v>0.93109311071736123</v>
      </c>
      <c r="AJ31" s="278">
        <v>0.93216486179903912</v>
      </c>
      <c r="AK31" s="278">
        <v>0.93323704212584691</v>
      </c>
      <c r="AL31" s="279">
        <v>0.93430965195486948</v>
      </c>
      <c r="AM31" s="277">
        <v>0.93484772156389562</v>
      </c>
      <c r="AN31" s="278">
        <v>0.93538579117292175</v>
      </c>
      <c r="AO31" s="278">
        <v>0.93592386078194778</v>
      </c>
      <c r="AP31" s="278">
        <v>0.93646193039097392</v>
      </c>
      <c r="AQ31" s="278">
        <v>0.93700000000000006</v>
      </c>
      <c r="AR31" s="278">
        <v>0.93740000000000001</v>
      </c>
      <c r="AS31" s="278">
        <v>0.93779999999999997</v>
      </c>
      <c r="AT31" s="278">
        <v>0.93820000000000003</v>
      </c>
      <c r="AU31" s="278">
        <v>0.93859999999999999</v>
      </c>
      <c r="AV31" s="279">
        <v>0.93899999999999995</v>
      </c>
      <c r="AW31" s="277">
        <v>0.93919999999999992</v>
      </c>
      <c r="AX31" s="278">
        <v>0.9393999999999999</v>
      </c>
      <c r="AY31" s="278">
        <v>0.93959999999999999</v>
      </c>
      <c r="AZ31" s="278">
        <v>0.93979999999999997</v>
      </c>
      <c r="BA31" s="278">
        <v>0.94</v>
      </c>
      <c r="BB31" s="278">
        <v>0.94019999999999992</v>
      </c>
      <c r="BC31" s="278">
        <v>0.9403999999999999</v>
      </c>
      <c r="BD31" s="278">
        <v>0.94059999999999999</v>
      </c>
      <c r="BE31" s="278">
        <v>0.94079999999999997</v>
      </c>
      <c r="BF31" s="279">
        <v>0.94099999999999995</v>
      </c>
      <c r="BG31" s="279">
        <f t="shared" ref="BG31:BG80" si="0">BF31</f>
        <v>0.94099999999999995</v>
      </c>
      <c r="BH31" s="237"/>
    </row>
    <row r="32" spans="1:60" x14ac:dyDescent="0.2">
      <c r="A32" s="273">
        <v>1</v>
      </c>
      <c r="B32" s="277">
        <v>0.97781725989134261</v>
      </c>
      <c r="C32" s="278">
        <v>0.97777834603167524</v>
      </c>
      <c r="D32" s="278">
        <v>0.97781250382100793</v>
      </c>
      <c r="E32" s="278">
        <v>0.97866208499225327</v>
      </c>
      <c r="F32" s="278">
        <v>0.97965169054409251</v>
      </c>
      <c r="G32" s="278">
        <v>0.98072926399340932</v>
      </c>
      <c r="H32" s="278">
        <v>0.98172880419442266</v>
      </c>
      <c r="I32" s="278">
        <v>0.98263612594757721</v>
      </c>
      <c r="J32" s="279">
        <v>0.98362135050569866</v>
      </c>
      <c r="K32" s="277">
        <v>0.98460716717844798</v>
      </c>
      <c r="L32" s="278">
        <v>0.98559357649576074</v>
      </c>
      <c r="M32" s="278">
        <v>0.98658057898820517</v>
      </c>
      <c r="N32" s="278">
        <v>0.98756817518698292</v>
      </c>
      <c r="O32" s="278">
        <v>0.98855636562392912</v>
      </c>
      <c r="P32" s="278">
        <v>0.98954515083151706</v>
      </c>
      <c r="Q32" s="278">
        <v>0.99053453134285241</v>
      </c>
      <c r="R32" s="278">
        <v>0.99152450769168121</v>
      </c>
      <c r="S32" s="279">
        <v>0.99193436236214005</v>
      </c>
      <c r="T32" s="277">
        <v>0.99212697884041467</v>
      </c>
      <c r="U32" s="278">
        <v>0.99231959342403242</v>
      </c>
      <c r="V32" s="278">
        <v>0.99251220611299529</v>
      </c>
      <c r="W32" s="278">
        <v>0.99270481690730128</v>
      </c>
      <c r="X32" s="278">
        <v>0.99289742580695228</v>
      </c>
      <c r="Y32" s="278">
        <v>0.99309003281194641</v>
      </c>
      <c r="Z32" s="278">
        <v>0.99328263792228588</v>
      </c>
      <c r="AA32" s="278">
        <v>0.99347524113796837</v>
      </c>
      <c r="AB32" s="279">
        <v>0.99366784245899586</v>
      </c>
      <c r="AC32" s="277">
        <v>0.99387553293027842</v>
      </c>
      <c r="AD32" s="278">
        <v>0.99417252860771266</v>
      </c>
      <c r="AE32" s="278">
        <v>0.99446964274056382</v>
      </c>
      <c r="AF32" s="278">
        <v>0.99476687539969222</v>
      </c>
      <c r="AG32" s="278">
        <v>0.99506422665601468</v>
      </c>
      <c r="AH32" s="278">
        <v>0.99536169658050533</v>
      </c>
      <c r="AI32" s="278">
        <v>0.99565928524419411</v>
      </c>
      <c r="AJ32" s="278">
        <v>0.99595699271816873</v>
      </c>
      <c r="AK32" s="278">
        <v>0.99625481907357161</v>
      </c>
      <c r="AL32" s="279">
        <v>0.99655276438160578</v>
      </c>
      <c r="AM32" s="277">
        <v>0.99684221150528463</v>
      </c>
      <c r="AN32" s="278">
        <v>0.99713165862896347</v>
      </c>
      <c r="AO32" s="278">
        <v>0.99742110575264231</v>
      </c>
      <c r="AP32" s="278">
        <v>0.99771055287632116</v>
      </c>
      <c r="AQ32" s="278">
        <v>0.998</v>
      </c>
      <c r="AR32" s="278">
        <v>0.99819999999999998</v>
      </c>
      <c r="AS32" s="278">
        <v>0.99839999999999995</v>
      </c>
      <c r="AT32" s="278">
        <v>0.99860000000000004</v>
      </c>
      <c r="AU32" s="278">
        <v>0.99880000000000002</v>
      </c>
      <c r="AV32" s="279">
        <v>0.999</v>
      </c>
      <c r="AW32" s="277">
        <v>0.99909999999999999</v>
      </c>
      <c r="AX32" s="278">
        <v>0.99919999999999998</v>
      </c>
      <c r="AY32" s="278">
        <v>0.99930000000000008</v>
      </c>
      <c r="AZ32" s="278">
        <v>0.99940000000000007</v>
      </c>
      <c r="BA32" s="278">
        <v>0.99950000000000006</v>
      </c>
      <c r="BB32" s="278">
        <v>0.99960000000000004</v>
      </c>
      <c r="BC32" s="278">
        <v>0.99970000000000003</v>
      </c>
      <c r="BD32" s="278">
        <v>0.99980000000000002</v>
      </c>
      <c r="BE32" s="278">
        <v>0.99990000000000001</v>
      </c>
      <c r="BF32" s="279">
        <v>1</v>
      </c>
      <c r="BG32" s="279">
        <f t="shared" si="0"/>
        <v>1</v>
      </c>
      <c r="BH32" s="237"/>
    </row>
    <row r="33" spans="1:60" x14ac:dyDescent="0.2">
      <c r="A33" s="273">
        <v>1.5</v>
      </c>
      <c r="B33" s="277">
        <v>1.0054810446504565</v>
      </c>
      <c r="C33" s="278">
        <v>1.0044952069489055</v>
      </c>
      <c r="D33" s="278">
        <v>1.0035083802507061</v>
      </c>
      <c r="E33" s="278">
        <v>1.0038361968041689</v>
      </c>
      <c r="F33" s="278">
        <v>1.0043407153996835</v>
      </c>
      <c r="G33" s="278">
        <v>1.0040068164012645</v>
      </c>
      <c r="H33" s="278">
        <v>1.0035136145582666</v>
      </c>
      <c r="I33" s="278">
        <v>1.0035707731937928</v>
      </c>
      <c r="J33" s="279">
        <v>1.0037727016843396</v>
      </c>
      <c r="K33" s="277">
        <v>1.0039747503011716</v>
      </c>
      <c r="L33" s="278">
        <v>1.0041769191517846</v>
      </c>
      <c r="M33" s="278">
        <v>1.0043792083438374</v>
      </c>
      <c r="N33" s="278">
        <v>1.0045816179850973</v>
      </c>
      <c r="O33" s="278">
        <v>1.0047841481834432</v>
      </c>
      <c r="P33" s="278">
        <v>1.0049867990469252</v>
      </c>
      <c r="Q33" s="278">
        <v>1.0051895706836733</v>
      </c>
      <c r="R33" s="278">
        <v>1.0053924632019988</v>
      </c>
      <c r="S33" s="279">
        <v>1.0054111340562246</v>
      </c>
      <c r="T33" s="277">
        <v>1.005309600636288</v>
      </c>
      <c r="U33" s="278">
        <v>1.005208067684304</v>
      </c>
      <c r="V33" s="278">
        <v>1.0051065352002924</v>
      </c>
      <c r="W33" s="278">
        <v>1.005005003184243</v>
      </c>
      <c r="X33" s="278">
        <v>1.0049034716361456</v>
      </c>
      <c r="Y33" s="278">
        <v>1.0048019405560207</v>
      </c>
      <c r="Z33" s="278">
        <v>1.0047004099438579</v>
      </c>
      <c r="AA33" s="278">
        <v>1.0045988797996477</v>
      </c>
      <c r="AB33" s="279">
        <v>1.0044973501234093</v>
      </c>
      <c r="AC33" s="277">
        <v>1.0044781822852495</v>
      </c>
      <c r="AD33" s="278">
        <v>1.0045791380560245</v>
      </c>
      <c r="AE33" s="278">
        <v>1.0046801340945699</v>
      </c>
      <c r="AF33" s="278">
        <v>1.0047811704249805</v>
      </c>
      <c r="AG33" s="278">
        <v>1.004882247071371</v>
      </c>
      <c r="AH33" s="278">
        <v>1.0049833640578565</v>
      </c>
      <c r="AI33" s="278">
        <v>1.0050845214085811</v>
      </c>
      <c r="AJ33" s="278">
        <v>1.0051857191477203</v>
      </c>
      <c r="AK33" s="278">
        <v>1.0052869572994481</v>
      </c>
      <c r="AL33" s="279">
        <v>1.0053882358879795</v>
      </c>
      <c r="AM33" s="277">
        <v>1.0053105887103837</v>
      </c>
      <c r="AN33" s="278">
        <v>1.0052329415327876</v>
      </c>
      <c r="AO33" s="278">
        <v>1.0051552943551918</v>
      </c>
      <c r="AP33" s="278">
        <v>1.0050776471775957</v>
      </c>
      <c r="AQ33" s="278">
        <v>1.0049999999999999</v>
      </c>
      <c r="AR33" s="278">
        <v>1.0049999999999999</v>
      </c>
      <c r="AS33" s="278">
        <v>1.0049999999999999</v>
      </c>
      <c r="AT33" s="278">
        <v>1.0049999999999999</v>
      </c>
      <c r="AU33" s="278">
        <v>1.0049999999999999</v>
      </c>
      <c r="AV33" s="279">
        <v>1.0049999999999999</v>
      </c>
      <c r="AW33" s="277">
        <v>1.0049999999999999</v>
      </c>
      <c r="AX33" s="278">
        <v>1.0049999999999999</v>
      </c>
      <c r="AY33" s="278">
        <v>1.0049999999999999</v>
      </c>
      <c r="AZ33" s="278">
        <v>1.0049999999999999</v>
      </c>
      <c r="BA33" s="278">
        <v>1.0049999999999999</v>
      </c>
      <c r="BB33" s="278">
        <v>1.0049999999999999</v>
      </c>
      <c r="BC33" s="278">
        <v>1.0049999999999999</v>
      </c>
      <c r="BD33" s="278">
        <v>1.0049999999999999</v>
      </c>
      <c r="BE33" s="278">
        <v>1.0049999999999999</v>
      </c>
      <c r="BF33" s="279">
        <v>1.0049999999999999</v>
      </c>
      <c r="BG33" s="279">
        <f t="shared" si="0"/>
        <v>1.0049999999999999</v>
      </c>
      <c r="BH33" s="237"/>
    </row>
    <row r="34" spans="1:60"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x14ac:dyDescent="0.2">
      <c r="A35" s="273">
        <v>2.5</v>
      </c>
      <c r="B35" s="284">
        <v>0.98592802469552199</v>
      </c>
      <c r="C35" s="285">
        <v>0.98613292618379234</v>
      </c>
      <c r="D35" s="285">
        <v>0.98614062394479096</v>
      </c>
      <c r="E35" s="285">
        <v>0.98701980268087786</v>
      </c>
      <c r="F35" s="285">
        <v>0.98800454914342128</v>
      </c>
      <c r="G35" s="285">
        <v>0.98896348770455622</v>
      </c>
      <c r="H35" s="285">
        <v>0.98996404620281797</v>
      </c>
      <c r="I35" s="285">
        <v>0.99032474320951547</v>
      </c>
      <c r="J35" s="286">
        <v>0.99041868613052919</v>
      </c>
      <c r="K35" s="284">
        <v>0.99051268573703743</v>
      </c>
      <c r="L35" s="285">
        <v>0.99060674207977151</v>
      </c>
      <c r="M35" s="285">
        <v>0.99070085520952489</v>
      </c>
      <c r="N35" s="285">
        <v>0.99079502517715068</v>
      </c>
      <c r="O35" s="285">
        <v>0.99088925203356548</v>
      </c>
      <c r="P35" s="285">
        <v>0.99098353582974386</v>
      </c>
      <c r="Q35" s="285">
        <v>0.99107787661672331</v>
      </c>
      <c r="R35" s="285">
        <v>0.99117227444559874</v>
      </c>
      <c r="S35" s="286">
        <v>0.99124298719156334</v>
      </c>
      <c r="T35" s="284">
        <v>0.99134535347203179</v>
      </c>
      <c r="U35" s="285">
        <v>0.99144772020912031</v>
      </c>
      <c r="V35" s="285">
        <v>0.99155008740282802</v>
      </c>
      <c r="W35" s="285">
        <v>0.9916524550531538</v>
      </c>
      <c r="X35" s="285">
        <v>0.99175482316009955</v>
      </c>
      <c r="Y35" s="285">
        <v>0.9918571917236636</v>
      </c>
      <c r="Z35" s="285">
        <v>0.99195956074384761</v>
      </c>
      <c r="AA35" s="285">
        <v>0.99206193022065092</v>
      </c>
      <c r="AB35" s="286">
        <v>0.99216430015407209</v>
      </c>
      <c r="AC35" s="284">
        <v>0.99229381698096009</v>
      </c>
      <c r="AD35" s="285">
        <v>0.99239183866760605</v>
      </c>
      <c r="AE35" s="285">
        <v>0.99248989936302479</v>
      </c>
      <c r="AF35" s="285">
        <v>0.99258799909054962</v>
      </c>
      <c r="AG35" s="285">
        <v>0.99268613787353521</v>
      </c>
      <c r="AH35" s="285">
        <v>0.99278431573535364</v>
      </c>
      <c r="AI35" s="285">
        <v>0.9928825326993963</v>
      </c>
      <c r="AJ35" s="285">
        <v>0.99298078878907403</v>
      </c>
      <c r="AK35" s="285">
        <v>0.99307908402781386</v>
      </c>
      <c r="AL35" s="286">
        <v>0.9931774184390636</v>
      </c>
      <c r="AM35" s="287">
        <v>0.99324193475125089</v>
      </c>
      <c r="AN35" s="288">
        <v>0.99330645106343818</v>
      </c>
      <c r="AO35" s="288">
        <v>0.99337096737562547</v>
      </c>
      <c r="AP35" s="288">
        <v>0.99343548368781276</v>
      </c>
      <c r="AQ35" s="288">
        <v>0.99350000000000005</v>
      </c>
      <c r="AR35" s="288">
        <v>0.99352000000000007</v>
      </c>
      <c r="AS35" s="288">
        <v>0.99354000000000009</v>
      </c>
      <c r="AT35" s="288">
        <v>0.99356</v>
      </c>
      <c r="AU35" s="288">
        <v>0.99358000000000002</v>
      </c>
      <c r="AV35" s="289">
        <v>0.99360000000000004</v>
      </c>
      <c r="AW35" s="287">
        <v>0.99364000000000008</v>
      </c>
      <c r="AX35" s="288">
        <v>0.99368000000000001</v>
      </c>
      <c r="AY35" s="288">
        <v>0.99372000000000005</v>
      </c>
      <c r="AZ35" s="288">
        <v>0.99375999999999998</v>
      </c>
      <c r="BA35" s="288">
        <v>0.99380000000000002</v>
      </c>
      <c r="BB35" s="288">
        <v>0.99384000000000006</v>
      </c>
      <c r="BC35" s="288">
        <v>0.99387999999999999</v>
      </c>
      <c r="BD35" s="288">
        <v>0.99392000000000003</v>
      </c>
      <c r="BE35" s="288">
        <v>0.99395999999999995</v>
      </c>
      <c r="BF35" s="289">
        <v>0.99399999999999999</v>
      </c>
      <c r="BG35" s="289">
        <f t="shared" si="0"/>
        <v>0.99399999999999999</v>
      </c>
      <c r="BH35" s="237"/>
    </row>
    <row r="36" spans="1:60" x14ac:dyDescent="0.2">
      <c r="A36" s="273">
        <v>3</v>
      </c>
      <c r="B36" s="277">
        <v>0.9674647276968279</v>
      </c>
      <c r="C36" s="278">
        <v>0.96992939950077728</v>
      </c>
      <c r="D36" s="278">
        <v>0.97245479121820311</v>
      </c>
      <c r="E36" s="278">
        <v>0.9737905571291231</v>
      </c>
      <c r="F36" s="278">
        <v>0.97476583864822786</v>
      </c>
      <c r="G36" s="278">
        <v>0.97569000560052932</v>
      </c>
      <c r="H36" s="278">
        <v>0.97669897540579698</v>
      </c>
      <c r="I36" s="278">
        <v>0.97742339888926455</v>
      </c>
      <c r="J36" s="279">
        <v>0.9779122821246361</v>
      </c>
      <c r="K36" s="277">
        <v>0.97840145565888148</v>
      </c>
      <c r="L36" s="278">
        <v>0.97889091975181419</v>
      </c>
      <c r="M36" s="278">
        <v>0.9793806746635596</v>
      </c>
      <c r="N36" s="278">
        <v>0.97987072065455005</v>
      </c>
      <c r="O36" s="278">
        <v>0.9803610579855343</v>
      </c>
      <c r="P36" s="278">
        <v>0.9808516869175683</v>
      </c>
      <c r="Q36" s="278">
        <v>0.98134260771202064</v>
      </c>
      <c r="R36" s="278">
        <v>0.98183382063057434</v>
      </c>
      <c r="S36" s="279">
        <v>0.98211653530825371</v>
      </c>
      <c r="T36" s="277">
        <v>0.98222151675012548</v>
      </c>
      <c r="U36" s="278">
        <v>0.98232649909396275</v>
      </c>
      <c r="V36" s="278">
        <v>0.98243148233976729</v>
      </c>
      <c r="W36" s="278">
        <v>0.98253646648753834</v>
      </c>
      <c r="X36" s="278">
        <v>0.98264145153727489</v>
      </c>
      <c r="Y36" s="278">
        <v>0.98274643748897883</v>
      </c>
      <c r="Z36" s="278">
        <v>0.98285142434264816</v>
      </c>
      <c r="AA36" s="278">
        <v>0.9829564120982851</v>
      </c>
      <c r="AB36" s="279">
        <v>0.98306140075588722</v>
      </c>
      <c r="AC36" s="277">
        <v>0.98323130207205867</v>
      </c>
      <c r="AD36" s="278">
        <v>0.98342829033604928</v>
      </c>
      <c r="AE36" s="278">
        <v>0.98362535714400456</v>
      </c>
      <c r="AF36" s="278">
        <v>0.98382250254291093</v>
      </c>
      <c r="AG36" s="278">
        <v>0.98401972657979042</v>
      </c>
      <c r="AH36" s="278">
        <v>0.98421702930170296</v>
      </c>
      <c r="AI36" s="278">
        <v>0.98441441075574809</v>
      </c>
      <c r="AJ36" s="278">
        <v>0.98461187098905933</v>
      </c>
      <c r="AK36" s="278">
        <v>0.98480941004881228</v>
      </c>
      <c r="AL36" s="279">
        <v>0.98500702798221573</v>
      </c>
      <c r="AM36" s="277">
        <v>0.98510562238577259</v>
      </c>
      <c r="AN36" s="278">
        <v>0.98520421678932946</v>
      </c>
      <c r="AO36" s="278">
        <v>0.98530281119288632</v>
      </c>
      <c r="AP36" s="278">
        <v>0.98540140559644318</v>
      </c>
      <c r="AQ36" s="278">
        <v>0.98550000000000004</v>
      </c>
      <c r="AR36" s="278">
        <v>0.98560000000000003</v>
      </c>
      <c r="AS36" s="278">
        <v>0.98570000000000002</v>
      </c>
      <c r="AT36" s="278">
        <v>0.98580000000000001</v>
      </c>
      <c r="AU36" s="278">
        <v>0.9859</v>
      </c>
      <c r="AV36" s="279">
        <v>0.98599999999999999</v>
      </c>
      <c r="AW36" s="277">
        <v>0.98609999999999998</v>
      </c>
      <c r="AX36" s="278">
        <v>0.98619999999999997</v>
      </c>
      <c r="AY36" s="278">
        <v>0.98630000000000007</v>
      </c>
      <c r="AZ36" s="278">
        <v>0.98640000000000005</v>
      </c>
      <c r="BA36" s="278">
        <v>0.98650000000000004</v>
      </c>
      <c r="BB36" s="278">
        <v>0.98655999999999999</v>
      </c>
      <c r="BC36" s="278">
        <v>0.98662000000000005</v>
      </c>
      <c r="BD36" s="278">
        <v>0.98668</v>
      </c>
      <c r="BE36" s="278">
        <v>0.98674000000000006</v>
      </c>
      <c r="BF36" s="279">
        <v>0.98680000000000001</v>
      </c>
      <c r="BG36" s="279">
        <f t="shared" si="0"/>
        <v>0.98680000000000001</v>
      </c>
      <c r="BH36" s="237"/>
    </row>
    <row r="37" spans="1:60" x14ac:dyDescent="0.2">
      <c r="A37" s="273">
        <v>3.5</v>
      </c>
      <c r="B37" s="277">
        <v>0.95017429374240003</v>
      </c>
      <c r="C37" s="278">
        <v>0.95350724830376377</v>
      </c>
      <c r="D37" s="278">
        <v>0.95655935518905177</v>
      </c>
      <c r="E37" s="278">
        <v>0.95927799906565636</v>
      </c>
      <c r="F37" s="278">
        <v>0.96175599951773783</v>
      </c>
      <c r="G37" s="278">
        <v>0.96306847440042975</v>
      </c>
      <c r="H37" s="278">
        <v>0.96408566663901585</v>
      </c>
      <c r="I37" s="278">
        <v>0.96507157463824911</v>
      </c>
      <c r="J37" s="279">
        <v>0.96585856791767022</v>
      </c>
      <c r="K37" s="277">
        <v>0.96664602567203373</v>
      </c>
      <c r="L37" s="278">
        <v>0.96743394831703922</v>
      </c>
      <c r="M37" s="278">
        <v>0.96822233626888343</v>
      </c>
      <c r="N37" s="278">
        <v>0.96901118994425761</v>
      </c>
      <c r="O37" s="278">
        <v>0.96980050976035259</v>
      </c>
      <c r="P37" s="278">
        <v>0.97059029613485737</v>
      </c>
      <c r="Q37" s="278">
        <v>0.97138054948596064</v>
      </c>
      <c r="R37" s="278">
        <v>0.97217127023234906</v>
      </c>
      <c r="S37" s="279">
        <v>0.97267791751679777</v>
      </c>
      <c r="T37" s="277">
        <v>0.97278539786041396</v>
      </c>
      <c r="U37" s="278">
        <v>0.97289287954015247</v>
      </c>
      <c r="V37" s="278">
        <v>0.97300036255601552</v>
      </c>
      <c r="W37" s="278">
        <v>0.97310784690800212</v>
      </c>
      <c r="X37" s="278">
        <v>0.97321533259611104</v>
      </c>
      <c r="Y37" s="278">
        <v>0.97332281962034339</v>
      </c>
      <c r="Z37" s="278">
        <v>0.97343030798070007</v>
      </c>
      <c r="AA37" s="278">
        <v>0.97353779767717941</v>
      </c>
      <c r="AB37" s="279">
        <v>0.97364528870978295</v>
      </c>
      <c r="AC37" s="277">
        <v>0.9738258465910381</v>
      </c>
      <c r="AD37" s="278">
        <v>0.97421894784247354</v>
      </c>
      <c r="AE37" s="278">
        <v>0.97461726179497754</v>
      </c>
      <c r="AF37" s="278">
        <v>0.9750157353784622</v>
      </c>
      <c r="AG37" s="278">
        <v>0.97541436868844134</v>
      </c>
      <c r="AH37" s="278">
        <v>0.97581316182049926</v>
      </c>
      <c r="AI37" s="278">
        <v>0.97621211487030113</v>
      </c>
      <c r="AJ37" s="278">
        <v>0.97661122793358812</v>
      </c>
      <c r="AK37" s="278">
        <v>0.97701050110617527</v>
      </c>
      <c r="AL37" s="279">
        <v>0.97740993448395508</v>
      </c>
      <c r="AM37" s="277">
        <v>0.9775279475871641</v>
      </c>
      <c r="AN37" s="278">
        <v>0.97764596069037302</v>
      </c>
      <c r="AO37" s="278">
        <v>0.97776397379358204</v>
      </c>
      <c r="AP37" s="278">
        <v>0.97788198689679096</v>
      </c>
      <c r="AQ37" s="278">
        <v>0.97799999999999998</v>
      </c>
      <c r="AR37" s="278">
        <v>0.97819999999999996</v>
      </c>
      <c r="AS37" s="278">
        <v>0.97839999999999994</v>
      </c>
      <c r="AT37" s="278">
        <v>0.97860000000000003</v>
      </c>
      <c r="AU37" s="278">
        <v>0.9788</v>
      </c>
      <c r="AV37" s="279">
        <v>0.97899999999999998</v>
      </c>
      <c r="AW37" s="277">
        <v>0.97909999999999997</v>
      </c>
      <c r="AX37" s="278">
        <v>0.97919999999999996</v>
      </c>
      <c r="AY37" s="278">
        <v>0.97930000000000006</v>
      </c>
      <c r="AZ37" s="278">
        <v>0.97940000000000005</v>
      </c>
      <c r="BA37" s="278">
        <v>0.97950000000000004</v>
      </c>
      <c r="BB37" s="278">
        <v>0.97960000000000003</v>
      </c>
      <c r="BC37" s="278">
        <v>0.97970000000000002</v>
      </c>
      <c r="BD37" s="278">
        <v>0.9798</v>
      </c>
      <c r="BE37" s="278">
        <v>0.97989999999999999</v>
      </c>
      <c r="BF37" s="279">
        <v>0.98</v>
      </c>
      <c r="BG37" s="279">
        <f t="shared" si="0"/>
        <v>0.98</v>
      </c>
      <c r="BH37" s="237"/>
    </row>
    <row r="38" spans="1:60" x14ac:dyDescent="0.2">
      <c r="A38" s="273">
        <v>4</v>
      </c>
      <c r="B38" s="277">
        <v>0.93173298527928161</v>
      </c>
      <c r="C38" s="278">
        <v>0.93555885024246854</v>
      </c>
      <c r="D38" s="278">
        <v>0.93914439164038455</v>
      </c>
      <c r="E38" s="278">
        <v>0.94319808670080196</v>
      </c>
      <c r="F38" s="278">
        <v>0.94719242194876352</v>
      </c>
      <c r="G38" s="278">
        <v>0.9490190355970326</v>
      </c>
      <c r="H38" s="278">
        <v>0.95004532937902963</v>
      </c>
      <c r="I38" s="278">
        <v>0.95120390158401436</v>
      </c>
      <c r="J38" s="279">
        <v>0.9521901546014736</v>
      </c>
      <c r="K38" s="277">
        <v>0.95317698658911421</v>
      </c>
      <c r="L38" s="278">
        <v>0.95416439806510822</v>
      </c>
      <c r="M38" s="278">
        <v>0.95515238954824566</v>
      </c>
      <c r="N38" s="278">
        <v>0.95614096155793604</v>
      </c>
      <c r="O38" s="278">
        <v>0.9571301146142096</v>
      </c>
      <c r="P38" s="278">
        <v>0.9581198492377162</v>
      </c>
      <c r="Q38" s="278">
        <v>0.95911016594973031</v>
      </c>
      <c r="R38" s="278">
        <v>0.96010106527214689</v>
      </c>
      <c r="S38" s="279">
        <v>0.96087390750269541</v>
      </c>
      <c r="T38" s="277">
        <v>0.96128831929990854</v>
      </c>
      <c r="U38" s="278">
        <v>0.96170273813384533</v>
      </c>
      <c r="V38" s="278">
        <v>0.96211716400450475</v>
      </c>
      <c r="W38" s="278">
        <v>0.96253159691188683</v>
      </c>
      <c r="X38" s="278">
        <v>0.96294603685599167</v>
      </c>
      <c r="Y38" s="278">
        <v>0.96336048383681927</v>
      </c>
      <c r="Z38" s="278">
        <v>0.96377493785436963</v>
      </c>
      <c r="AA38" s="278">
        <v>0.96418939890864241</v>
      </c>
      <c r="AB38" s="279">
        <v>0.96460386699963807</v>
      </c>
      <c r="AC38" s="277">
        <v>0.9650898746469978</v>
      </c>
      <c r="AD38" s="278">
        <v>0.96552894652783905</v>
      </c>
      <c r="AE38" s="278">
        <v>0.96592756369110044</v>
      </c>
      <c r="AF38" s="278">
        <v>0.96632634107453019</v>
      </c>
      <c r="AG38" s="278">
        <v>0.96672527877398962</v>
      </c>
      <c r="AH38" s="278">
        <v>0.96712437688542086</v>
      </c>
      <c r="AI38" s="278">
        <v>0.96752363550484033</v>
      </c>
      <c r="AJ38" s="278">
        <v>0.96792305472833962</v>
      </c>
      <c r="AK38" s="278">
        <v>0.96832263465209123</v>
      </c>
      <c r="AL38" s="279">
        <v>0.96872237537234107</v>
      </c>
      <c r="AM38" s="277">
        <v>0.96907790029787289</v>
      </c>
      <c r="AN38" s="278">
        <v>0.9694334252234047</v>
      </c>
      <c r="AO38" s="278">
        <v>0.9697889501489364</v>
      </c>
      <c r="AP38" s="278">
        <v>0.97014447507446822</v>
      </c>
      <c r="AQ38" s="278">
        <v>0.97050000000000003</v>
      </c>
      <c r="AR38" s="278">
        <v>0.97070000000000001</v>
      </c>
      <c r="AS38" s="278">
        <v>0.97089999999999999</v>
      </c>
      <c r="AT38" s="278">
        <v>0.97110000000000007</v>
      </c>
      <c r="AU38" s="278">
        <v>0.97130000000000005</v>
      </c>
      <c r="AV38" s="279">
        <v>0.97150000000000003</v>
      </c>
      <c r="AW38" s="277">
        <v>0.97160000000000002</v>
      </c>
      <c r="AX38" s="278">
        <v>0.97170000000000001</v>
      </c>
      <c r="AY38" s="278">
        <v>0.9718</v>
      </c>
      <c r="AZ38" s="278">
        <v>0.97189999999999999</v>
      </c>
      <c r="BA38" s="278">
        <v>0.97199999999999998</v>
      </c>
      <c r="BB38" s="278">
        <v>0.97209999999999996</v>
      </c>
      <c r="BC38" s="278">
        <v>0.97219999999999995</v>
      </c>
      <c r="BD38" s="278">
        <v>0.97230000000000005</v>
      </c>
      <c r="BE38" s="278">
        <v>0.97240000000000004</v>
      </c>
      <c r="BF38" s="279">
        <v>0.97250000000000003</v>
      </c>
      <c r="BG38" s="279">
        <f t="shared" si="0"/>
        <v>0.97250000000000003</v>
      </c>
      <c r="BH38" s="237"/>
    </row>
    <row r="39" spans="1:60" x14ac:dyDescent="0.2">
      <c r="A39" s="280">
        <v>4.5</v>
      </c>
      <c r="B39" s="290">
        <v>0.91350862914234021</v>
      </c>
      <c r="C39" s="291">
        <v>0.91859577489562749</v>
      </c>
      <c r="D39" s="291">
        <v>0.92322745831911557</v>
      </c>
      <c r="E39" s="291">
        <v>0.92796302365033234</v>
      </c>
      <c r="F39" s="291">
        <v>0.93247056352282498</v>
      </c>
      <c r="G39" s="291">
        <v>0.93457205214218242</v>
      </c>
      <c r="H39" s="291">
        <v>0.93560781015934213</v>
      </c>
      <c r="I39" s="291">
        <v>0.93697623627506565</v>
      </c>
      <c r="J39" s="292">
        <v>0.93826531183905726</v>
      </c>
      <c r="K39" s="290">
        <v>0.93955513956461523</v>
      </c>
      <c r="L39" s="291">
        <v>0.94084572012491396</v>
      </c>
      <c r="M39" s="291">
        <v>0.94213705419393556</v>
      </c>
      <c r="N39" s="291">
        <v>0.9434291424464607</v>
      </c>
      <c r="O39" s="291">
        <v>0.94472198555808029</v>
      </c>
      <c r="P39" s="291">
        <v>0.94601558420519194</v>
      </c>
      <c r="Q39" s="291">
        <v>0.94730993906500083</v>
      </c>
      <c r="R39" s="291">
        <v>0.94860505081552127</v>
      </c>
      <c r="S39" s="292">
        <v>0.94969749258918401</v>
      </c>
      <c r="T39" s="290">
        <v>0.95021756889250131</v>
      </c>
      <c r="U39" s="291">
        <v>0.95073765605200367</v>
      </c>
      <c r="V39" s="291">
        <v>0.95125775406769053</v>
      </c>
      <c r="W39" s="291">
        <v>0.95177786293956324</v>
      </c>
      <c r="X39" s="291">
        <v>0.95229798266761967</v>
      </c>
      <c r="Y39" s="291">
        <v>0.95281811325186083</v>
      </c>
      <c r="Z39" s="291">
        <v>0.95333825469228661</v>
      </c>
      <c r="AA39" s="291">
        <v>0.95385840698889712</v>
      </c>
      <c r="AB39" s="292">
        <v>0.95437857014169347</v>
      </c>
      <c r="AC39" s="290">
        <v>0.95496893413572448</v>
      </c>
      <c r="AD39" s="291">
        <v>0.95554103431066117</v>
      </c>
      <c r="AE39" s="291">
        <v>0.95604192928497334</v>
      </c>
      <c r="AF39" s="291">
        <v>0.95654302673451308</v>
      </c>
      <c r="AG39" s="291">
        <v>0.95704432678042595</v>
      </c>
      <c r="AH39" s="291">
        <v>0.95754582954395306</v>
      </c>
      <c r="AI39" s="291">
        <v>0.9580475351464347</v>
      </c>
      <c r="AJ39" s="291">
        <v>0.95854944370930872</v>
      </c>
      <c r="AK39" s="291">
        <v>0.95905155535410502</v>
      </c>
      <c r="AL39" s="292">
        <v>0.95955387020245575</v>
      </c>
      <c r="AM39" s="281">
        <v>0.96004309616196459</v>
      </c>
      <c r="AN39" s="282">
        <v>0.96053232212147344</v>
      </c>
      <c r="AO39" s="282">
        <v>0.96102154808098228</v>
      </c>
      <c r="AP39" s="282">
        <v>0.96151077404049112</v>
      </c>
      <c r="AQ39" s="282">
        <v>0.96199999999999997</v>
      </c>
      <c r="AR39" s="282">
        <v>0.96229999999999993</v>
      </c>
      <c r="AS39" s="282">
        <v>0.96260000000000001</v>
      </c>
      <c r="AT39" s="282">
        <v>0.96289999999999998</v>
      </c>
      <c r="AU39" s="282">
        <v>0.96320000000000006</v>
      </c>
      <c r="AV39" s="283">
        <v>0.96350000000000002</v>
      </c>
      <c r="AW39" s="281">
        <v>0.9637</v>
      </c>
      <c r="AX39" s="282">
        <v>0.96389999999999998</v>
      </c>
      <c r="AY39" s="282">
        <v>0.96410000000000007</v>
      </c>
      <c r="AZ39" s="282">
        <v>0.96430000000000005</v>
      </c>
      <c r="BA39" s="282">
        <v>0.96450000000000002</v>
      </c>
      <c r="BB39" s="282">
        <v>0.96460000000000001</v>
      </c>
      <c r="BC39" s="282">
        <v>0.9647</v>
      </c>
      <c r="BD39" s="282">
        <v>0.96479999999999999</v>
      </c>
      <c r="BE39" s="282">
        <v>0.96489999999999998</v>
      </c>
      <c r="BF39" s="283">
        <v>0.96499999999999997</v>
      </c>
      <c r="BG39" s="283">
        <f t="shared" si="0"/>
        <v>0.96499999999999997</v>
      </c>
      <c r="BH39" s="237"/>
    </row>
    <row r="40" spans="1:60" x14ac:dyDescent="0.2">
      <c r="A40" s="273">
        <v>5</v>
      </c>
      <c r="B40" s="287">
        <v>0.89601424805538055</v>
      </c>
      <c r="C40" s="288">
        <v>0.90180109513216111</v>
      </c>
      <c r="D40" s="288">
        <v>0.90697768482456664</v>
      </c>
      <c r="E40" s="288">
        <v>0.91192120458231551</v>
      </c>
      <c r="F40" s="288">
        <v>0.91643515627448613</v>
      </c>
      <c r="G40" s="288">
        <v>0.91957109571434736</v>
      </c>
      <c r="H40" s="288">
        <v>0.92214934338007493</v>
      </c>
      <c r="I40" s="288">
        <v>0.92441436168438451</v>
      </c>
      <c r="J40" s="289">
        <v>0.92590739502850206</v>
      </c>
      <c r="K40" s="287">
        <v>0.92740129464947918</v>
      </c>
      <c r="L40" s="288">
        <v>0.92889606132262281</v>
      </c>
      <c r="M40" s="288">
        <v>0.93039169582416659</v>
      </c>
      <c r="N40" s="288">
        <v>0.9318881989312694</v>
      </c>
      <c r="O40" s="288">
        <v>0.93338557142201917</v>
      </c>
      <c r="P40" s="288">
        <v>0.93488381407543453</v>
      </c>
      <c r="Q40" s="288">
        <v>0.93638292767146347</v>
      </c>
      <c r="R40" s="288">
        <v>0.93788291299098681</v>
      </c>
      <c r="S40" s="289">
        <v>0.93923638897474915</v>
      </c>
      <c r="T40" s="287">
        <v>0.93976050542333311</v>
      </c>
      <c r="U40" s="288">
        <v>0.94028463473390789</v>
      </c>
      <c r="V40" s="288">
        <v>0.94080877690647702</v>
      </c>
      <c r="W40" s="288">
        <v>0.94133293194103607</v>
      </c>
      <c r="X40" s="288">
        <v>0.94185709983758847</v>
      </c>
      <c r="Y40" s="288">
        <v>0.9423812805961338</v>
      </c>
      <c r="Z40" s="288">
        <v>0.94290547421666915</v>
      </c>
      <c r="AA40" s="288">
        <v>0.94342968069919775</v>
      </c>
      <c r="AB40" s="289">
        <v>0.94395390004371837</v>
      </c>
      <c r="AC40" s="287">
        <v>0.94454722467257846</v>
      </c>
      <c r="AD40" s="288">
        <v>0.94520242990235581</v>
      </c>
      <c r="AE40" s="288">
        <v>0.94580663867543191</v>
      </c>
      <c r="AF40" s="288">
        <v>0.94641109332535478</v>
      </c>
      <c r="AG40" s="288">
        <v>0.94701579399923907</v>
      </c>
      <c r="AH40" s="288">
        <v>0.94762074084431502</v>
      </c>
      <c r="AI40" s="288">
        <v>0.94822593400793276</v>
      </c>
      <c r="AJ40" s="288">
        <v>0.94883137363755832</v>
      </c>
      <c r="AK40" s="288">
        <v>0.94943705988077698</v>
      </c>
      <c r="AL40" s="289">
        <v>0.95004299288528993</v>
      </c>
      <c r="AM40" s="287">
        <v>0.95043439430823196</v>
      </c>
      <c r="AN40" s="288">
        <v>0.95082579573117398</v>
      </c>
      <c r="AO40" s="288">
        <v>0.9512171971541159</v>
      </c>
      <c r="AP40" s="288">
        <v>0.95160859857705793</v>
      </c>
      <c r="AQ40" s="288">
        <v>0.95199999999999996</v>
      </c>
      <c r="AR40" s="288">
        <v>0.95229999999999992</v>
      </c>
      <c r="AS40" s="288">
        <v>0.9526</v>
      </c>
      <c r="AT40" s="288">
        <v>0.95289999999999997</v>
      </c>
      <c r="AU40" s="288">
        <v>0.95320000000000005</v>
      </c>
      <c r="AV40" s="289">
        <v>0.95350000000000001</v>
      </c>
      <c r="AW40" s="287">
        <v>0.95369999999999999</v>
      </c>
      <c r="AX40" s="288">
        <v>0.95389999999999997</v>
      </c>
      <c r="AY40" s="288">
        <v>0.95410000000000006</v>
      </c>
      <c r="AZ40" s="288">
        <v>0.95430000000000004</v>
      </c>
      <c r="BA40" s="288">
        <v>0.95450000000000002</v>
      </c>
      <c r="BB40" s="288">
        <v>0.9546</v>
      </c>
      <c r="BC40" s="288">
        <v>0.95469999999999999</v>
      </c>
      <c r="BD40" s="288">
        <v>0.95479999999999998</v>
      </c>
      <c r="BE40" s="288">
        <v>0.95489999999999997</v>
      </c>
      <c r="BF40" s="289">
        <v>0.95499999999999996</v>
      </c>
      <c r="BG40" s="289">
        <f t="shared" si="0"/>
        <v>0.95499999999999996</v>
      </c>
      <c r="BH40" s="237"/>
    </row>
    <row r="41" spans="1:60" x14ac:dyDescent="0.2">
      <c r="A41" s="273">
        <v>5.5</v>
      </c>
      <c r="B41" s="277">
        <v>0.8767166313921414</v>
      </c>
      <c r="C41" s="278">
        <v>0.88426014806853281</v>
      </c>
      <c r="D41" s="278">
        <v>0.89101421194980068</v>
      </c>
      <c r="E41" s="278">
        <v>0.89688159462625661</v>
      </c>
      <c r="F41" s="278">
        <v>0.90191627779943528</v>
      </c>
      <c r="G41" s="278">
        <v>0.90504820208917491</v>
      </c>
      <c r="H41" s="278">
        <v>0.90713013441977819</v>
      </c>
      <c r="I41" s="278">
        <v>0.90935026493810844</v>
      </c>
      <c r="J41" s="279">
        <v>0.91115114549026632</v>
      </c>
      <c r="K41" s="277">
        <v>0.91295306456146996</v>
      </c>
      <c r="L41" s="278">
        <v>0.91475602308117843</v>
      </c>
      <c r="M41" s="278">
        <v>0.91656002197996522</v>
      </c>
      <c r="N41" s="278">
        <v>0.91836506218951131</v>
      </c>
      <c r="O41" s="278">
        <v>0.92017114464261307</v>
      </c>
      <c r="P41" s="278">
        <v>0.92197827027318124</v>
      </c>
      <c r="Q41" s="278">
        <v>0.92378644001624155</v>
      </c>
      <c r="R41" s="278">
        <v>0.92559565480793671</v>
      </c>
      <c r="S41" s="279">
        <v>0.92726367414070199</v>
      </c>
      <c r="T41" s="277">
        <v>0.92807992733258127</v>
      </c>
      <c r="U41" s="278">
        <v>0.92881385285475482</v>
      </c>
      <c r="V41" s="278">
        <v>0.92954779911637453</v>
      </c>
      <c r="W41" s="278">
        <v>0.9302817661174384</v>
      </c>
      <c r="X41" s="278">
        <v>0.93101575385794855</v>
      </c>
      <c r="Y41" s="278">
        <v>0.93174976233790263</v>
      </c>
      <c r="Z41" s="278">
        <v>0.93248379155730299</v>
      </c>
      <c r="AA41" s="278">
        <v>0.93321784151614728</v>
      </c>
      <c r="AB41" s="279">
        <v>0.93395191221443785</v>
      </c>
      <c r="AC41" s="277">
        <v>0.93475428593727194</v>
      </c>
      <c r="AD41" s="278">
        <v>0.93552451430579331</v>
      </c>
      <c r="AE41" s="278">
        <v>0.9360272574255758</v>
      </c>
      <c r="AF41" s="278">
        <v>0.93653020581954394</v>
      </c>
      <c r="AG41" s="278">
        <v>0.93703335961051937</v>
      </c>
      <c r="AH41" s="278">
        <v>0.93753671892141888</v>
      </c>
      <c r="AI41" s="278">
        <v>0.93804028387526117</v>
      </c>
      <c r="AJ41" s="278">
        <v>0.93854405459515977</v>
      </c>
      <c r="AK41" s="278">
        <v>0.939048031204328</v>
      </c>
      <c r="AL41" s="279">
        <v>0.93955221382607845</v>
      </c>
      <c r="AM41" s="277">
        <v>0.94004177106086273</v>
      </c>
      <c r="AN41" s="278">
        <v>0.94053132829564701</v>
      </c>
      <c r="AO41" s="278">
        <v>0.94102088553043139</v>
      </c>
      <c r="AP41" s="278">
        <v>0.94151044276521567</v>
      </c>
      <c r="AQ41" s="278">
        <v>0.94199999999999995</v>
      </c>
      <c r="AR41" s="278">
        <v>0.94229999999999992</v>
      </c>
      <c r="AS41" s="278">
        <v>0.94259999999999999</v>
      </c>
      <c r="AT41" s="278">
        <v>0.94289999999999996</v>
      </c>
      <c r="AU41" s="278">
        <v>0.94320000000000004</v>
      </c>
      <c r="AV41" s="279">
        <v>0.94350000000000001</v>
      </c>
      <c r="AW41" s="277">
        <v>0.94369999999999998</v>
      </c>
      <c r="AX41" s="278">
        <v>0.94389999999999996</v>
      </c>
      <c r="AY41" s="278">
        <v>0.94410000000000005</v>
      </c>
      <c r="AZ41" s="278">
        <v>0.94430000000000003</v>
      </c>
      <c r="BA41" s="278">
        <v>0.94450000000000001</v>
      </c>
      <c r="BB41" s="278">
        <v>0.9446</v>
      </c>
      <c r="BC41" s="278">
        <v>0.94469999999999998</v>
      </c>
      <c r="BD41" s="278">
        <v>0.94479999999999997</v>
      </c>
      <c r="BE41" s="278">
        <v>0.94489999999999996</v>
      </c>
      <c r="BF41" s="279">
        <v>0.94499999999999995</v>
      </c>
      <c r="BG41" s="279">
        <f t="shared" si="0"/>
        <v>0.94499999999999995</v>
      </c>
      <c r="BH41" s="237"/>
    </row>
    <row r="42" spans="1:60" x14ac:dyDescent="0.2">
      <c r="A42" s="273">
        <v>6</v>
      </c>
      <c r="B42" s="277">
        <v>0.85954714079484262</v>
      </c>
      <c r="C42" s="278">
        <v>0.86681711628412683</v>
      </c>
      <c r="D42" s="278">
        <v>0.87310043505480672</v>
      </c>
      <c r="E42" s="278">
        <v>0.87921903458626682</v>
      </c>
      <c r="F42" s="278">
        <v>0.88477815678749883</v>
      </c>
      <c r="G42" s="278">
        <v>0.88879430293982331</v>
      </c>
      <c r="H42" s="278">
        <v>0.89192302115594535</v>
      </c>
      <c r="I42" s="278">
        <v>0.8949434599894277</v>
      </c>
      <c r="J42" s="279">
        <v>0.89705524739558262</v>
      </c>
      <c r="K42" s="277">
        <v>0.89916824518011762</v>
      </c>
      <c r="L42" s="278">
        <v>0.90128245442630617</v>
      </c>
      <c r="M42" s="278">
        <v>0.90339787621871526</v>
      </c>
      <c r="N42" s="278">
        <v>0.90551451164320873</v>
      </c>
      <c r="O42" s="278">
        <v>0.90763236178694329</v>
      </c>
      <c r="P42" s="278">
        <v>0.90975142773838014</v>
      </c>
      <c r="Q42" s="278">
        <v>0.91187171058727556</v>
      </c>
      <c r="R42" s="278">
        <v>0.91399321142469203</v>
      </c>
      <c r="S42" s="279">
        <v>0.91597858703614177</v>
      </c>
      <c r="T42" s="277">
        <v>0.91694475007457776</v>
      </c>
      <c r="U42" s="278">
        <v>0.91768344126419954</v>
      </c>
      <c r="V42" s="278">
        <v>0.91842215585127907</v>
      </c>
      <c r="W42" s="278">
        <v>0.91916089383581656</v>
      </c>
      <c r="X42" s="278">
        <v>0.91989965521781292</v>
      </c>
      <c r="Y42" s="278">
        <v>0.92063843999726591</v>
      </c>
      <c r="Z42" s="278">
        <v>0.92137724817417688</v>
      </c>
      <c r="AA42" s="278">
        <v>0.9221160797485457</v>
      </c>
      <c r="AB42" s="279">
        <v>0.92285493472037228</v>
      </c>
      <c r="AC42" s="277">
        <v>0.92366140776342165</v>
      </c>
      <c r="AD42" s="278">
        <v>0.92451651190332085</v>
      </c>
      <c r="AE42" s="278">
        <v>0.92512363108254192</v>
      </c>
      <c r="AF42" s="278">
        <v>0.92573100035896738</v>
      </c>
      <c r="AG42" s="278">
        <v>0.92633861988223376</v>
      </c>
      <c r="AH42" s="278">
        <v>0.92694648980210026</v>
      </c>
      <c r="AI42" s="278">
        <v>0.92755461026844566</v>
      </c>
      <c r="AJ42" s="278">
        <v>0.92816298143126841</v>
      </c>
      <c r="AK42" s="278">
        <v>0.92877160344068532</v>
      </c>
      <c r="AL42" s="279">
        <v>0.92938047644693389</v>
      </c>
      <c r="AM42" s="277">
        <v>0.92970438115754717</v>
      </c>
      <c r="AN42" s="278">
        <v>0.93002828586816033</v>
      </c>
      <c r="AO42" s="278">
        <v>0.93035219057877361</v>
      </c>
      <c r="AP42" s="278">
        <v>0.93067609528938677</v>
      </c>
      <c r="AQ42" s="278">
        <v>0.93100000000000005</v>
      </c>
      <c r="AR42" s="278">
        <v>0.93140000000000001</v>
      </c>
      <c r="AS42" s="278">
        <v>0.93180000000000007</v>
      </c>
      <c r="AT42" s="278">
        <v>0.93220000000000003</v>
      </c>
      <c r="AU42" s="278">
        <v>0.9326000000000001</v>
      </c>
      <c r="AV42" s="279">
        <v>0.93300000000000005</v>
      </c>
      <c r="AW42" s="277">
        <v>0.93320000000000003</v>
      </c>
      <c r="AX42" s="278">
        <v>0.93340000000000001</v>
      </c>
      <c r="AY42" s="278">
        <v>0.9336000000000001</v>
      </c>
      <c r="AZ42" s="278">
        <v>0.93380000000000007</v>
      </c>
      <c r="BA42" s="278">
        <v>0.93400000000000005</v>
      </c>
      <c r="BB42" s="278">
        <v>0.93420000000000003</v>
      </c>
      <c r="BC42" s="278">
        <v>0.93440000000000001</v>
      </c>
      <c r="BD42" s="278">
        <v>0.9346000000000001</v>
      </c>
      <c r="BE42" s="278">
        <v>0.93480000000000008</v>
      </c>
      <c r="BF42" s="279">
        <v>0.93500000000000005</v>
      </c>
      <c r="BG42" s="279">
        <f t="shared" si="0"/>
        <v>0.93500000000000005</v>
      </c>
      <c r="BH42" s="237"/>
    </row>
    <row r="43" spans="1:60" x14ac:dyDescent="0.2">
      <c r="A43" s="273">
        <v>6.5</v>
      </c>
      <c r="B43" s="277">
        <v>0.84167231737321402</v>
      </c>
      <c r="C43" s="278">
        <v>0.84972509617758385</v>
      </c>
      <c r="D43" s="278">
        <v>0.85656906595927895</v>
      </c>
      <c r="E43" s="278">
        <v>0.86328371519200775</v>
      </c>
      <c r="F43" s="278">
        <v>0.86937297493760324</v>
      </c>
      <c r="G43" s="278">
        <v>0.87399059579732519</v>
      </c>
      <c r="H43" s="278">
        <v>0.877656985995932</v>
      </c>
      <c r="I43" s="278">
        <v>0.88114845700206545</v>
      </c>
      <c r="J43" s="279">
        <v>0.88336693748157347</v>
      </c>
      <c r="K43" s="277">
        <v>0.88558668234053362</v>
      </c>
      <c r="L43" s="278">
        <v>0.88780769271055004</v>
      </c>
      <c r="M43" s="278">
        <v>0.89002996972458059</v>
      </c>
      <c r="N43" s="278">
        <v>0.89225351451693091</v>
      </c>
      <c r="O43" s="278">
        <v>0.89447832822326456</v>
      </c>
      <c r="P43" s="278">
        <v>0.89670441198060047</v>
      </c>
      <c r="Q43" s="278">
        <v>0.89893176692731869</v>
      </c>
      <c r="R43" s="278">
        <v>0.90116039420315708</v>
      </c>
      <c r="S43" s="279">
        <v>0.90325792598768984</v>
      </c>
      <c r="T43" s="277">
        <v>0.90452062465033733</v>
      </c>
      <c r="U43" s="278">
        <v>0.9054717219042453</v>
      </c>
      <c r="V43" s="278">
        <v>0.90642285256318811</v>
      </c>
      <c r="W43" s="278">
        <v>0.90737401662716632</v>
      </c>
      <c r="X43" s="278">
        <v>0.90832521409618083</v>
      </c>
      <c r="Y43" s="278">
        <v>0.90927644497022997</v>
      </c>
      <c r="Z43" s="278">
        <v>0.91022770924931473</v>
      </c>
      <c r="AA43" s="278">
        <v>0.9111790069334359</v>
      </c>
      <c r="AB43" s="279">
        <v>0.91213033802259147</v>
      </c>
      <c r="AC43" s="277">
        <v>0.91314884705724697</v>
      </c>
      <c r="AD43" s="278">
        <v>0.91425608344895093</v>
      </c>
      <c r="AE43" s="278">
        <v>0.91496877905338236</v>
      </c>
      <c r="AF43" s="278">
        <v>0.91568177103291981</v>
      </c>
      <c r="AG43" s="278">
        <v>0.91639505956489309</v>
      </c>
      <c r="AH43" s="278">
        <v>0.91710864482677035</v>
      </c>
      <c r="AI43" s="278">
        <v>0.91782252699616551</v>
      </c>
      <c r="AJ43" s="278">
        <v>0.91853670625083039</v>
      </c>
      <c r="AK43" s="278">
        <v>0.91925118276866091</v>
      </c>
      <c r="AL43" s="279">
        <v>0.91996595672769421</v>
      </c>
      <c r="AM43" s="277">
        <v>0.92057276538215538</v>
      </c>
      <c r="AN43" s="278">
        <v>0.92117957403661654</v>
      </c>
      <c r="AO43" s="278">
        <v>0.92178638269107771</v>
      </c>
      <c r="AP43" s="278">
        <v>0.92239319134553888</v>
      </c>
      <c r="AQ43" s="278">
        <v>0.92300000000000004</v>
      </c>
      <c r="AR43" s="278">
        <v>0.9234</v>
      </c>
      <c r="AS43" s="278">
        <v>0.92380000000000007</v>
      </c>
      <c r="AT43" s="278">
        <v>0.92420000000000002</v>
      </c>
      <c r="AU43" s="278">
        <v>0.92460000000000009</v>
      </c>
      <c r="AV43" s="279">
        <v>0.92500000000000004</v>
      </c>
      <c r="AW43" s="277">
        <v>0.92520000000000002</v>
      </c>
      <c r="AX43" s="278">
        <v>0.9254</v>
      </c>
      <c r="AY43" s="278">
        <v>0.92560000000000009</v>
      </c>
      <c r="AZ43" s="278">
        <v>0.92580000000000007</v>
      </c>
      <c r="BA43" s="278">
        <v>0.92600000000000005</v>
      </c>
      <c r="BB43" s="278">
        <v>0.92620000000000002</v>
      </c>
      <c r="BC43" s="278">
        <v>0.9264</v>
      </c>
      <c r="BD43" s="278">
        <v>0.92660000000000009</v>
      </c>
      <c r="BE43" s="278">
        <v>0.92680000000000007</v>
      </c>
      <c r="BF43" s="279">
        <v>0.92700000000000005</v>
      </c>
      <c r="BG43" s="279">
        <f t="shared" si="0"/>
        <v>0.92700000000000005</v>
      </c>
      <c r="BH43" s="237"/>
    </row>
    <row r="44" spans="1:60" x14ac:dyDescent="0.2">
      <c r="A44" s="280">
        <v>7</v>
      </c>
      <c r="B44" s="281">
        <v>0.82360674258251265</v>
      </c>
      <c r="C44" s="282">
        <v>0.83217890359181157</v>
      </c>
      <c r="D44" s="282">
        <v>0.8395891614748231</v>
      </c>
      <c r="E44" s="282">
        <v>0.84720727481645075</v>
      </c>
      <c r="F44" s="282">
        <v>0.85435229650705546</v>
      </c>
      <c r="G44" s="282">
        <v>0.85963916930821693</v>
      </c>
      <c r="H44" s="282">
        <v>0.86332756954202017</v>
      </c>
      <c r="I44" s="282">
        <v>0.8670341248961545</v>
      </c>
      <c r="J44" s="283">
        <v>0.86956839138325037</v>
      </c>
      <c r="K44" s="281">
        <v>0.87210409321700721</v>
      </c>
      <c r="L44" s="282">
        <v>0.87464123168204411</v>
      </c>
      <c r="M44" s="282">
        <v>0.8771798080645119</v>
      </c>
      <c r="N44" s="282">
        <v>0.87971982365209911</v>
      </c>
      <c r="O44" s="282">
        <v>0.8822612797340299</v>
      </c>
      <c r="P44" s="282">
        <v>0.884804177601069</v>
      </c>
      <c r="Q44" s="282">
        <v>0.88734851854552721</v>
      </c>
      <c r="R44" s="282">
        <v>0.88989430386125468</v>
      </c>
      <c r="S44" s="283">
        <v>0.89231374820530762</v>
      </c>
      <c r="T44" s="281">
        <v>0.89381294406714773</v>
      </c>
      <c r="U44" s="282">
        <v>0.89476955897816934</v>
      </c>
      <c r="V44" s="282">
        <v>0.89572621052311741</v>
      </c>
      <c r="W44" s="282">
        <v>0.89668289870199169</v>
      </c>
      <c r="X44" s="282">
        <v>0.89763962351479232</v>
      </c>
      <c r="Y44" s="282">
        <v>0.89859638496151917</v>
      </c>
      <c r="Z44" s="282">
        <v>0.89955318304217236</v>
      </c>
      <c r="AA44" s="282">
        <v>0.90051001775675077</v>
      </c>
      <c r="AB44" s="283">
        <v>0.90146688910525641</v>
      </c>
      <c r="AC44" s="281">
        <v>0.90249065493781777</v>
      </c>
      <c r="AD44" s="282">
        <v>0.90362266443619221</v>
      </c>
      <c r="AE44" s="282">
        <v>0.90437923168379175</v>
      </c>
      <c r="AF44" s="282">
        <v>0.90509433854029553</v>
      </c>
      <c r="AG44" s="282">
        <v>0.90580974513430557</v>
      </c>
      <c r="AH44" s="282">
        <v>0.90652545164519893</v>
      </c>
      <c r="AI44" s="282">
        <v>0.90724145825249336</v>
      </c>
      <c r="AJ44" s="282">
        <v>0.90795776513585313</v>
      </c>
      <c r="AK44" s="282">
        <v>0.90867437247508143</v>
      </c>
      <c r="AL44" s="283">
        <v>0.90939128045013151</v>
      </c>
      <c r="AM44" s="281">
        <v>0.90991302436010524</v>
      </c>
      <c r="AN44" s="282">
        <v>0.91043476827007896</v>
      </c>
      <c r="AO44" s="282">
        <v>0.91095651218005258</v>
      </c>
      <c r="AP44" s="282">
        <v>0.91147825609002631</v>
      </c>
      <c r="AQ44" s="282">
        <v>0.91200000000000003</v>
      </c>
      <c r="AR44" s="282">
        <v>0.91239999999999999</v>
      </c>
      <c r="AS44" s="282">
        <v>0.91280000000000006</v>
      </c>
      <c r="AT44" s="282">
        <v>0.91320000000000001</v>
      </c>
      <c r="AU44" s="282">
        <v>0.91360000000000008</v>
      </c>
      <c r="AV44" s="283">
        <v>0.91400000000000003</v>
      </c>
      <c r="AW44" s="281">
        <v>0.9143</v>
      </c>
      <c r="AX44" s="282">
        <v>0.91459999999999997</v>
      </c>
      <c r="AY44" s="282">
        <v>0.91490000000000005</v>
      </c>
      <c r="AZ44" s="282">
        <v>0.91520000000000001</v>
      </c>
      <c r="BA44" s="282">
        <v>0.91549999999999998</v>
      </c>
      <c r="BB44" s="282">
        <v>0.91579999999999995</v>
      </c>
      <c r="BC44" s="282">
        <v>0.91610000000000003</v>
      </c>
      <c r="BD44" s="282">
        <v>0.91639999999999999</v>
      </c>
      <c r="BE44" s="282">
        <v>0.91670000000000007</v>
      </c>
      <c r="BF44" s="283">
        <v>0.91700000000000004</v>
      </c>
      <c r="BG44" s="283">
        <f t="shared" si="0"/>
        <v>0.91700000000000004</v>
      </c>
      <c r="BH44" s="237"/>
    </row>
    <row r="45" spans="1:60" x14ac:dyDescent="0.2">
      <c r="A45" s="273">
        <v>7.5</v>
      </c>
      <c r="B45" s="284">
        <v>0.80672340517336549</v>
      </c>
      <c r="C45" s="285">
        <v>0.81605916470241158</v>
      </c>
      <c r="D45" s="285">
        <v>0.82351646727457339</v>
      </c>
      <c r="E45" s="285">
        <v>0.83120470051180995</v>
      </c>
      <c r="F45" s="285">
        <v>0.83836886007307609</v>
      </c>
      <c r="G45" s="285">
        <v>0.84399670811445571</v>
      </c>
      <c r="H45" s="285">
        <v>0.84823064146624483</v>
      </c>
      <c r="I45" s="285">
        <v>0.85248860323802067</v>
      </c>
      <c r="J45" s="286">
        <v>0.85523683322682864</v>
      </c>
      <c r="K45" s="284">
        <v>0.85798661031430135</v>
      </c>
      <c r="L45" s="285">
        <v>0.86073793588507375</v>
      </c>
      <c r="M45" s="285">
        <v>0.86349081132543448</v>
      </c>
      <c r="N45" s="285">
        <v>0.8662452380233242</v>
      </c>
      <c r="O45" s="285">
        <v>0.86900121736834746</v>
      </c>
      <c r="P45" s="285">
        <v>0.87175875075176157</v>
      </c>
      <c r="Q45" s="285">
        <v>0.87451783956649121</v>
      </c>
      <c r="R45" s="285">
        <v>0.87727848520712459</v>
      </c>
      <c r="S45" s="286">
        <v>0.87991756430531631</v>
      </c>
      <c r="T45" s="284">
        <v>0.88177051296025954</v>
      </c>
      <c r="U45" s="285">
        <v>0.88294217551992582</v>
      </c>
      <c r="V45" s="285">
        <v>0.88411388668774937</v>
      </c>
      <c r="W45" s="285">
        <v>0.88528564646372976</v>
      </c>
      <c r="X45" s="285">
        <v>0.88645745484786842</v>
      </c>
      <c r="Y45" s="285">
        <v>0.88762931184016447</v>
      </c>
      <c r="Z45" s="285">
        <v>0.88880121744061813</v>
      </c>
      <c r="AA45" s="285">
        <v>0.8899731716492294</v>
      </c>
      <c r="AB45" s="286">
        <v>0.89114517446599784</v>
      </c>
      <c r="AC45" s="284">
        <v>0.8923839929354983</v>
      </c>
      <c r="AD45" s="285">
        <v>0.89372991766250698</v>
      </c>
      <c r="AE45" s="285">
        <v>0.89460438500036843</v>
      </c>
      <c r="AF45" s="285">
        <v>0.89532184543499305</v>
      </c>
      <c r="AG45" s="285">
        <v>0.89603960903694957</v>
      </c>
      <c r="AH45" s="285">
        <v>0.89675767598766609</v>
      </c>
      <c r="AI45" s="285">
        <v>0.8974760464687177</v>
      </c>
      <c r="AJ45" s="285">
        <v>0.89819472066182082</v>
      </c>
      <c r="AK45" s="285">
        <v>0.89891369874883964</v>
      </c>
      <c r="AL45" s="286">
        <v>0.89963298091178434</v>
      </c>
      <c r="AM45" s="287">
        <v>0.90030638472942748</v>
      </c>
      <c r="AN45" s="288">
        <v>0.90097978854707061</v>
      </c>
      <c r="AO45" s="288">
        <v>0.90165319236471375</v>
      </c>
      <c r="AP45" s="288">
        <v>0.90232659618235689</v>
      </c>
      <c r="AQ45" s="288">
        <v>0.90300000000000002</v>
      </c>
      <c r="AR45" s="288">
        <v>0.90339999999999998</v>
      </c>
      <c r="AS45" s="288">
        <v>0.90380000000000005</v>
      </c>
      <c r="AT45" s="288">
        <v>0.9042</v>
      </c>
      <c r="AU45" s="288">
        <v>0.90460000000000007</v>
      </c>
      <c r="AV45" s="289">
        <v>0.90500000000000003</v>
      </c>
      <c r="AW45" s="287">
        <v>0.90539999999999998</v>
      </c>
      <c r="AX45" s="288">
        <v>0.90580000000000005</v>
      </c>
      <c r="AY45" s="288">
        <v>0.90620000000000001</v>
      </c>
      <c r="AZ45" s="288">
        <v>0.90660000000000007</v>
      </c>
      <c r="BA45" s="288">
        <v>0.90700000000000003</v>
      </c>
      <c r="BB45" s="288">
        <v>0.90720000000000001</v>
      </c>
      <c r="BC45" s="288">
        <v>0.90739999999999998</v>
      </c>
      <c r="BD45" s="288">
        <v>0.90760000000000007</v>
      </c>
      <c r="BE45" s="288">
        <v>0.90780000000000005</v>
      </c>
      <c r="BF45" s="289">
        <v>0.90800000000000003</v>
      </c>
      <c r="BG45" s="289">
        <f t="shared" si="0"/>
        <v>0.90800000000000003</v>
      </c>
      <c r="BH45" s="237"/>
    </row>
    <row r="46" spans="1:60" x14ac:dyDescent="0.2">
      <c r="A46" s="273">
        <v>8</v>
      </c>
      <c r="B46" s="277">
        <v>0.78875678424443663</v>
      </c>
      <c r="C46" s="278">
        <v>0.79869611717009559</v>
      </c>
      <c r="D46" s="278">
        <v>0.80830291848366909</v>
      </c>
      <c r="E46" s="278">
        <v>0.81707071662635167</v>
      </c>
      <c r="F46" s="278">
        <v>0.82425499500324184</v>
      </c>
      <c r="G46" s="278">
        <v>0.82999494005323315</v>
      </c>
      <c r="H46" s="278">
        <v>0.83425336488969515</v>
      </c>
      <c r="I46" s="278">
        <v>0.83863721057566409</v>
      </c>
      <c r="J46" s="279">
        <v>0.84139144028028112</v>
      </c>
      <c r="K46" s="277">
        <v>0.84414721161720796</v>
      </c>
      <c r="L46" s="278">
        <v>0.84690452596618571</v>
      </c>
      <c r="M46" s="278">
        <v>0.84966338470860503</v>
      </c>
      <c r="N46" s="278">
        <v>0.85242378922750472</v>
      </c>
      <c r="O46" s="278">
        <v>0.85518574090757427</v>
      </c>
      <c r="P46" s="278">
        <v>0.85794924113516036</v>
      </c>
      <c r="Q46" s="278">
        <v>0.86071429129826416</v>
      </c>
      <c r="R46" s="278">
        <v>0.86348089278654772</v>
      </c>
      <c r="S46" s="279">
        <v>0.86613064420258912</v>
      </c>
      <c r="T46" s="277">
        <v>0.86817185977002242</v>
      </c>
      <c r="U46" s="278">
        <v>0.86945503120436274</v>
      </c>
      <c r="V46" s="278">
        <v>0.87073825972591978</v>
      </c>
      <c r="W46" s="278">
        <v>0.87202154533469423</v>
      </c>
      <c r="X46" s="278">
        <v>0.87330488803068451</v>
      </c>
      <c r="Y46" s="278">
        <v>0.87458828781389242</v>
      </c>
      <c r="Z46" s="278">
        <v>0.87587174468431594</v>
      </c>
      <c r="AA46" s="278">
        <v>0.87715525864195709</v>
      </c>
      <c r="AB46" s="279">
        <v>0.87843882968681386</v>
      </c>
      <c r="AC46" s="277">
        <v>0.87978908314399296</v>
      </c>
      <c r="AD46" s="278">
        <v>0.8812449773884522</v>
      </c>
      <c r="AE46" s="278">
        <v>0.88238539064311483</v>
      </c>
      <c r="AF46" s="278">
        <v>0.88331550902326295</v>
      </c>
      <c r="AG46" s="278">
        <v>0.88424602587130874</v>
      </c>
      <c r="AH46" s="278">
        <v>0.88517694142571446</v>
      </c>
      <c r="AI46" s="278">
        <v>0.88610825592513043</v>
      </c>
      <c r="AJ46" s="278">
        <v>0.88703996960839748</v>
      </c>
      <c r="AK46" s="278">
        <v>0.88797208271454819</v>
      </c>
      <c r="AL46" s="279">
        <v>0.88890459548280643</v>
      </c>
      <c r="AM46" s="277">
        <v>0.88972367638624517</v>
      </c>
      <c r="AN46" s="278">
        <v>0.89054275728968391</v>
      </c>
      <c r="AO46" s="278">
        <v>0.89136183819312254</v>
      </c>
      <c r="AP46" s="278">
        <v>0.89218091909656128</v>
      </c>
      <c r="AQ46" s="278">
        <v>0.89300000000000002</v>
      </c>
      <c r="AR46" s="278">
        <v>0.89360000000000006</v>
      </c>
      <c r="AS46" s="278">
        <v>0.89419999999999999</v>
      </c>
      <c r="AT46" s="278">
        <v>0.89480000000000004</v>
      </c>
      <c r="AU46" s="278">
        <v>0.89539999999999997</v>
      </c>
      <c r="AV46" s="279">
        <v>0.89600000000000002</v>
      </c>
      <c r="AW46" s="277">
        <v>0.89639999999999997</v>
      </c>
      <c r="AX46" s="278">
        <v>0.89680000000000004</v>
      </c>
      <c r="AY46" s="278">
        <v>0.8972</v>
      </c>
      <c r="AZ46" s="278">
        <v>0.89760000000000006</v>
      </c>
      <c r="BA46" s="278">
        <v>0.89800000000000002</v>
      </c>
      <c r="BB46" s="278">
        <v>0.89829999999999999</v>
      </c>
      <c r="BC46" s="278">
        <v>0.89859999999999995</v>
      </c>
      <c r="BD46" s="278">
        <v>0.89890000000000003</v>
      </c>
      <c r="BE46" s="278">
        <v>0.8992</v>
      </c>
      <c r="BF46" s="279">
        <v>0.89949999999999997</v>
      </c>
      <c r="BG46" s="279">
        <f t="shared" si="0"/>
        <v>0.89949999999999997</v>
      </c>
      <c r="BH46" s="237"/>
    </row>
    <row r="47" spans="1:60" x14ac:dyDescent="0.2">
      <c r="A47" s="273">
        <v>8.5</v>
      </c>
      <c r="B47" s="277">
        <v>0.77133386364596113</v>
      </c>
      <c r="C47" s="278">
        <v>0.78136402317328857</v>
      </c>
      <c r="D47" s="278">
        <v>0.7905019339936622</v>
      </c>
      <c r="E47" s="278">
        <v>0.79965676965898713</v>
      </c>
      <c r="F47" s="278">
        <v>0.80791567726442948</v>
      </c>
      <c r="G47" s="278">
        <v>0.81482486090378148</v>
      </c>
      <c r="H47" s="278">
        <v>0.820163316502447</v>
      </c>
      <c r="I47" s="278">
        <v>0.82560232892018348</v>
      </c>
      <c r="J47" s="279">
        <v>0.82857385303220976</v>
      </c>
      <c r="K47" s="277">
        <v>0.83154703003933583</v>
      </c>
      <c r="L47" s="278">
        <v>0.83452186142088181</v>
      </c>
      <c r="M47" s="278">
        <v>0.83749834865793582</v>
      </c>
      <c r="N47" s="278">
        <v>0.84047649323335305</v>
      </c>
      <c r="O47" s="278">
        <v>0.84345629663176103</v>
      </c>
      <c r="P47" s="278">
        <v>0.8464377603395592</v>
      </c>
      <c r="Q47" s="278">
        <v>0.84942088584492526</v>
      </c>
      <c r="R47" s="278">
        <v>0.8524056746378148</v>
      </c>
      <c r="S47" s="279">
        <v>0.85527791990808832</v>
      </c>
      <c r="T47" s="277">
        <v>0.857604169015588</v>
      </c>
      <c r="U47" s="278">
        <v>0.85889400298690854</v>
      </c>
      <c r="V47" s="278">
        <v>0.86018389798553896</v>
      </c>
      <c r="W47" s="278">
        <v>0.86147385401147936</v>
      </c>
      <c r="X47" s="278">
        <v>0.86276387106472996</v>
      </c>
      <c r="Y47" s="278">
        <v>0.86405394914529043</v>
      </c>
      <c r="Z47" s="278">
        <v>0.86534408825316089</v>
      </c>
      <c r="AA47" s="278">
        <v>0.86663428838834144</v>
      </c>
      <c r="AB47" s="279">
        <v>0.86792454955083087</v>
      </c>
      <c r="AC47" s="277">
        <v>0.86928163130051861</v>
      </c>
      <c r="AD47" s="278">
        <v>0.87074310573434344</v>
      </c>
      <c r="AE47" s="278">
        <v>0.87196706962563697</v>
      </c>
      <c r="AF47" s="278">
        <v>0.87290043258452077</v>
      </c>
      <c r="AG47" s="278">
        <v>0.87383419916547456</v>
      </c>
      <c r="AH47" s="278">
        <v>0.8747683696100419</v>
      </c>
      <c r="AI47" s="278">
        <v>0.87570294415996175</v>
      </c>
      <c r="AJ47" s="278">
        <v>0.87663792305716404</v>
      </c>
      <c r="AK47" s="278">
        <v>0.87757330654377419</v>
      </c>
      <c r="AL47" s="279">
        <v>0.87850909486210871</v>
      </c>
      <c r="AM47" s="277">
        <v>0.87940727588968692</v>
      </c>
      <c r="AN47" s="278">
        <v>0.88030545691726525</v>
      </c>
      <c r="AO47" s="278">
        <v>0.88120363794484347</v>
      </c>
      <c r="AP47" s="278">
        <v>0.88210181897242179</v>
      </c>
      <c r="AQ47" s="278">
        <v>0.88300000000000001</v>
      </c>
      <c r="AR47" s="278">
        <v>0.88360000000000005</v>
      </c>
      <c r="AS47" s="278">
        <v>0.88419999999999999</v>
      </c>
      <c r="AT47" s="278">
        <v>0.88480000000000003</v>
      </c>
      <c r="AU47" s="278">
        <v>0.88539999999999996</v>
      </c>
      <c r="AV47" s="279">
        <v>0.88600000000000001</v>
      </c>
      <c r="AW47" s="277">
        <v>0.88639999999999997</v>
      </c>
      <c r="AX47" s="278">
        <v>0.88680000000000003</v>
      </c>
      <c r="AY47" s="278">
        <v>0.88719999999999999</v>
      </c>
      <c r="AZ47" s="278">
        <v>0.88760000000000006</v>
      </c>
      <c r="BA47" s="278">
        <v>0.88800000000000001</v>
      </c>
      <c r="BB47" s="278">
        <v>0.88839999999999997</v>
      </c>
      <c r="BC47" s="278">
        <v>0.88880000000000003</v>
      </c>
      <c r="BD47" s="278">
        <v>0.88919999999999999</v>
      </c>
      <c r="BE47" s="278">
        <v>0.88960000000000006</v>
      </c>
      <c r="BF47" s="279">
        <v>0.89</v>
      </c>
      <c r="BG47" s="279">
        <f t="shared" si="0"/>
        <v>0.89</v>
      </c>
      <c r="BH47" s="237"/>
    </row>
    <row r="48" spans="1:60" x14ac:dyDescent="0.2">
      <c r="A48" s="273">
        <v>9</v>
      </c>
      <c r="B48" s="277">
        <v>0.75461340783427566</v>
      </c>
      <c r="C48" s="278">
        <v>0.76547707846325763</v>
      </c>
      <c r="D48" s="278">
        <v>0.77519992284637629</v>
      </c>
      <c r="E48" s="278">
        <v>0.78449141516085219</v>
      </c>
      <c r="F48" s="278">
        <v>0.79224482177988009</v>
      </c>
      <c r="G48" s="278">
        <v>0.79904009056534819</v>
      </c>
      <c r="H48" s="278">
        <v>0.80493880341043511</v>
      </c>
      <c r="I48" s="278">
        <v>0.81105013944122062</v>
      </c>
      <c r="J48" s="279">
        <v>0.81424046489590574</v>
      </c>
      <c r="K48" s="277">
        <v>0.81743255375807089</v>
      </c>
      <c r="L48" s="278">
        <v>0.82062640760594197</v>
      </c>
      <c r="M48" s="278">
        <v>0.82382202801963422</v>
      </c>
      <c r="N48" s="278">
        <v>0.82701941658114364</v>
      </c>
      <c r="O48" s="278">
        <v>0.83021857487436201</v>
      </c>
      <c r="P48" s="278">
        <v>0.83341950448506863</v>
      </c>
      <c r="Q48" s="278">
        <v>0.83662220700094081</v>
      </c>
      <c r="R48" s="278">
        <v>0.83982668401155169</v>
      </c>
      <c r="S48" s="279">
        <v>0.84292300513135332</v>
      </c>
      <c r="T48" s="277">
        <v>0.84560035825330371</v>
      </c>
      <c r="U48" s="278">
        <v>0.84700297558127036</v>
      </c>
      <c r="V48" s="278">
        <v>0.84840566316238319</v>
      </c>
      <c r="W48" s="278">
        <v>0.84980842099664444</v>
      </c>
      <c r="X48" s="278">
        <v>0.85121124908405199</v>
      </c>
      <c r="Y48" s="278">
        <v>0.85261414742460662</v>
      </c>
      <c r="Z48" s="278">
        <v>0.85401711601830976</v>
      </c>
      <c r="AA48" s="278">
        <v>0.8554201548651591</v>
      </c>
      <c r="AB48" s="279">
        <v>0.85682326396515562</v>
      </c>
      <c r="AC48" s="277">
        <v>0.8582934038519463</v>
      </c>
      <c r="AD48" s="278">
        <v>0.85986666579424931</v>
      </c>
      <c r="AE48" s="278">
        <v>0.86124925082520587</v>
      </c>
      <c r="AF48" s="278">
        <v>0.86218581455150411</v>
      </c>
      <c r="AG48" s="278">
        <v>0.86312278720139157</v>
      </c>
      <c r="AH48" s="278">
        <v>0.86406016901958527</v>
      </c>
      <c r="AI48" s="278">
        <v>0.86499796025100073</v>
      </c>
      <c r="AJ48" s="278">
        <v>0.86593616114074357</v>
      </c>
      <c r="AK48" s="278">
        <v>0.86687477193412033</v>
      </c>
      <c r="AL48" s="279">
        <v>0.86781379287663118</v>
      </c>
      <c r="AM48" s="277">
        <v>0.86865103430130497</v>
      </c>
      <c r="AN48" s="278">
        <v>0.86948827572597875</v>
      </c>
      <c r="AO48" s="278">
        <v>0.87032551715065243</v>
      </c>
      <c r="AP48" s="278">
        <v>0.87116275857532621</v>
      </c>
      <c r="AQ48" s="278">
        <v>0.872</v>
      </c>
      <c r="AR48" s="278">
        <v>0.87260000000000004</v>
      </c>
      <c r="AS48" s="278">
        <v>0.87319999999999998</v>
      </c>
      <c r="AT48" s="278">
        <v>0.87380000000000002</v>
      </c>
      <c r="AU48" s="278">
        <v>0.87439999999999996</v>
      </c>
      <c r="AV48" s="279">
        <v>0.875</v>
      </c>
      <c r="AW48" s="277">
        <v>0.87539999999999996</v>
      </c>
      <c r="AX48" s="278">
        <v>0.87580000000000002</v>
      </c>
      <c r="AY48" s="278">
        <v>0.87619999999999998</v>
      </c>
      <c r="AZ48" s="278">
        <v>0.87660000000000005</v>
      </c>
      <c r="BA48" s="278">
        <v>0.877</v>
      </c>
      <c r="BB48" s="278">
        <v>0.87739999999999996</v>
      </c>
      <c r="BC48" s="278">
        <v>0.87780000000000002</v>
      </c>
      <c r="BD48" s="278">
        <v>0.87819999999999998</v>
      </c>
      <c r="BE48" s="278">
        <v>0.87860000000000005</v>
      </c>
      <c r="BF48" s="279">
        <v>0.879</v>
      </c>
      <c r="BG48" s="279">
        <f t="shared" si="0"/>
        <v>0.879</v>
      </c>
      <c r="BH48" s="237"/>
    </row>
    <row r="49" spans="1:60" x14ac:dyDescent="0.2">
      <c r="A49" s="280">
        <v>9.5</v>
      </c>
      <c r="B49" s="290">
        <v>0.73669206695490286</v>
      </c>
      <c r="C49" s="291">
        <v>0.74735362873762345</v>
      </c>
      <c r="D49" s="291">
        <v>0.75660451967273767</v>
      </c>
      <c r="E49" s="291">
        <v>0.76640592857824463</v>
      </c>
      <c r="F49" s="291">
        <v>0.77577848297270902</v>
      </c>
      <c r="G49" s="291">
        <v>0.783864509762082</v>
      </c>
      <c r="H49" s="291">
        <v>0.7897959374266682</v>
      </c>
      <c r="I49" s="291">
        <v>0.79610652561485507</v>
      </c>
      <c r="J49" s="292">
        <v>0.79941101844802143</v>
      </c>
      <c r="K49" s="290">
        <v>0.80271732648846772</v>
      </c>
      <c r="L49" s="291">
        <v>0.80602545136078219</v>
      </c>
      <c r="M49" s="291">
        <v>0.80933539469149407</v>
      </c>
      <c r="N49" s="291">
        <v>0.81264715810907207</v>
      </c>
      <c r="O49" s="291">
        <v>0.81596074324393175</v>
      </c>
      <c r="P49" s="291">
        <v>0.8192761517284376</v>
      </c>
      <c r="Q49" s="291">
        <v>0.82259338519690206</v>
      </c>
      <c r="R49" s="291">
        <v>0.82591244528559304</v>
      </c>
      <c r="S49" s="292">
        <v>0.82912774091766994</v>
      </c>
      <c r="T49" s="290">
        <v>0.83208439473933438</v>
      </c>
      <c r="U49" s="291">
        <v>0.83360061472515123</v>
      </c>
      <c r="V49" s="291">
        <v>0.83511691469085292</v>
      </c>
      <c r="W49" s="291">
        <v>0.83663329463643954</v>
      </c>
      <c r="X49" s="291">
        <v>0.83814975456191099</v>
      </c>
      <c r="Y49" s="291">
        <v>0.83966629446726648</v>
      </c>
      <c r="Z49" s="291">
        <v>0.84118291435250769</v>
      </c>
      <c r="AA49" s="291">
        <v>0.84269961421763384</v>
      </c>
      <c r="AB49" s="292">
        <v>0.84421639406264493</v>
      </c>
      <c r="AC49" s="290">
        <v>0.8458003845020422</v>
      </c>
      <c r="AD49" s="291">
        <v>0.8474860480784947</v>
      </c>
      <c r="AE49" s="291">
        <v>0.8490603333132678</v>
      </c>
      <c r="AF49" s="291">
        <v>0.84999977567808671</v>
      </c>
      <c r="AG49" s="291">
        <v>0.85093963229108616</v>
      </c>
      <c r="AH49" s="291">
        <v>0.85187990340016906</v>
      </c>
      <c r="AI49" s="291">
        <v>0.85282058925343918</v>
      </c>
      <c r="AJ49" s="291">
        <v>0.85376169009919611</v>
      </c>
      <c r="AK49" s="291">
        <v>0.85470320618593632</v>
      </c>
      <c r="AL49" s="292">
        <v>0.85564513776236006</v>
      </c>
      <c r="AM49" s="281">
        <v>0.85651611020988805</v>
      </c>
      <c r="AN49" s="282">
        <v>0.85738708265741603</v>
      </c>
      <c r="AO49" s="282">
        <v>0.85825805510494402</v>
      </c>
      <c r="AP49" s="282">
        <v>0.859129027552472</v>
      </c>
      <c r="AQ49" s="282">
        <v>0.86</v>
      </c>
      <c r="AR49" s="282">
        <v>0.86060000000000003</v>
      </c>
      <c r="AS49" s="282">
        <v>0.86119999999999997</v>
      </c>
      <c r="AT49" s="282">
        <v>0.86180000000000001</v>
      </c>
      <c r="AU49" s="282">
        <v>0.86239999999999994</v>
      </c>
      <c r="AV49" s="283">
        <v>0.86299999999999999</v>
      </c>
      <c r="AW49" s="281">
        <v>0.86350000000000005</v>
      </c>
      <c r="AX49" s="282">
        <v>0.86399999999999999</v>
      </c>
      <c r="AY49" s="282">
        <v>0.86450000000000005</v>
      </c>
      <c r="AZ49" s="282">
        <v>0.86499999999999999</v>
      </c>
      <c r="BA49" s="282">
        <v>0.86550000000000005</v>
      </c>
      <c r="BB49" s="282">
        <v>0.86580000000000001</v>
      </c>
      <c r="BC49" s="282">
        <v>0.86609999999999998</v>
      </c>
      <c r="BD49" s="282">
        <v>0.86640000000000006</v>
      </c>
      <c r="BE49" s="282">
        <v>0.86670000000000003</v>
      </c>
      <c r="BF49" s="283">
        <v>0.86699999999999999</v>
      </c>
      <c r="BG49" s="283">
        <f t="shared" si="0"/>
        <v>0.86699999999999999</v>
      </c>
      <c r="BH49" s="237"/>
    </row>
    <row r="50" spans="1:60" x14ac:dyDescent="0.2">
      <c r="A50" s="273">
        <v>10</v>
      </c>
      <c r="B50" s="287">
        <v>0.72081995160978285</v>
      </c>
      <c r="C50" s="288">
        <v>0.73097530067150962</v>
      </c>
      <c r="D50" s="288">
        <v>0.74135183211256639</v>
      </c>
      <c r="E50" s="288">
        <v>0.75164695930171754</v>
      </c>
      <c r="F50" s="288">
        <v>0.76051452499152594</v>
      </c>
      <c r="G50" s="288">
        <v>0.76831927893535124</v>
      </c>
      <c r="H50" s="288">
        <v>0.77428380223771964</v>
      </c>
      <c r="I50" s="288">
        <v>0.78078451163724594</v>
      </c>
      <c r="J50" s="289">
        <v>0.7843109847528984</v>
      </c>
      <c r="K50" s="287">
        <v>0.78783938250372854</v>
      </c>
      <c r="L50" s="288">
        <v>0.7913697066122628</v>
      </c>
      <c r="M50" s="288">
        <v>0.79490195880308168</v>
      </c>
      <c r="N50" s="288">
        <v>0.79843614080282743</v>
      </c>
      <c r="O50" s="288">
        <v>0.80197225434020192</v>
      </c>
      <c r="P50" s="288">
        <v>0.80551030114597455</v>
      </c>
      <c r="Q50" s="288">
        <v>0.80905028295298143</v>
      </c>
      <c r="R50" s="288">
        <v>0.81259220149613154</v>
      </c>
      <c r="S50" s="289">
        <v>0.81603459153369295</v>
      </c>
      <c r="T50" s="287">
        <v>0.81938001440523067</v>
      </c>
      <c r="U50" s="288">
        <v>0.82101071875432929</v>
      </c>
      <c r="V50" s="288">
        <v>0.82264151328397539</v>
      </c>
      <c r="W50" s="288">
        <v>0.82427239799416985</v>
      </c>
      <c r="X50" s="288">
        <v>0.82590337288491067</v>
      </c>
      <c r="Y50" s="288">
        <v>0.82753443795619908</v>
      </c>
      <c r="Z50" s="288">
        <v>0.82916559320803485</v>
      </c>
      <c r="AA50" s="288">
        <v>0.83079683864041809</v>
      </c>
      <c r="AB50" s="289">
        <v>0.8324281742533487</v>
      </c>
      <c r="AC50" s="287">
        <v>0.83412703756803031</v>
      </c>
      <c r="AD50" s="288">
        <v>0.8359262249042444</v>
      </c>
      <c r="AE50" s="288">
        <v>0.83772622351627735</v>
      </c>
      <c r="AF50" s="288">
        <v>0.83877601929043388</v>
      </c>
      <c r="AG50" s="288">
        <v>0.83982628390852021</v>
      </c>
      <c r="AH50" s="288">
        <v>0.84087701765111311</v>
      </c>
      <c r="AI50" s="288">
        <v>0.84192822079901397</v>
      </c>
      <c r="AJ50" s="288">
        <v>0.84297989363324577</v>
      </c>
      <c r="AK50" s="288">
        <v>0.84403203643506031</v>
      </c>
      <c r="AL50" s="289">
        <v>0.84508464948592932</v>
      </c>
      <c r="AM50" s="287">
        <v>0.84586771958874341</v>
      </c>
      <c r="AN50" s="288">
        <v>0.8466507896915576</v>
      </c>
      <c r="AO50" s="288">
        <v>0.84743385979437169</v>
      </c>
      <c r="AP50" s="288">
        <v>0.84821692989718589</v>
      </c>
      <c r="AQ50" s="288">
        <v>0.84899999999999998</v>
      </c>
      <c r="AR50" s="288">
        <v>0.84960000000000002</v>
      </c>
      <c r="AS50" s="288">
        <v>0.85019999999999996</v>
      </c>
      <c r="AT50" s="288">
        <v>0.8508</v>
      </c>
      <c r="AU50" s="288">
        <v>0.85139999999999993</v>
      </c>
      <c r="AV50" s="289">
        <v>0.85199999999999998</v>
      </c>
      <c r="AW50" s="287">
        <v>0.85239999999999994</v>
      </c>
      <c r="AX50" s="288">
        <v>0.8528</v>
      </c>
      <c r="AY50" s="288">
        <v>0.85319999999999996</v>
      </c>
      <c r="AZ50" s="288">
        <v>0.85360000000000003</v>
      </c>
      <c r="BA50" s="288">
        <v>0.85399999999999998</v>
      </c>
      <c r="BB50" s="288">
        <v>0.85439999999999994</v>
      </c>
      <c r="BC50" s="288">
        <v>0.8548</v>
      </c>
      <c r="BD50" s="288">
        <v>0.85519999999999996</v>
      </c>
      <c r="BE50" s="288">
        <v>0.85560000000000003</v>
      </c>
      <c r="BF50" s="289">
        <v>0.85599999999999998</v>
      </c>
      <c r="BG50" s="289">
        <f t="shared" si="0"/>
        <v>0.85599999999999998</v>
      </c>
      <c r="BH50" s="237"/>
    </row>
    <row r="51" spans="1:60" x14ac:dyDescent="0.2">
      <c r="A51" s="273">
        <v>10.5</v>
      </c>
      <c r="B51" s="277">
        <v>0.70480916854805764</v>
      </c>
      <c r="C51" s="278">
        <v>0.71560446768532249</v>
      </c>
      <c r="D51" s="278">
        <v>0.72550422841072426</v>
      </c>
      <c r="E51" s="278">
        <v>0.73557756992388679</v>
      </c>
      <c r="F51" s="278">
        <v>0.74447238377413638</v>
      </c>
      <c r="G51" s="278">
        <v>0.75257360497233439</v>
      </c>
      <c r="H51" s="278">
        <v>0.75964508532360675</v>
      </c>
      <c r="I51" s="278">
        <v>0.76724479030926918</v>
      </c>
      <c r="J51" s="279">
        <v>0.77099028592781871</v>
      </c>
      <c r="K51" s="277">
        <v>0.77452832947275452</v>
      </c>
      <c r="L51" s="278">
        <v>0.77806829276237011</v>
      </c>
      <c r="M51" s="278">
        <v>0.78161017751532591</v>
      </c>
      <c r="N51" s="278">
        <v>0.78515398545233617</v>
      </c>
      <c r="O51" s="278">
        <v>0.78869971829616947</v>
      </c>
      <c r="P51" s="278">
        <v>0.79224737777165322</v>
      </c>
      <c r="Q51" s="278">
        <v>0.7957969656056737</v>
      </c>
      <c r="R51" s="278">
        <v>0.7993484835271869</v>
      </c>
      <c r="S51" s="279">
        <v>0.80280448968319706</v>
      </c>
      <c r="T51" s="277">
        <v>0.80616512107495208</v>
      </c>
      <c r="U51" s="278">
        <v>0.80807263785466998</v>
      </c>
      <c r="V51" s="278">
        <v>0.80981878130419072</v>
      </c>
      <c r="W51" s="278">
        <v>0.81156502558247379</v>
      </c>
      <c r="X51" s="278">
        <v>0.81331137068952042</v>
      </c>
      <c r="Y51" s="278">
        <v>0.81505781662532839</v>
      </c>
      <c r="Z51" s="278">
        <v>0.81680436338989892</v>
      </c>
      <c r="AA51" s="278">
        <v>0.8185510109832328</v>
      </c>
      <c r="AB51" s="279">
        <v>0.82029775940532812</v>
      </c>
      <c r="AC51" s="277">
        <v>0.82211238506568873</v>
      </c>
      <c r="AD51" s="278">
        <v>0.82402594658510653</v>
      </c>
      <c r="AE51" s="278">
        <v>0.82594038139419168</v>
      </c>
      <c r="AF51" s="278">
        <v>0.82721450946322472</v>
      </c>
      <c r="AG51" s="278">
        <v>0.82837603937762727</v>
      </c>
      <c r="AH51" s="278">
        <v>0.82953809478373264</v>
      </c>
      <c r="AI51" s="278">
        <v>0.83070067599608377</v>
      </c>
      <c r="AJ51" s="278">
        <v>0.83186378332947009</v>
      </c>
      <c r="AK51" s="278">
        <v>0.83302741709893402</v>
      </c>
      <c r="AL51" s="279">
        <v>0.83419157761977036</v>
      </c>
      <c r="AM51" s="277">
        <v>0.83515326209581631</v>
      </c>
      <c r="AN51" s="278">
        <v>0.83611494657186225</v>
      </c>
      <c r="AO51" s="278">
        <v>0.83707663104790808</v>
      </c>
      <c r="AP51" s="278">
        <v>0.83803831552395402</v>
      </c>
      <c r="AQ51" s="278">
        <v>0.83899999999999997</v>
      </c>
      <c r="AR51" s="278">
        <v>0.83979999999999999</v>
      </c>
      <c r="AS51" s="278">
        <v>0.84060000000000001</v>
      </c>
      <c r="AT51" s="278">
        <v>0.84139999999999993</v>
      </c>
      <c r="AU51" s="278">
        <v>0.84219999999999995</v>
      </c>
      <c r="AV51" s="279">
        <v>0.84299999999999997</v>
      </c>
      <c r="AW51" s="277">
        <v>0.84339999999999993</v>
      </c>
      <c r="AX51" s="278">
        <v>0.84379999999999999</v>
      </c>
      <c r="AY51" s="278">
        <v>0.84419999999999995</v>
      </c>
      <c r="AZ51" s="278">
        <v>0.84460000000000002</v>
      </c>
      <c r="BA51" s="278">
        <v>0.84499999999999997</v>
      </c>
      <c r="BB51" s="278">
        <v>0.84539999999999993</v>
      </c>
      <c r="BC51" s="278">
        <v>0.8458</v>
      </c>
      <c r="BD51" s="278">
        <v>0.84619999999999995</v>
      </c>
      <c r="BE51" s="278">
        <v>0.84660000000000002</v>
      </c>
      <c r="BF51" s="279">
        <v>0.84699999999999998</v>
      </c>
      <c r="BG51" s="279">
        <f t="shared" si="0"/>
        <v>0.84699999999999998</v>
      </c>
      <c r="BH51" s="237"/>
    </row>
    <row r="52" spans="1:60" x14ac:dyDescent="0.2">
      <c r="A52" s="273">
        <v>11</v>
      </c>
      <c r="B52" s="277">
        <v>0.68882236720404089</v>
      </c>
      <c r="C52" s="278">
        <v>0.70019837216963599</v>
      </c>
      <c r="D52" s="278">
        <v>0.71015640108259825</v>
      </c>
      <c r="E52" s="278">
        <v>0.72069658380564383</v>
      </c>
      <c r="F52" s="278">
        <v>0.73069869283019728</v>
      </c>
      <c r="G52" s="278">
        <v>0.73976676703928768</v>
      </c>
      <c r="H52" s="278">
        <v>0.74633562188694957</v>
      </c>
      <c r="I52" s="278">
        <v>0.7534263272329631</v>
      </c>
      <c r="J52" s="279">
        <v>0.75753287935754254</v>
      </c>
      <c r="K52" s="277">
        <v>0.76129636928694111</v>
      </c>
      <c r="L52" s="278">
        <v>0.7650618878277673</v>
      </c>
      <c r="M52" s="278">
        <v>0.7688294367961479</v>
      </c>
      <c r="N52" s="278">
        <v>0.77259901801037412</v>
      </c>
      <c r="O52" s="278">
        <v>0.77637063329091138</v>
      </c>
      <c r="P52" s="278">
        <v>0.78014428446040085</v>
      </c>
      <c r="Q52" s="278">
        <v>0.78391997334366081</v>
      </c>
      <c r="R52" s="278">
        <v>0.7876977017676885</v>
      </c>
      <c r="S52" s="279">
        <v>0.79138372018654057</v>
      </c>
      <c r="T52" s="277">
        <v>0.79497577866834368</v>
      </c>
      <c r="U52" s="278">
        <v>0.79701107534067228</v>
      </c>
      <c r="V52" s="278">
        <v>0.79865723783912523</v>
      </c>
      <c r="W52" s="278">
        <v>0.80030349907178056</v>
      </c>
      <c r="X52" s="278">
        <v>0.80194985903863725</v>
      </c>
      <c r="Y52" s="278">
        <v>0.80359631773969409</v>
      </c>
      <c r="Z52" s="278">
        <v>0.8052428751749533</v>
      </c>
      <c r="AA52" s="278">
        <v>0.80688953134441388</v>
      </c>
      <c r="AB52" s="279">
        <v>0.80853628624807472</v>
      </c>
      <c r="AC52" s="277">
        <v>0.81025131527202965</v>
      </c>
      <c r="AD52" s="278">
        <v>0.8120638367266404</v>
      </c>
      <c r="AE52" s="278">
        <v>0.81387719405400061</v>
      </c>
      <c r="AF52" s="278">
        <v>0.81531256527398499</v>
      </c>
      <c r="AG52" s="278">
        <v>0.81658620531039428</v>
      </c>
      <c r="AH52" s="278">
        <v>0.81786042897801614</v>
      </c>
      <c r="AI52" s="278">
        <v>0.81913523662619248</v>
      </c>
      <c r="AJ52" s="278">
        <v>0.82041062860454195</v>
      </c>
      <c r="AK52" s="278">
        <v>0.82168660526296344</v>
      </c>
      <c r="AL52" s="279">
        <v>0.8229631669516333</v>
      </c>
      <c r="AM52" s="277">
        <v>0.82397053356130667</v>
      </c>
      <c r="AN52" s="278">
        <v>0.82497790017097994</v>
      </c>
      <c r="AO52" s="278">
        <v>0.82598526678065332</v>
      </c>
      <c r="AP52" s="278">
        <v>0.82699263339032658</v>
      </c>
      <c r="AQ52" s="278">
        <v>0.82799999999999996</v>
      </c>
      <c r="AR52" s="278">
        <v>0.82879999999999998</v>
      </c>
      <c r="AS52" s="278">
        <v>0.8296</v>
      </c>
      <c r="AT52" s="278">
        <v>0.83039999999999992</v>
      </c>
      <c r="AU52" s="278">
        <v>0.83119999999999994</v>
      </c>
      <c r="AV52" s="279">
        <v>0.83199999999999996</v>
      </c>
      <c r="AW52" s="277">
        <v>0.83260000000000001</v>
      </c>
      <c r="AX52" s="278">
        <v>0.83319999999999994</v>
      </c>
      <c r="AY52" s="278">
        <v>0.83379999999999999</v>
      </c>
      <c r="AZ52" s="278">
        <v>0.83439999999999992</v>
      </c>
      <c r="BA52" s="278">
        <v>0.83499999999999996</v>
      </c>
      <c r="BB52" s="278">
        <v>0.83539999999999992</v>
      </c>
      <c r="BC52" s="278">
        <v>0.83579999999999999</v>
      </c>
      <c r="BD52" s="278">
        <v>0.83619999999999994</v>
      </c>
      <c r="BE52" s="278">
        <v>0.83660000000000001</v>
      </c>
      <c r="BF52" s="279">
        <v>0.83699999999999997</v>
      </c>
      <c r="BG52" s="279">
        <f t="shared" si="0"/>
        <v>0.83699999999999997</v>
      </c>
      <c r="BH52" s="237"/>
    </row>
    <row r="53" spans="1:60" x14ac:dyDescent="0.2">
      <c r="A53" s="273">
        <v>11.5</v>
      </c>
      <c r="B53" s="277">
        <v>0.67363875518259508</v>
      </c>
      <c r="C53" s="278">
        <v>0.68564287192299134</v>
      </c>
      <c r="D53" s="278">
        <v>0.6956584938187399</v>
      </c>
      <c r="E53" s="278">
        <v>0.70593278797228509</v>
      </c>
      <c r="F53" s="278">
        <v>0.71488360327798195</v>
      </c>
      <c r="G53" s="278">
        <v>0.72315051703937916</v>
      </c>
      <c r="H53" s="278">
        <v>0.73029745750979624</v>
      </c>
      <c r="I53" s="278">
        <v>0.73795731434264977</v>
      </c>
      <c r="J53" s="279">
        <v>0.74242217111054065</v>
      </c>
      <c r="K53" s="277">
        <v>0.74630422397442608</v>
      </c>
      <c r="L53" s="278">
        <v>0.75018835576098863</v>
      </c>
      <c r="M53" s="278">
        <v>0.75407456833139275</v>
      </c>
      <c r="N53" s="278">
        <v>0.7579628635490272</v>
      </c>
      <c r="O53" s="278">
        <v>0.76185324327950543</v>
      </c>
      <c r="P53" s="278">
        <v>0.76574570939067321</v>
      </c>
      <c r="Q53" s="278">
        <v>0.76964026375260186</v>
      </c>
      <c r="R53" s="278">
        <v>0.77353690823760546</v>
      </c>
      <c r="S53" s="279">
        <v>0.77734578449071923</v>
      </c>
      <c r="T53" s="277">
        <v>0.78106240967978202</v>
      </c>
      <c r="U53" s="278">
        <v>0.78356301043037135</v>
      </c>
      <c r="V53" s="278">
        <v>0.78554249779707319</v>
      </c>
      <c r="W53" s="278">
        <v>0.78752210852915372</v>
      </c>
      <c r="X53" s="278">
        <v>0.78950184262661471</v>
      </c>
      <c r="Y53" s="278">
        <v>0.7914817000894544</v>
      </c>
      <c r="Z53" s="278">
        <v>0.79346168091767355</v>
      </c>
      <c r="AA53" s="278">
        <v>0.79544178511127339</v>
      </c>
      <c r="AB53" s="279">
        <v>0.7974220126702517</v>
      </c>
      <c r="AC53" s="277">
        <v>0.79947106756731467</v>
      </c>
      <c r="AD53" s="278">
        <v>0.80161645347565147</v>
      </c>
      <c r="AE53" s="278">
        <v>0.80376284260128827</v>
      </c>
      <c r="AF53" s="278">
        <v>0.80537212862239638</v>
      </c>
      <c r="AG53" s="278">
        <v>0.80654179001654014</v>
      </c>
      <c r="AH53" s="278">
        <v>0.80771199200630794</v>
      </c>
      <c r="AI53" s="278">
        <v>0.80888273491528317</v>
      </c>
      <c r="AJ53" s="278">
        <v>0.81005401906730357</v>
      </c>
      <c r="AK53" s="278">
        <v>0.81122584478646564</v>
      </c>
      <c r="AL53" s="279">
        <v>0.81239821239712839</v>
      </c>
      <c r="AM53" s="277">
        <v>0.81331856991770268</v>
      </c>
      <c r="AN53" s="278">
        <v>0.81423892743827697</v>
      </c>
      <c r="AO53" s="278">
        <v>0.81515928495885137</v>
      </c>
      <c r="AP53" s="278">
        <v>0.81607964247942566</v>
      </c>
      <c r="AQ53" s="278">
        <v>0.81699999999999995</v>
      </c>
      <c r="AR53" s="278">
        <v>0.81779999999999997</v>
      </c>
      <c r="AS53" s="278">
        <v>0.81859999999999999</v>
      </c>
      <c r="AT53" s="278">
        <v>0.81939999999999991</v>
      </c>
      <c r="AU53" s="278">
        <v>0.82019999999999993</v>
      </c>
      <c r="AV53" s="279">
        <v>0.82099999999999995</v>
      </c>
      <c r="AW53" s="277">
        <v>0.8216</v>
      </c>
      <c r="AX53" s="278">
        <v>0.82219999999999993</v>
      </c>
      <c r="AY53" s="278">
        <v>0.82279999999999998</v>
      </c>
      <c r="AZ53" s="278">
        <v>0.82339999999999991</v>
      </c>
      <c r="BA53" s="278">
        <v>0.82399999999999995</v>
      </c>
      <c r="BB53" s="278">
        <v>0.8246</v>
      </c>
      <c r="BC53" s="278">
        <v>0.82519999999999993</v>
      </c>
      <c r="BD53" s="278">
        <v>0.82579999999999998</v>
      </c>
      <c r="BE53" s="278">
        <v>0.82639999999999991</v>
      </c>
      <c r="BF53" s="279">
        <v>0.82699999999999996</v>
      </c>
      <c r="BG53" s="279">
        <f t="shared" si="0"/>
        <v>0.82699999999999996</v>
      </c>
      <c r="BH53" s="237"/>
    </row>
    <row r="54" spans="1:60" x14ac:dyDescent="0.2">
      <c r="A54" s="280">
        <v>12</v>
      </c>
      <c r="B54" s="281">
        <v>0.65841476381318931</v>
      </c>
      <c r="C54" s="282">
        <v>0.67009358161124311</v>
      </c>
      <c r="D54" s="282">
        <v>0.68125658652227128</v>
      </c>
      <c r="E54" s="282">
        <v>0.69226396547094171</v>
      </c>
      <c r="F54" s="282">
        <v>0.70069904387390558</v>
      </c>
      <c r="G54" s="282">
        <v>0.7085269219444873</v>
      </c>
      <c r="H54" s="282">
        <v>0.71571177824134369</v>
      </c>
      <c r="I54" s="282">
        <v>0.72340178734199534</v>
      </c>
      <c r="J54" s="283">
        <v>0.72833706370404883</v>
      </c>
      <c r="K54" s="281">
        <v>0.73255661950073214</v>
      </c>
      <c r="L54" s="282">
        <v>0.73677841941486322</v>
      </c>
      <c r="M54" s="282">
        <v>0.74100246545550197</v>
      </c>
      <c r="N54" s="282">
        <v>0.74522875963410473</v>
      </c>
      <c r="O54" s="282">
        <v>0.74945730396452959</v>
      </c>
      <c r="P54" s="282">
        <v>0.75368810046304235</v>
      </c>
      <c r="Q54" s="282">
        <v>0.75792115114831859</v>
      </c>
      <c r="R54" s="282">
        <v>0.7621564580414435</v>
      </c>
      <c r="S54" s="283">
        <v>0.76630759994912578</v>
      </c>
      <c r="T54" s="281">
        <v>0.77036788170820858</v>
      </c>
      <c r="U54" s="282">
        <v>0.77311964424508495</v>
      </c>
      <c r="V54" s="282">
        <v>0.77499903454181351</v>
      </c>
      <c r="W54" s="282">
        <v>0.77687854581058891</v>
      </c>
      <c r="X54" s="282">
        <v>0.77875817805141301</v>
      </c>
      <c r="Y54" s="282">
        <v>0.78063793126428505</v>
      </c>
      <c r="Z54" s="282">
        <v>0.78251780544920468</v>
      </c>
      <c r="AA54" s="282">
        <v>0.78439780060617226</v>
      </c>
      <c r="AB54" s="283">
        <v>0.78627791673518754</v>
      </c>
      <c r="AC54" s="281">
        <v>0.78822737640260288</v>
      </c>
      <c r="AD54" s="282">
        <v>0.79027179795996694</v>
      </c>
      <c r="AE54" s="282">
        <v>0.79231718582028332</v>
      </c>
      <c r="AF54" s="282">
        <v>0.79401415860962221</v>
      </c>
      <c r="AG54" s="282">
        <v>0.79518773223792716</v>
      </c>
      <c r="AH54" s="282">
        <v>0.79636185414301541</v>
      </c>
      <c r="AI54" s="282">
        <v>0.79753652465306701</v>
      </c>
      <c r="AJ54" s="282">
        <v>0.79871174409652101</v>
      </c>
      <c r="AK54" s="282">
        <v>0.79988751280208015</v>
      </c>
      <c r="AL54" s="283">
        <v>0.80106383109870993</v>
      </c>
      <c r="AM54" s="281">
        <v>0.80205106487896793</v>
      </c>
      <c r="AN54" s="282">
        <v>0.80303829865922594</v>
      </c>
      <c r="AO54" s="282">
        <v>0.80402553243948405</v>
      </c>
      <c r="AP54" s="282">
        <v>0.80501276621974205</v>
      </c>
      <c r="AQ54" s="282">
        <v>0.80600000000000005</v>
      </c>
      <c r="AR54" s="282">
        <v>0.80680000000000007</v>
      </c>
      <c r="AS54" s="282">
        <v>0.8076000000000001</v>
      </c>
      <c r="AT54" s="282">
        <v>0.80840000000000001</v>
      </c>
      <c r="AU54" s="282">
        <v>0.80920000000000003</v>
      </c>
      <c r="AV54" s="283">
        <v>0.81</v>
      </c>
      <c r="AW54" s="281">
        <v>0.81059999999999999</v>
      </c>
      <c r="AX54" s="282">
        <v>0.81120000000000003</v>
      </c>
      <c r="AY54" s="282">
        <v>0.81179999999999997</v>
      </c>
      <c r="AZ54" s="282">
        <v>0.81240000000000001</v>
      </c>
      <c r="BA54" s="282">
        <v>0.81299999999999994</v>
      </c>
      <c r="BB54" s="282">
        <v>0.8133999999999999</v>
      </c>
      <c r="BC54" s="282">
        <v>0.81379999999999997</v>
      </c>
      <c r="BD54" s="282">
        <v>0.81419999999999992</v>
      </c>
      <c r="BE54" s="282">
        <v>0.81459999999999999</v>
      </c>
      <c r="BF54" s="283">
        <v>0.81499999999999995</v>
      </c>
      <c r="BG54" s="283">
        <f t="shared" si="0"/>
        <v>0.81499999999999995</v>
      </c>
      <c r="BH54" s="237"/>
    </row>
    <row r="55" spans="1:60" x14ac:dyDescent="0.2">
      <c r="A55" s="273">
        <v>12.5</v>
      </c>
      <c r="B55" s="284">
        <v>0.64374367353977635</v>
      </c>
      <c r="C55" s="285">
        <v>0.6557829206711322</v>
      </c>
      <c r="D55" s="285">
        <v>0.66646210939216066</v>
      </c>
      <c r="E55" s="285">
        <v>0.67748733652225412</v>
      </c>
      <c r="F55" s="285">
        <v>0.68704204633698973</v>
      </c>
      <c r="G55" s="285">
        <v>0.69602255654240042</v>
      </c>
      <c r="H55" s="285">
        <v>0.70324419207983357</v>
      </c>
      <c r="I55" s="285">
        <v>0.71096461729899307</v>
      </c>
      <c r="J55" s="286">
        <v>0.71601424025870919</v>
      </c>
      <c r="K55" s="284">
        <v>0.72013738883904244</v>
      </c>
      <c r="L55" s="285">
        <v>0.7242627164286275</v>
      </c>
      <c r="M55" s="285">
        <v>0.72839022497823158</v>
      </c>
      <c r="N55" s="285">
        <v>0.73251991644095338</v>
      </c>
      <c r="O55" s="285">
        <v>0.73665179277222659</v>
      </c>
      <c r="P55" s="285">
        <v>0.7407858559298176</v>
      </c>
      <c r="Q55" s="285">
        <v>0.74492210787383173</v>
      </c>
      <c r="R55" s="285">
        <v>0.74906055056672205</v>
      </c>
      <c r="S55" s="286">
        <v>0.75311834004876899</v>
      </c>
      <c r="T55" s="284">
        <v>0.75708683714053482</v>
      </c>
      <c r="U55" s="285">
        <v>0.7600697762203118</v>
      </c>
      <c r="V55" s="285">
        <v>0.76206705779929906</v>
      </c>
      <c r="W55" s="285">
        <v>0.7640644720300217</v>
      </c>
      <c r="X55" s="285">
        <v>0.76606201891248182</v>
      </c>
      <c r="Y55" s="285">
        <v>0.76805969844667832</v>
      </c>
      <c r="Z55" s="285">
        <v>0.77005751063261119</v>
      </c>
      <c r="AA55" s="285">
        <v>0.77205545547027954</v>
      </c>
      <c r="AB55" s="286">
        <v>0.77405353295968538</v>
      </c>
      <c r="AC55" s="284">
        <v>0.77612142669276474</v>
      </c>
      <c r="AD55" s="285">
        <v>0.77828288891426756</v>
      </c>
      <c r="AE55" s="285">
        <v>0.78044538545068698</v>
      </c>
      <c r="AF55" s="285">
        <v>0.7823896065895467</v>
      </c>
      <c r="AG55" s="285">
        <v>0.78367666565726757</v>
      </c>
      <c r="AH55" s="285">
        <v>0.78496433409748811</v>
      </c>
      <c r="AI55" s="285">
        <v>0.78625261227495835</v>
      </c>
      <c r="AJ55" s="285">
        <v>0.78754150055471672</v>
      </c>
      <c r="AK55" s="285">
        <v>0.78883099930209377</v>
      </c>
      <c r="AL55" s="286">
        <v>0.79012110888271248</v>
      </c>
      <c r="AM55" s="287">
        <v>0.79089688710617001</v>
      </c>
      <c r="AN55" s="288">
        <v>0.79167266532962755</v>
      </c>
      <c r="AO55" s="288">
        <v>0.79244844355308497</v>
      </c>
      <c r="AP55" s="288">
        <v>0.7932242217765425</v>
      </c>
      <c r="AQ55" s="288">
        <v>0.79400000000000004</v>
      </c>
      <c r="AR55" s="288">
        <v>0.79460000000000008</v>
      </c>
      <c r="AS55" s="288">
        <v>0.79520000000000002</v>
      </c>
      <c r="AT55" s="288">
        <v>0.79580000000000006</v>
      </c>
      <c r="AU55" s="288">
        <v>0.7964</v>
      </c>
      <c r="AV55" s="289">
        <v>0.79700000000000004</v>
      </c>
      <c r="AW55" s="287">
        <v>0.79800000000000004</v>
      </c>
      <c r="AX55" s="288">
        <v>0.79900000000000004</v>
      </c>
      <c r="AY55" s="288">
        <v>0.8</v>
      </c>
      <c r="AZ55" s="288">
        <v>0.80100000000000005</v>
      </c>
      <c r="BA55" s="288">
        <v>0.80200000000000005</v>
      </c>
      <c r="BB55" s="288">
        <v>0.8024</v>
      </c>
      <c r="BC55" s="288">
        <v>0.80280000000000007</v>
      </c>
      <c r="BD55" s="288">
        <v>0.80320000000000003</v>
      </c>
      <c r="BE55" s="288">
        <v>0.80360000000000009</v>
      </c>
      <c r="BF55" s="289">
        <v>0.80400000000000005</v>
      </c>
      <c r="BG55" s="289">
        <f t="shared" si="0"/>
        <v>0.80400000000000005</v>
      </c>
      <c r="BH55" s="237"/>
    </row>
    <row r="56" spans="1:60" x14ac:dyDescent="0.2">
      <c r="A56" s="273">
        <v>13</v>
      </c>
      <c r="B56" s="277">
        <v>0.62917259138411596</v>
      </c>
      <c r="C56" s="278">
        <v>0.64045403602291218</v>
      </c>
      <c r="D56" s="278">
        <v>0.65174397973116849</v>
      </c>
      <c r="E56" s="278">
        <v>0.66342390909788673</v>
      </c>
      <c r="F56" s="278">
        <v>0.67355897967986234</v>
      </c>
      <c r="G56" s="278">
        <v>0.68313095798033674</v>
      </c>
      <c r="H56" s="278">
        <v>0.68995089560817591</v>
      </c>
      <c r="I56" s="278">
        <v>0.69715307100038426</v>
      </c>
      <c r="J56" s="279">
        <v>0.7023943951825794</v>
      </c>
      <c r="K56" s="277">
        <v>0.70674923897816189</v>
      </c>
      <c r="L56" s="278">
        <v>0.7111063684385458</v>
      </c>
      <c r="M56" s="278">
        <v>0.71546578560998519</v>
      </c>
      <c r="N56" s="278">
        <v>0.71982749254117606</v>
      </c>
      <c r="O56" s="278">
        <v>0.72419149128326188</v>
      </c>
      <c r="P56" s="278">
        <v>0.72855778388983772</v>
      </c>
      <c r="Q56" s="278">
        <v>0.73292637241695047</v>
      </c>
      <c r="R56" s="278">
        <v>0.73729725892310638</v>
      </c>
      <c r="S56" s="279">
        <v>0.74159089283007129</v>
      </c>
      <c r="T56" s="277">
        <v>0.74579666480968032</v>
      </c>
      <c r="U56" s="278">
        <v>0.74916667627878986</v>
      </c>
      <c r="V56" s="278">
        <v>0.75128280103717848</v>
      </c>
      <c r="W56" s="278">
        <v>0.75339907046907917</v>
      </c>
      <c r="X56" s="278">
        <v>0.75551548457449347</v>
      </c>
      <c r="Y56" s="278">
        <v>0.7576320433534196</v>
      </c>
      <c r="Z56" s="278">
        <v>0.7597487468058598</v>
      </c>
      <c r="AA56" s="278">
        <v>0.76186559493181261</v>
      </c>
      <c r="AB56" s="279">
        <v>0.76398258773127736</v>
      </c>
      <c r="AC56" s="277">
        <v>0.76617007556972017</v>
      </c>
      <c r="AD56" s="278">
        <v>0.76844999808705916</v>
      </c>
      <c r="AE56" s="278">
        <v>0.77073102509018998</v>
      </c>
      <c r="AF56" s="278">
        <v>0.77291404169367595</v>
      </c>
      <c r="AG56" s="278">
        <v>0.77420585581035495</v>
      </c>
      <c r="AH56" s="278">
        <v>0.77549828822990519</v>
      </c>
      <c r="AI56" s="278">
        <v>0.77679133932241817</v>
      </c>
      <c r="AJ56" s="278">
        <v>0.77808500945828252</v>
      </c>
      <c r="AK56" s="278">
        <v>0.77937929900818448</v>
      </c>
      <c r="AL56" s="279">
        <v>0.7806742083431043</v>
      </c>
      <c r="AM56" s="277">
        <v>0.78153936667448343</v>
      </c>
      <c r="AN56" s="278">
        <v>0.78240452500586255</v>
      </c>
      <c r="AO56" s="278">
        <v>0.78326968333724178</v>
      </c>
      <c r="AP56" s="278">
        <v>0.78413484166862091</v>
      </c>
      <c r="AQ56" s="278">
        <v>0.78500000000000003</v>
      </c>
      <c r="AR56" s="278">
        <v>0.78560000000000008</v>
      </c>
      <c r="AS56" s="278">
        <v>0.78620000000000001</v>
      </c>
      <c r="AT56" s="278">
        <v>0.78680000000000005</v>
      </c>
      <c r="AU56" s="278">
        <v>0.78739999999999999</v>
      </c>
      <c r="AV56" s="279">
        <v>0.78800000000000003</v>
      </c>
      <c r="AW56" s="277">
        <v>0.78839999999999999</v>
      </c>
      <c r="AX56" s="278">
        <v>0.78880000000000006</v>
      </c>
      <c r="AY56" s="278">
        <v>0.78920000000000001</v>
      </c>
      <c r="AZ56" s="278">
        <v>0.78960000000000008</v>
      </c>
      <c r="BA56" s="278">
        <v>0.79</v>
      </c>
      <c r="BB56" s="278">
        <v>0.79039999999999999</v>
      </c>
      <c r="BC56" s="278">
        <v>0.79080000000000006</v>
      </c>
      <c r="BD56" s="278">
        <v>0.79120000000000001</v>
      </c>
      <c r="BE56" s="278">
        <v>0.79160000000000008</v>
      </c>
      <c r="BF56" s="279">
        <v>0.79200000000000004</v>
      </c>
      <c r="BG56" s="279">
        <f t="shared" si="0"/>
        <v>0.79200000000000004</v>
      </c>
      <c r="BH56" s="237"/>
    </row>
    <row r="57" spans="1:60" x14ac:dyDescent="0.2">
      <c r="A57" s="273">
        <v>13.5</v>
      </c>
      <c r="B57" s="277">
        <v>0.61572720976341078</v>
      </c>
      <c r="C57" s="278">
        <v>0.6277549344635267</v>
      </c>
      <c r="D57" s="278">
        <v>0.63800372354154833</v>
      </c>
      <c r="E57" s="278">
        <v>0.64879484132560228</v>
      </c>
      <c r="F57" s="278">
        <v>0.65841190725829002</v>
      </c>
      <c r="G57" s="278">
        <v>0.66747846505007802</v>
      </c>
      <c r="H57" s="278">
        <v>0.67490848399062087</v>
      </c>
      <c r="I57" s="278">
        <v>0.68268951532097055</v>
      </c>
      <c r="J57" s="279">
        <v>0.68836090207228817</v>
      </c>
      <c r="K57" s="277">
        <v>0.69283900815990296</v>
      </c>
      <c r="L57" s="278">
        <v>0.69731944867483486</v>
      </c>
      <c r="M57" s="278">
        <v>0.70180222570699313</v>
      </c>
      <c r="N57" s="278">
        <v>0.70628734134878024</v>
      </c>
      <c r="O57" s="278">
        <v>0.71077479769509955</v>
      </c>
      <c r="P57" s="278">
        <v>0.71526459684335664</v>
      </c>
      <c r="Q57" s="278">
        <v>0.71975674089346242</v>
      </c>
      <c r="R57" s="278">
        <v>0.72425123194784047</v>
      </c>
      <c r="S57" s="279">
        <v>0.72867186406014217</v>
      </c>
      <c r="T57" s="277">
        <v>0.73300621085917972</v>
      </c>
      <c r="U57" s="278">
        <v>0.73671114425774675</v>
      </c>
      <c r="V57" s="278">
        <v>0.73894694119504134</v>
      </c>
      <c r="W57" s="278">
        <v>0.7411828951466346</v>
      </c>
      <c r="X57" s="278">
        <v>0.74341900611252709</v>
      </c>
      <c r="Y57" s="278">
        <v>0.74565527409271715</v>
      </c>
      <c r="Z57" s="278">
        <v>0.74789169908720543</v>
      </c>
      <c r="AA57" s="278">
        <v>0.75012828109599328</v>
      </c>
      <c r="AB57" s="279">
        <v>0.75236502011907858</v>
      </c>
      <c r="AC57" s="277">
        <v>0.75467279714900315</v>
      </c>
      <c r="AD57" s="278">
        <v>0.75707169196114199</v>
      </c>
      <c r="AE57" s="278">
        <v>0.75947176323597099</v>
      </c>
      <c r="AF57" s="278">
        <v>0.76187301167725796</v>
      </c>
      <c r="AG57" s="278">
        <v>0.76311936414831094</v>
      </c>
      <c r="AH57" s="278">
        <v>0.76430545780830728</v>
      </c>
      <c r="AI57" s="278">
        <v>0.76549212383334231</v>
      </c>
      <c r="AJ57" s="278">
        <v>0.76667936256608227</v>
      </c>
      <c r="AK57" s="278">
        <v>0.76786717434946405</v>
      </c>
      <c r="AL57" s="279">
        <v>0.76905555952670202</v>
      </c>
      <c r="AM57" s="277">
        <v>0.77004444762136159</v>
      </c>
      <c r="AN57" s="278">
        <v>0.77103333571602117</v>
      </c>
      <c r="AO57" s="278">
        <v>0.77202222381068086</v>
      </c>
      <c r="AP57" s="278">
        <v>0.77301111190534044</v>
      </c>
      <c r="AQ57" s="278">
        <v>0.77400000000000002</v>
      </c>
      <c r="AR57" s="278">
        <v>0.77480000000000004</v>
      </c>
      <c r="AS57" s="278">
        <v>0.77560000000000007</v>
      </c>
      <c r="AT57" s="278">
        <v>0.77639999999999998</v>
      </c>
      <c r="AU57" s="278">
        <v>0.7772</v>
      </c>
      <c r="AV57" s="279">
        <v>0.77800000000000002</v>
      </c>
      <c r="AW57" s="277">
        <v>0.77860000000000007</v>
      </c>
      <c r="AX57" s="278">
        <v>0.7792</v>
      </c>
      <c r="AY57" s="278">
        <v>0.77980000000000005</v>
      </c>
      <c r="AZ57" s="278">
        <v>0.78039999999999998</v>
      </c>
      <c r="BA57" s="278">
        <v>0.78100000000000003</v>
      </c>
      <c r="BB57" s="278">
        <v>0.78139999999999998</v>
      </c>
      <c r="BC57" s="278">
        <v>0.78180000000000005</v>
      </c>
      <c r="BD57" s="278">
        <v>0.78220000000000001</v>
      </c>
      <c r="BE57" s="278">
        <v>0.78260000000000007</v>
      </c>
      <c r="BF57" s="279">
        <v>0.78300000000000003</v>
      </c>
      <c r="BG57" s="279">
        <f t="shared" si="0"/>
        <v>0.78300000000000003</v>
      </c>
      <c r="BH57" s="237"/>
    </row>
    <row r="58" spans="1:60" x14ac:dyDescent="0.2">
      <c r="A58" s="273">
        <v>14</v>
      </c>
      <c r="B58" s="277">
        <v>0.6018533466714131</v>
      </c>
      <c r="C58" s="278">
        <v>0.61301561302516017</v>
      </c>
      <c r="D58" s="278">
        <v>0.6238774295805708</v>
      </c>
      <c r="E58" s="278">
        <v>0.6352225666481327</v>
      </c>
      <c r="F58" s="278">
        <v>0.64487132729587515</v>
      </c>
      <c r="G58" s="278">
        <v>0.65398077785407338</v>
      </c>
      <c r="H58" s="278">
        <v>0.66151558192678472</v>
      </c>
      <c r="I58" s="278">
        <v>0.66932705863483344</v>
      </c>
      <c r="J58" s="279">
        <v>0.67525525714581225</v>
      </c>
      <c r="K58" s="277">
        <v>0.67985785046761116</v>
      </c>
      <c r="L58" s="278">
        <v>0.68446282669435732</v>
      </c>
      <c r="M58" s="278">
        <v>0.6890701879593597</v>
      </c>
      <c r="N58" s="278">
        <v>0.69367993639847281</v>
      </c>
      <c r="O58" s="278">
        <v>0.6982920741501023</v>
      </c>
      <c r="P58" s="278">
        <v>0.70290660335521049</v>
      </c>
      <c r="Q58" s="278">
        <v>0.70752352615731628</v>
      </c>
      <c r="R58" s="278">
        <v>0.712142844702503</v>
      </c>
      <c r="S58" s="279">
        <v>0.71669150267757253</v>
      </c>
      <c r="T58" s="277">
        <v>0.72115533998640902</v>
      </c>
      <c r="U58" s="278">
        <v>0.7251535205167029</v>
      </c>
      <c r="V58" s="278">
        <v>0.72728800270416127</v>
      </c>
      <c r="W58" s="278">
        <v>0.72942263838592303</v>
      </c>
      <c r="X58" s="278">
        <v>0.73155742756198838</v>
      </c>
      <c r="Y58" s="278">
        <v>0.73369237023235723</v>
      </c>
      <c r="Z58" s="278">
        <v>0.73582746639702856</v>
      </c>
      <c r="AA58" s="278">
        <v>0.73796271605600439</v>
      </c>
      <c r="AB58" s="279">
        <v>0.74009811920928359</v>
      </c>
      <c r="AC58" s="277">
        <v>0.74230499932458116</v>
      </c>
      <c r="AD58" s="278">
        <v>0.74460149266733966</v>
      </c>
      <c r="AE58" s="278">
        <v>0.74689912435082828</v>
      </c>
      <c r="AF58" s="278">
        <v>0.74919789505600964</v>
      </c>
      <c r="AG58" s="278">
        <v>0.75078674899558628</v>
      </c>
      <c r="AH58" s="278">
        <v>0.75219857562552972</v>
      </c>
      <c r="AI58" s="278">
        <v>0.75361109465315712</v>
      </c>
      <c r="AJ58" s="278">
        <v>0.75502430649299346</v>
      </c>
      <c r="AK58" s="278">
        <v>0.7564382115598971</v>
      </c>
      <c r="AL58" s="279">
        <v>0.75785281026905627</v>
      </c>
      <c r="AM58" s="277">
        <v>0.75908224821524506</v>
      </c>
      <c r="AN58" s="278">
        <v>0.76031168616143374</v>
      </c>
      <c r="AO58" s="278">
        <v>0.76154112410762254</v>
      </c>
      <c r="AP58" s="278">
        <v>0.76277056205381122</v>
      </c>
      <c r="AQ58" s="278">
        <v>0.76400000000000001</v>
      </c>
      <c r="AR58" s="278">
        <v>0.76480000000000004</v>
      </c>
      <c r="AS58" s="278">
        <v>0.76560000000000006</v>
      </c>
      <c r="AT58" s="278">
        <v>0.76639999999999997</v>
      </c>
      <c r="AU58" s="278">
        <v>0.76719999999999999</v>
      </c>
      <c r="AV58" s="279">
        <v>0.76800000000000002</v>
      </c>
      <c r="AW58" s="277">
        <v>0.76860000000000006</v>
      </c>
      <c r="AX58" s="278">
        <v>0.76919999999999999</v>
      </c>
      <c r="AY58" s="278">
        <v>0.76980000000000004</v>
      </c>
      <c r="AZ58" s="278">
        <v>0.77039999999999997</v>
      </c>
      <c r="BA58" s="278">
        <v>0.77100000000000002</v>
      </c>
      <c r="BB58" s="278">
        <v>0.77139999999999997</v>
      </c>
      <c r="BC58" s="278">
        <v>0.77180000000000004</v>
      </c>
      <c r="BD58" s="278">
        <v>0.7722</v>
      </c>
      <c r="BE58" s="278">
        <v>0.77260000000000006</v>
      </c>
      <c r="BF58" s="279">
        <v>0.77300000000000002</v>
      </c>
      <c r="BG58" s="279">
        <f t="shared" si="0"/>
        <v>0.77300000000000002</v>
      </c>
      <c r="BH58" s="237"/>
    </row>
    <row r="59" spans="1:60" x14ac:dyDescent="0.2">
      <c r="A59" s="280">
        <v>14.5</v>
      </c>
      <c r="B59" s="290">
        <v>0.58773123189603005</v>
      </c>
      <c r="C59" s="291">
        <v>0.59896711536654401</v>
      </c>
      <c r="D59" s="291">
        <v>0.60989016572519383</v>
      </c>
      <c r="E59" s="291">
        <v>0.62141586906922452</v>
      </c>
      <c r="F59" s="291">
        <v>0.63165262943482336</v>
      </c>
      <c r="G59" s="291">
        <v>0.64136094550961653</v>
      </c>
      <c r="H59" s="291">
        <v>0.6490895906117421</v>
      </c>
      <c r="I59" s="291">
        <v>0.65693164766223222</v>
      </c>
      <c r="J59" s="292">
        <v>0.66304671411335869</v>
      </c>
      <c r="K59" s="290">
        <v>0.66766381396133889</v>
      </c>
      <c r="L59" s="291">
        <v>0.6722832880580909</v>
      </c>
      <c r="M59" s="291">
        <v>0.67690513852917367</v>
      </c>
      <c r="N59" s="291">
        <v>0.68152936750268545</v>
      </c>
      <c r="O59" s="291">
        <v>0.68615597710926191</v>
      </c>
      <c r="P59" s="291">
        <v>0.69078496948208856</v>
      </c>
      <c r="Q59" s="291">
        <v>0.69541634675689723</v>
      </c>
      <c r="R59" s="291">
        <v>0.70005011107197479</v>
      </c>
      <c r="S59" s="292">
        <v>0.7046162730928498</v>
      </c>
      <c r="T59" s="290">
        <v>0.70909906904268316</v>
      </c>
      <c r="U59" s="291">
        <v>0.7133482191113828</v>
      </c>
      <c r="V59" s="291">
        <v>0.71549180493500109</v>
      </c>
      <c r="W59" s="291">
        <v>0.71763554842709532</v>
      </c>
      <c r="X59" s="291">
        <v>0.71977944958766238</v>
      </c>
      <c r="Y59" s="291">
        <v>0.72192350841670327</v>
      </c>
      <c r="Z59" s="291">
        <v>0.72406772491421811</v>
      </c>
      <c r="AA59" s="291">
        <v>0.72621209908020667</v>
      </c>
      <c r="AB59" s="292">
        <v>0.72835663091466929</v>
      </c>
      <c r="AC59" s="290">
        <v>0.73057313394437151</v>
      </c>
      <c r="AD59" s="291">
        <v>0.73287786368131214</v>
      </c>
      <c r="AE59" s="291">
        <v>0.73518374889374805</v>
      </c>
      <c r="AF59" s="291">
        <v>0.737490790272889</v>
      </c>
      <c r="AG59" s="291">
        <v>0.73921879338946672</v>
      </c>
      <c r="AH59" s="291">
        <v>0.74063516529239926</v>
      </c>
      <c r="AI59" s="291">
        <v>0.74205223943200471</v>
      </c>
      <c r="AJ59" s="291">
        <v>0.74347001622870112</v>
      </c>
      <c r="AK59" s="291">
        <v>0.74488849610324204</v>
      </c>
      <c r="AL59" s="292">
        <v>0.74630767947671472</v>
      </c>
      <c r="AM59" s="281">
        <v>0.74744614358137174</v>
      </c>
      <c r="AN59" s="282">
        <v>0.74858460768602886</v>
      </c>
      <c r="AO59" s="282">
        <v>0.74972307179068587</v>
      </c>
      <c r="AP59" s="282">
        <v>0.75086153589534299</v>
      </c>
      <c r="AQ59" s="282">
        <v>0.752</v>
      </c>
      <c r="AR59" s="282">
        <v>0.753</v>
      </c>
      <c r="AS59" s="282">
        <v>0.754</v>
      </c>
      <c r="AT59" s="282">
        <v>0.755</v>
      </c>
      <c r="AU59" s="282">
        <v>0.75600000000000001</v>
      </c>
      <c r="AV59" s="283">
        <v>0.75700000000000001</v>
      </c>
      <c r="AW59" s="281">
        <v>0.75780000000000003</v>
      </c>
      <c r="AX59" s="282">
        <v>0.75860000000000005</v>
      </c>
      <c r="AY59" s="282">
        <v>0.75939999999999996</v>
      </c>
      <c r="AZ59" s="282">
        <v>0.76019999999999999</v>
      </c>
      <c r="BA59" s="282">
        <v>0.76100000000000001</v>
      </c>
      <c r="BB59" s="282">
        <v>0.76160000000000005</v>
      </c>
      <c r="BC59" s="282">
        <v>0.76219999999999999</v>
      </c>
      <c r="BD59" s="282">
        <v>0.76280000000000003</v>
      </c>
      <c r="BE59" s="282">
        <v>0.76339999999999997</v>
      </c>
      <c r="BF59" s="283">
        <v>0.76400000000000001</v>
      </c>
      <c r="BG59" s="283">
        <f t="shared" si="0"/>
        <v>0.76400000000000001</v>
      </c>
      <c r="BH59" s="237"/>
    </row>
    <row r="60" spans="1:60" x14ac:dyDescent="0.2">
      <c r="A60" s="273">
        <v>15</v>
      </c>
      <c r="B60" s="287">
        <v>0.57458548748215688</v>
      </c>
      <c r="C60" s="288">
        <v>0.58589416145676065</v>
      </c>
      <c r="D60" s="288">
        <v>0.59687751240384312</v>
      </c>
      <c r="E60" s="288">
        <v>0.60844011413123666</v>
      </c>
      <c r="F60" s="288">
        <v>0.61815283348594374</v>
      </c>
      <c r="G60" s="288">
        <v>0.62734833385586053</v>
      </c>
      <c r="H60" s="288">
        <v>0.63509460903031911</v>
      </c>
      <c r="I60" s="288">
        <v>0.64296713672823291</v>
      </c>
      <c r="J60" s="289">
        <v>0.64938175933082964</v>
      </c>
      <c r="K60" s="287">
        <v>0.65423636221466441</v>
      </c>
      <c r="L60" s="288">
        <v>0.65909344367558476</v>
      </c>
      <c r="M60" s="288">
        <v>0.66395300593254825</v>
      </c>
      <c r="N60" s="288">
        <v>0.66881505120716411</v>
      </c>
      <c r="O60" s="288">
        <v>0.67367958172369447</v>
      </c>
      <c r="P60" s="288">
        <v>0.67854659970905828</v>
      </c>
      <c r="Q60" s="288">
        <v>0.68341610739283598</v>
      </c>
      <c r="R60" s="288">
        <v>0.68828810700727372</v>
      </c>
      <c r="S60" s="289">
        <v>0.69309553234173904</v>
      </c>
      <c r="T60" s="287">
        <v>0.69782102335448826</v>
      </c>
      <c r="U60" s="288">
        <v>0.70254687178475983</v>
      </c>
      <c r="V60" s="288">
        <v>0.70458765541088442</v>
      </c>
      <c r="W60" s="288">
        <v>0.70662859221594654</v>
      </c>
      <c r="X60" s="288">
        <v>0.70866968219994841</v>
      </c>
      <c r="Y60" s="288">
        <v>0.71071092536288771</v>
      </c>
      <c r="Z60" s="288">
        <v>0.71275232170476666</v>
      </c>
      <c r="AA60" s="288">
        <v>0.71479387122558413</v>
      </c>
      <c r="AB60" s="289">
        <v>0.71683557392533925</v>
      </c>
      <c r="AC60" s="287">
        <v>0.71894972611866403</v>
      </c>
      <c r="AD60" s="288">
        <v>0.72115068716712316</v>
      </c>
      <c r="AE60" s="288">
        <v>0.72335276310783803</v>
      </c>
      <c r="AF60" s="288">
        <v>0.72555595460774458</v>
      </c>
      <c r="AG60" s="288">
        <v>0.72742411440713439</v>
      </c>
      <c r="AH60" s="288">
        <v>0.72895698264375464</v>
      </c>
      <c r="AI60" s="288">
        <v>0.73049062089662598</v>
      </c>
      <c r="AJ60" s="288">
        <v>0.73202502962674332</v>
      </c>
      <c r="AK60" s="288">
        <v>0.73356020929547128</v>
      </c>
      <c r="AL60" s="289">
        <v>0.73509616036454095</v>
      </c>
      <c r="AM60" s="287">
        <v>0.73627692829163272</v>
      </c>
      <c r="AN60" s="288">
        <v>0.73745769621872459</v>
      </c>
      <c r="AO60" s="288">
        <v>0.73863846414581635</v>
      </c>
      <c r="AP60" s="288">
        <v>0.73981923207290823</v>
      </c>
      <c r="AQ60" s="288">
        <v>0.74099999999999999</v>
      </c>
      <c r="AR60" s="288">
        <v>0.74199999999999999</v>
      </c>
      <c r="AS60" s="288">
        <v>0.74299999999999999</v>
      </c>
      <c r="AT60" s="288">
        <v>0.74399999999999999</v>
      </c>
      <c r="AU60" s="288">
        <v>0.745</v>
      </c>
      <c r="AV60" s="289">
        <v>0.746</v>
      </c>
      <c r="AW60" s="287">
        <v>0.74680000000000002</v>
      </c>
      <c r="AX60" s="288">
        <v>0.74760000000000004</v>
      </c>
      <c r="AY60" s="288">
        <v>0.74839999999999995</v>
      </c>
      <c r="AZ60" s="288">
        <v>0.74919999999999998</v>
      </c>
      <c r="BA60" s="288">
        <v>0.75</v>
      </c>
      <c r="BB60" s="288">
        <v>0.75060000000000004</v>
      </c>
      <c r="BC60" s="288">
        <v>0.75119999999999998</v>
      </c>
      <c r="BD60" s="288">
        <v>0.75180000000000002</v>
      </c>
      <c r="BE60" s="288">
        <v>0.75239999999999996</v>
      </c>
      <c r="BF60" s="289">
        <v>0.753</v>
      </c>
      <c r="BG60" s="289">
        <f t="shared" si="0"/>
        <v>0.753</v>
      </c>
      <c r="BH60" s="237"/>
    </row>
    <row r="61" spans="1:60" x14ac:dyDescent="0.2">
      <c r="A61" s="273">
        <v>15.5</v>
      </c>
      <c r="B61" s="277">
        <v>0.56175019127068604</v>
      </c>
      <c r="C61" s="278">
        <v>0.57361452343861441</v>
      </c>
      <c r="D61" s="278">
        <v>0.58409672324033757</v>
      </c>
      <c r="E61" s="278">
        <v>0.59528705574879193</v>
      </c>
      <c r="F61" s="278">
        <v>0.60559302302167617</v>
      </c>
      <c r="G61" s="278">
        <v>0.6153920729629444</v>
      </c>
      <c r="H61" s="278">
        <v>0.62295289721096825</v>
      </c>
      <c r="I61" s="278">
        <v>0.63029572455486826</v>
      </c>
      <c r="J61" s="279">
        <v>0.6365810196184204</v>
      </c>
      <c r="K61" s="277">
        <v>0.64145100158973622</v>
      </c>
      <c r="L61" s="278">
        <v>0.64632345279068282</v>
      </c>
      <c r="M61" s="278">
        <v>0.65119837543185188</v>
      </c>
      <c r="N61" s="278">
        <v>0.65607577172647291</v>
      </c>
      <c r="O61" s="278">
        <v>0.66095564389041994</v>
      </c>
      <c r="P61" s="278">
        <v>0.66583799414221378</v>
      </c>
      <c r="Q61" s="278">
        <v>0.67072282470302691</v>
      </c>
      <c r="R61" s="278">
        <v>0.67561013779668566</v>
      </c>
      <c r="S61" s="279">
        <v>0.68043581223069138</v>
      </c>
      <c r="T61" s="277">
        <v>0.68518107667464734</v>
      </c>
      <c r="U61" s="278">
        <v>0.6899267070895525</v>
      </c>
      <c r="V61" s="278">
        <v>0.69244791706093822</v>
      </c>
      <c r="W61" s="278">
        <v>0.69472211239866111</v>
      </c>
      <c r="X61" s="278">
        <v>0.69699648200826458</v>
      </c>
      <c r="Y61" s="278">
        <v>0.69927102588974765</v>
      </c>
      <c r="Z61" s="278">
        <v>0.70154574404311221</v>
      </c>
      <c r="AA61" s="278">
        <v>0.70382063646835713</v>
      </c>
      <c r="AB61" s="279">
        <v>0.70609570316548165</v>
      </c>
      <c r="AC61" s="277">
        <v>0.70844381500010067</v>
      </c>
      <c r="AD61" s="278">
        <v>0.71087758572400739</v>
      </c>
      <c r="AE61" s="278">
        <v>0.71331260536008367</v>
      </c>
      <c r="AF61" s="278">
        <v>0.71574887465543335</v>
      </c>
      <c r="AG61" s="278">
        <v>0.71787133123235713</v>
      </c>
      <c r="AH61" s="278">
        <v>0.71940960407077603</v>
      </c>
      <c r="AI61" s="278">
        <v>0.72094865798399099</v>
      </c>
      <c r="AJ61" s="278">
        <v>0.72248849343961741</v>
      </c>
      <c r="AK61" s="278">
        <v>0.72402911090564281</v>
      </c>
      <c r="AL61" s="279">
        <v>0.72557051085043156</v>
      </c>
      <c r="AM61" s="277">
        <v>0.72685640868034529</v>
      </c>
      <c r="AN61" s="278">
        <v>0.72814230651025891</v>
      </c>
      <c r="AO61" s="278">
        <v>0.72942820434017264</v>
      </c>
      <c r="AP61" s="278">
        <v>0.73071410217008625</v>
      </c>
      <c r="AQ61" s="278">
        <v>0.73199999999999998</v>
      </c>
      <c r="AR61" s="278">
        <v>0.73299999999999998</v>
      </c>
      <c r="AS61" s="278">
        <v>0.73399999999999999</v>
      </c>
      <c r="AT61" s="278">
        <v>0.73499999999999999</v>
      </c>
      <c r="AU61" s="278">
        <v>0.73599999999999999</v>
      </c>
      <c r="AV61" s="279">
        <v>0.73699999999999999</v>
      </c>
      <c r="AW61" s="277">
        <v>0.73780000000000001</v>
      </c>
      <c r="AX61" s="278">
        <v>0.73860000000000003</v>
      </c>
      <c r="AY61" s="278">
        <v>0.73939999999999995</v>
      </c>
      <c r="AZ61" s="278">
        <v>0.74019999999999997</v>
      </c>
      <c r="BA61" s="278">
        <v>0.74099999999999999</v>
      </c>
      <c r="BB61" s="278">
        <v>0.74160000000000004</v>
      </c>
      <c r="BC61" s="278">
        <v>0.74219999999999997</v>
      </c>
      <c r="BD61" s="278">
        <v>0.74280000000000002</v>
      </c>
      <c r="BE61" s="278">
        <v>0.74339999999999995</v>
      </c>
      <c r="BF61" s="279">
        <v>0.74399999999999999</v>
      </c>
      <c r="BG61" s="279">
        <f t="shared" si="0"/>
        <v>0.74399999999999999</v>
      </c>
      <c r="BH61" s="237"/>
    </row>
    <row r="62" spans="1:60" x14ac:dyDescent="0.2">
      <c r="A62" s="273">
        <v>16</v>
      </c>
      <c r="B62" s="277">
        <v>0.54931569543820302</v>
      </c>
      <c r="C62" s="278">
        <v>0.5612886188463847</v>
      </c>
      <c r="D62" s="278">
        <v>0.57182834234845259</v>
      </c>
      <c r="E62" s="278">
        <v>0.58307114943414051</v>
      </c>
      <c r="F62" s="278">
        <v>0.59284889389051254</v>
      </c>
      <c r="G62" s="278">
        <v>0.60213032661108801</v>
      </c>
      <c r="H62" s="278">
        <v>0.6096848533570578</v>
      </c>
      <c r="I62" s="278">
        <v>0.61705595050112738</v>
      </c>
      <c r="J62" s="279">
        <v>0.62353701702065722</v>
      </c>
      <c r="K62" s="277">
        <v>0.62853496304974021</v>
      </c>
      <c r="L62" s="278">
        <v>0.63353542512605554</v>
      </c>
      <c r="M62" s="278">
        <v>0.6385384055021065</v>
      </c>
      <c r="N62" s="278">
        <v>0.64354390643308679</v>
      </c>
      <c r="O62" s="278">
        <v>0.64855193017688428</v>
      </c>
      <c r="P62" s="278">
        <v>0.65356247899408415</v>
      </c>
      <c r="Q62" s="278">
        <v>0.65857555514797261</v>
      </c>
      <c r="R62" s="278">
        <v>0.66359116090454218</v>
      </c>
      <c r="S62" s="279">
        <v>0.66854796034178066</v>
      </c>
      <c r="T62" s="277">
        <v>0.67342580391322537</v>
      </c>
      <c r="U62" s="278">
        <v>0.67830403059076649</v>
      </c>
      <c r="V62" s="278">
        <v>0.68110650894432012</v>
      </c>
      <c r="W62" s="278">
        <v>0.68339015312095452</v>
      </c>
      <c r="X62" s="278">
        <v>0.68567397548647258</v>
      </c>
      <c r="Y62" s="278">
        <v>0.68795797604087339</v>
      </c>
      <c r="Z62" s="278">
        <v>0.69024215478415651</v>
      </c>
      <c r="AA62" s="278">
        <v>0.6925265117163224</v>
      </c>
      <c r="AB62" s="279">
        <v>0.69481104683736983</v>
      </c>
      <c r="AC62" s="277">
        <v>0.69716910172979474</v>
      </c>
      <c r="AD62" s="278">
        <v>0.69961148482182745</v>
      </c>
      <c r="AE62" s="278">
        <v>0.7020551351797556</v>
      </c>
      <c r="AF62" s="278">
        <v>0.70450005356166223</v>
      </c>
      <c r="AG62" s="278">
        <v>0.70676544762075466</v>
      </c>
      <c r="AH62" s="278">
        <v>0.70830865194566428</v>
      </c>
      <c r="AI62" s="278">
        <v>0.70985264827224526</v>
      </c>
      <c r="AJ62" s="278">
        <v>0.7113974370746553</v>
      </c>
      <c r="AK62" s="278">
        <v>0.7129430188274305</v>
      </c>
      <c r="AL62" s="279">
        <v>0.71448939400548728</v>
      </c>
      <c r="AM62" s="277">
        <v>0.71559151520438979</v>
      </c>
      <c r="AN62" s="278">
        <v>0.71669363640329231</v>
      </c>
      <c r="AO62" s="278">
        <v>0.71779575760219494</v>
      </c>
      <c r="AP62" s="278">
        <v>0.71889787880109746</v>
      </c>
      <c r="AQ62" s="278">
        <v>0.72</v>
      </c>
      <c r="AR62" s="278">
        <v>0.72119999999999995</v>
      </c>
      <c r="AS62" s="278">
        <v>0.72239999999999993</v>
      </c>
      <c r="AT62" s="278">
        <v>0.72360000000000002</v>
      </c>
      <c r="AU62" s="278">
        <v>0.7248</v>
      </c>
      <c r="AV62" s="279">
        <v>0.72599999999999998</v>
      </c>
      <c r="AW62" s="277">
        <v>0.72699999999999998</v>
      </c>
      <c r="AX62" s="278">
        <v>0.72799999999999998</v>
      </c>
      <c r="AY62" s="278">
        <v>0.72899999999999998</v>
      </c>
      <c r="AZ62" s="278">
        <v>0.73</v>
      </c>
      <c r="BA62" s="278">
        <v>0.73099999999999998</v>
      </c>
      <c r="BB62" s="278">
        <v>0.73180000000000001</v>
      </c>
      <c r="BC62" s="278">
        <v>0.73260000000000003</v>
      </c>
      <c r="BD62" s="278">
        <v>0.73339999999999994</v>
      </c>
      <c r="BE62" s="278">
        <v>0.73419999999999996</v>
      </c>
      <c r="BF62" s="279">
        <v>0.73499999999999999</v>
      </c>
      <c r="BG62" s="279">
        <f t="shared" si="0"/>
        <v>0.73499999999999999</v>
      </c>
      <c r="BH62" s="237"/>
    </row>
    <row r="63" spans="1:60" x14ac:dyDescent="0.2">
      <c r="A63" s="273">
        <v>16.5</v>
      </c>
      <c r="B63" s="277">
        <v>0.53660837537842065</v>
      </c>
      <c r="C63" s="278">
        <v>0.54869097742429673</v>
      </c>
      <c r="D63" s="278">
        <v>0.55928884047486094</v>
      </c>
      <c r="E63" s="278">
        <v>0.57062398957401195</v>
      </c>
      <c r="F63" s="278">
        <v>0.58043453255112742</v>
      </c>
      <c r="G63" s="278">
        <v>0.58975901795510033</v>
      </c>
      <c r="H63" s="278">
        <v>0.59744204127969669</v>
      </c>
      <c r="I63" s="278">
        <v>0.60484154223242736</v>
      </c>
      <c r="J63" s="279">
        <v>0.61146926492117759</v>
      </c>
      <c r="K63" s="277">
        <v>0.61648332600061506</v>
      </c>
      <c r="L63" s="278">
        <v>0.62149989342631429</v>
      </c>
      <c r="M63" s="278">
        <v>0.62651896944209762</v>
      </c>
      <c r="N63" s="278">
        <v>0.63154055629446071</v>
      </c>
      <c r="O63" s="278">
        <v>0.63656465623258673</v>
      </c>
      <c r="P63" s="278">
        <v>0.64159127150834372</v>
      </c>
      <c r="Q63" s="278">
        <v>0.6466204043762932</v>
      </c>
      <c r="R63" s="278">
        <v>0.65165205709368912</v>
      </c>
      <c r="S63" s="279">
        <v>0.65662759876311372</v>
      </c>
      <c r="T63" s="277">
        <v>0.66152562009840832</v>
      </c>
      <c r="U63" s="278">
        <v>0.66642403263198724</v>
      </c>
      <c r="V63" s="278">
        <v>0.66957796350646526</v>
      </c>
      <c r="W63" s="278">
        <v>0.67198431280029625</v>
      </c>
      <c r="X63" s="278">
        <v>0.67439085314445169</v>
      </c>
      <c r="Y63" s="278">
        <v>0.67679758453893168</v>
      </c>
      <c r="Z63" s="278">
        <v>0.67920450698373713</v>
      </c>
      <c r="AA63" s="278">
        <v>0.68161162047886603</v>
      </c>
      <c r="AB63" s="279">
        <v>0.68401892502431949</v>
      </c>
      <c r="AC63" s="277">
        <v>0.68650026705521061</v>
      </c>
      <c r="AD63" s="278">
        <v>0.68906472618049308</v>
      </c>
      <c r="AE63" s="278">
        <v>0.69163053166577282</v>
      </c>
      <c r="AF63" s="278">
        <v>0.69419768431644868</v>
      </c>
      <c r="AG63" s="278">
        <v>0.69671512400262359</v>
      </c>
      <c r="AH63" s="278">
        <v>0.69826346787481242</v>
      </c>
      <c r="AI63" s="278">
        <v>0.69981261480560852</v>
      </c>
      <c r="AJ63" s="278">
        <v>0.70136256527578922</v>
      </c>
      <c r="AK63" s="278">
        <v>0.70291331976651539</v>
      </c>
      <c r="AL63" s="279">
        <v>0.7044648787593335</v>
      </c>
      <c r="AM63" s="277">
        <v>0.70557190300746675</v>
      </c>
      <c r="AN63" s="278">
        <v>0.70667892725560011</v>
      </c>
      <c r="AO63" s="278">
        <v>0.70778595150373336</v>
      </c>
      <c r="AP63" s="278">
        <v>0.70889297575186672</v>
      </c>
      <c r="AQ63" s="278">
        <v>0.71</v>
      </c>
      <c r="AR63" s="278">
        <v>0.71099999999999997</v>
      </c>
      <c r="AS63" s="278">
        <v>0.71199999999999997</v>
      </c>
      <c r="AT63" s="278">
        <v>0.71299999999999997</v>
      </c>
      <c r="AU63" s="278">
        <v>0.71399999999999997</v>
      </c>
      <c r="AV63" s="279">
        <v>0.71499999999999997</v>
      </c>
      <c r="AW63" s="277">
        <v>0.71579999999999999</v>
      </c>
      <c r="AX63" s="278">
        <v>0.71660000000000001</v>
      </c>
      <c r="AY63" s="278">
        <v>0.71739999999999993</v>
      </c>
      <c r="AZ63" s="278">
        <v>0.71819999999999995</v>
      </c>
      <c r="BA63" s="278">
        <v>0.71899999999999997</v>
      </c>
      <c r="BB63" s="278">
        <v>0.7198</v>
      </c>
      <c r="BC63" s="278">
        <v>0.72060000000000002</v>
      </c>
      <c r="BD63" s="278">
        <v>0.72139999999999993</v>
      </c>
      <c r="BE63" s="278">
        <v>0.72219999999999995</v>
      </c>
      <c r="BF63" s="279">
        <v>0.72299999999999998</v>
      </c>
      <c r="BG63" s="279">
        <f t="shared" si="0"/>
        <v>0.72299999999999998</v>
      </c>
      <c r="BH63" s="237"/>
    </row>
    <row r="64" spans="1:60" x14ac:dyDescent="0.2">
      <c r="A64" s="280">
        <v>17</v>
      </c>
      <c r="B64" s="281">
        <v>0.52517502583091147</v>
      </c>
      <c r="C64" s="282">
        <v>0.5360016948576164</v>
      </c>
      <c r="D64" s="282">
        <v>0.54722591138371479</v>
      </c>
      <c r="E64" s="282">
        <v>0.55918786488759942</v>
      </c>
      <c r="F64" s="282">
        <v>0.56907712287173295</v>
      </c>
      <c r="G64" s="282">
        <v>0.57844426516349234</v>
      </c>
      <c r="H64" s="282">
        <v>0.58661910781727489</v>
      </c>
      <c r="I64" s="282">
        <v>0.59461462113548658</v>
      </c>
      <c r="J64" s="283">
        <v>0.60175381847641973</v>
      </c>
      <c r="K64" s="281">
        <v>0.60667106874102272</v>
      </c>
      <c r="L64" s="282">
        <v>0.61159075983813482</v>
      </c>
      <c r="M64" s="282">
        <v>0.61651289395292419</v>
      </c>
      <c r="N64" s="282">
        <v>0.62143747327316667</v>
      </c>
      <c r="O64" s="282">
        <v>0.62636449998925481</v>
      </c>
      <c r="P64" s="282">
        <v>0.63129397629419381</v>
      </c>
      <c r="Q64" s="282">
        <v>0.63622590438361215</v>
      </c>
      <c r="R64" s="282">
        <v>0.64116028645576106</v>
      </c>
      <c r="S64" s="283">
        <v>0.64604099940831983</v>
      </c>
      <c r="T64" s="281">
        <v>0.65084544491365337</v>
      </c>
      <c r="U64" s="282">
        <v>0.65565028010787763</v>
      </c>
      <c r="V64" s="282">
        <v>0.65902195815845233</v>
      </c>
      <c r="W64" s="282">
        <v>0.66143817213400136</v>
      </c>
      <c r="X64" s="282">
        <v>0.6638545809539953</v>
      </c>
      <c r="Y64" s="282">
        <v>0.66627118461843393</v>
      </c>
      <c r="Z64" s="282">
        <v>0.66868798312731847</v>
      </c>
      <c r="AA64" s="282">
        <v>0.67110497648064671</v>
      </c>
      <c r="AB64" s="283">
        <v>0.67352216467841985</v>
      </c>
      <c r="AC64" s="281">
        <v>0.67601388684639119</v>
      </c>
      <c r="AD64" s="282">
        <v>0.6785874907141578</v>
      </c>
      <c r="AE64" s="282">
        <v>0.68116246040179285</v>
      </c>
      <c r="AF64" s="282">
        <v>0.68373879672633742</v>
      </c>
      <c r="AG64" s="282">
        <v>0.68631650050548421</v>
      </c>
      <c r="AH64" s="282">
        <v>0.68786981976937511</v>
      </c>
      <c r="AI64" s="282">
        <v>0.68930994975524562</v>
      </c>
      <c r="AJ64" s="282">
        <v>0.69075083262431003</v>
      </c>
      <c r="AK64" s="282">
        <v>0.6921924688273976</v>
      </c>
      <c r="AL64" s="283">
        <v>0.69363485881569542</v>
      </c>
      <c r="AM64" s="281">
        <v>0.69470788705255637</v>
      </c>
      <c r="AN64" s="282">
        <v>0.69578091528941721</v>
      </c>
      <c r="AO64" s="282">
        <v>0.69685394352627816</v>
      </c>
      <c r="AP64" s="282">
        <v>0.697926971763139</v>
      </c>
      <c r="AQ64" s="282">
        <v>0.69899999999999995</v>
      </c>
      <c r="AR64" s="282">
        <v>0.70019999999999993</v>
      </c>
      <c r="AS64" s="282">
        <v>0.70139999999999991</v>
      </c>
      <c r="AT64" s="282">
        <v>0.7026</v>
      </c>
      <c r="AU64" s="282">
        <v>0.70379999999999998</v>
      </c>
      <c r="AV64" s="283">
        <v>0.70499999999999996</v>
      </c>
      <c r="AW64" s="281">
        <v>0.70579999999999998</v>
      </c>
      <c r="AX64" s="282">
        <v>0.70660000000000001</v>
      </c>
      <c r="AY64" s="282">
        <v>0.70739999999999992</v>
      </c>
      <c r="AZ64" s="282">
        <v>0.70819999999999994</v>
      </c>
      <c r="BA64" s="282">
        <v>0.70899999999999996</v>
      </c>
      <c r="BB64" s="282">
        <v>0.70979999999999999</v>
      </c>
      <c r="BC64" s="282">
        <v>0.71060000000000001</v>
      </c>
      <c r="BD64" s="282">
        <v>0.71139999999999992</v>
      </c>
      <c r="BE64" s="282">
        <v>0.71219999999999994</v>
      </c>
      <c r="BF64" s="283">
        <v>0.71299999999999997</v>
      </c>
      <c r="BG64" s="283">
        <f t="shared" si="0"/>
        <v>0.71299999999999997</v>
      </c>
      <c r="BH64" s="237"/>
    </row>
    <row r="65" spans="1:60" x14ac:dyDescent="0.2">
      <c r="A65" s="273">
        <v>17.5</v>
      </c>
      <c r="B65" s="284">
        <v>0.51385547805391762</v>
      </c>
      <c r="C65" s="285">
        <v>0.52518526329033932</v>
      </c>
      <c r="D65" s="285">
        <v>0.5353277878659749</v>
      </c>
      <c r="E65" s="285">
        <v>0.54619383522962606</v>
      </c>
      <c r="F65" s="285">
        <v>0.55612757207847308</v>
      </c>
      <c r="G65" s="285">
        <v>0.56553829901773445</v>
      </c>
      <c r="H65" s="285">
        <v>0.57382247639466466</v>
      </c>
      <c r="I65" s="285">
        <v>0.58184877417456549</v>
      </c>
      <c r="J65" s="286">
        <v>0.58920083571011994</v>
      </c>
      <c r="K65" s="284">
        <v>0.59424770168440311</v>
      </c>
      <c r="L65" s="285">
        <v>0.59929705442231629</v>
      </c>
      <c r="M65" s="285">
        <v>0.60434889615014564</v>
      </c>
      <c r="N65" s="285">
        <v>0.60940322909683786</v>
      </c>
      <c r="O65" s="285">
        <v>0.61446005549400229</v>
      </c>
      <c r="P65" s="285">
        <v>0.6195193775759118</v>
      </c>
      <c r="Q65" s="285">
        <v>0.6245811975795128</v>
      </c>
      <c r="R65" s="285">
        <v>0.62964551774442279</v>
      </c>
      <c r="S65" s="286">
        <v>0.63465871703497001</v>
      </c>
      <c r="T65" s="284">
        <v>0.63959704231423986</v>
      </c>
      <c r="U65" s="285">
        <v>0.64453577401237805</v>
      </c>
      <c r="V65" s="285">
        <v>0.64816111063607118</v>
      </c>
      <c r="W65" s="285">
        <v>0.65047288914519152</v>
      </c>
      <c r="X65" s="285">
        <v>0.65278485668634367</v>
      </c>
      <c r="Y65" s="285">
        <v>0.65509701325952785</v>
      </c>
      <c r="Z65" s="285">
        <v>0.65740935886474383</v>
      </c>
      <c r="AA65" s="285">
        <v>0.65972189350199162</v>
      </c>
      <c r="AB65" s="286">
        <v>0.66203461717127132</v>
      </c>
      <c r="AC65" s="284">
        <v>0.66442220246553296</v>
      </c>
      <c r="AD65" s="285">
        <v>0.66689025304541805</v>
      </c>
      <c r="AE65" s="285">
        <v>0.66935962629241652</v>
      </c>
      <c r="AF65" s="285">
        <v>0.67183032299775369</v>
      </c>
      <c r="AG65" s="285">
        <v>0.67430234395328925</v>
      </c>
      <c r="AH65" s="285">
        <v>0.67608901469325255</v>
      </c>
      <c r="AI65" s="285">
        <v>0.67764768123190644</v>
      </c>
      <c r="AJ65" s="285">
        <v>0.67920717322881752</v>
      </c>
      <c r="AK65" s="285">
        <v>0.68076749117826996</v>
      </c>
      <c r="AL65" s="286">
        <v>0.68232863557494827</v>
      </c>
      <c r="AM65" s="287">
        <v>0.68326290845995863</v>
      </c>
      <c r="AN65" s="288">
        <v>0.68419718134496899</v>
      </c>
      <c r="AO65" s="288">
        <v>0.68513145422997934</v>
      </c>
      <c r="AP65" s="288">
        <v>0.6860657271149897</v>
      </c>
      <c r="AQ65" s="288">
        <v>0.68700000000000006</v>
      </c>
      <c r="AR65" s="288">
        <v>0.68780000000000008</v>
      </c>
      <c r="AS65" s="288">
        <v>0.68859999999999999</v>
      </c>
      <c r="AT65" s="288">
        <v>0.68940000000000001</v>
      </c>
      <c r="AU65" s="288">
        <v>0.69019999999999992</v>
      </c>
      <c r="AV65" s="289">
        <v>0.69099999999999995</v>
      </c>
      <c r="AW65" s="287">
        <v>0.69179999999999997</v>
      </c>
      <c r="AX65" s="288">
        <v>0.69259999999999999</v>
      </c>
      <c r="AY65" s="288">
        <v>0.69339999999999991</v>
      </c>
      <c r="AZ65" s="288">
        <v>0.69419999999999993</v>
      </c>
      <c r="BA65" s="288">
        <v>0.69499999999999995</v>
      </c>
      <c r="BB65" s="288">
        <v>0.69539999999999991</v>
      </c>
      <c r="BC65" s="288">
        <v>0.69579999999999997</v>
      </c>
      <c r="BD65" s="288">
        <v>0.69619999999999993</v>
      </c>
      <c r="BE65" s="288">
        <v>0.6966</v>
      </c>
      <c r="BF65" s="289">
        <v>0.69699999999999995</v>
      </c>
      <c r="BG65" s="289">
        <f t="shared" si="0"/>
        <v>0.69699999999999995</v>
      </c>
      <c r="BH65" s="237"/>
    </row>
    <row r="66" spans="1:60" x14ac:dyDescent="0.2">
      <c r="A66" s="273">
        <v>18</v>
      </c>
      <c r="B66" s="277">
        <v>0.50307745969809825</v>
      </c>
      <c r="C66" s="278">
        <v>0.51434028293453071</v>
      </c>
      <c r="D66" s="278">
        <v>0.52396447294978354</v>
      </c>
      <c r="E66" s="278">
        <v>0.53429797836247028</v>
      </c>
      <c r="F66" s="278">
        <v>0.54425387248731472</v>
      </c>
      <c r="G66" s="278">
        <v>0.55370777279024785</v>
      </c>
      <c r="H66" s="278">
        <v>0.562101267338601</v>
      </c>
      <c r="I66" s="278">
        <v>0.57015848098647781</v>
      </c>
      <c r="J66" s="279">
        <v>0.57769092401396616</v>
      </c>
      <c r="K66" s="277">
        <v>0.5827541554109823</v>
      </c>
      <c r="L66" s="278">
        <v>0.58781986349766124</v>
      </c>
      <c r="M66" s="278">
        <v>0.59288805049127258</v>
      </c>
      <c r="N66" s="278">
        <v>0.59795871861173322</v>
      </c>
      <c r="O66" s="278">
        <v>0.60303187008160963</v>
      </c>
      <c r="P66" s="278">
        <v>0.60810750712612793</v>
      </c>
      <c r="Q66" s="278">
        <v>0.61318563197316822</v>
      </c>
      <c r="R66" s="278">
        <v>0.61826624685327869</v>
      </c>
      <c r="S66" s="279">
        <v>0.62329815586096682</v>
      </c>
      <c r="T66" s="277">
        <v>0.62825655850361761</v>
      </c>
      <c r="U66" s="278">
        <v>0.63321537470553169</v>
      </c>
      <c r="V66" s="278">
        <v>0.63716512493706634</v>
      </c>
      <c r="W66" s="278">
        <v>0.63960092132147828</v>
      </c>
      <c r="X66" s="278">
        <v>0.64203691967669407</v>
      </c>
      <c r="Y66" s="278">
        <v>0.64447312000271195</v>
      </c>
      <c r="Z66" s="278">
        <v>0.64690952229953302</v>
      </c>
      <c r="AA66" s="278">
        <v>0.64934612656715807</v>
      </c>
      <c r="AB66" s="279">
        <v>0.65178293280558519</v>
      </c>
      <c r="AC66" s="277">
        <v>0.65429507155888378</v>
      </c>
      <c r="AD66" s="278">
        <v>0.65688653203905478</v>
      </c>
      <c r="AE66" s="278">
        <v>0.65947939722167648</v>
      </c>
      <c r="AF66" s="278">
        <v>0.66207366794704892</v>
      </c>
      <c r="AG66" s="278">
        <v>0.66466934505614428</v>
      </c>
      <c r="AH66" s="278">
        <v>0.6666458660951502</v>
      </c>
      <c r="AI66" s="278">
        <v>0.6682096287162691</v>
      </c>
      <c r="AJ66" s="278">
        <v>0.66977422792383579</v>
      </c>
      <c r="AK66" s="278">
        <v>0.67133966421879887</v>
      </c>
      <c r="AL66" s="279">
        <v>0.67290593810250954</v>
      </c>
      <c r="AM66" s="277">
        <v>0.6741247504820076</v>
      </c>
      <c r="AN66" s="278">
        <v>0.67534356286150576</v>
      </c>
      <c r="AO66" s="278">
        <v>0.67656237524100382</v>
      </c>
      <c r="AP66" s="278">
        <v>0.67778118762050199</v>
      </c>
      <c r="AQ66" s="278">
        <v>0.67900000000000005</v>
      </c>
      <c r="AR66" s="278">
        <v>0.68</v>
      </c>
      <c r="AS66" s="278">
        <v>0.68100000000000005</v>
      </c>
      <c r="AT66" s="278">
        <v>0.68200000000000005</v>
      </c>
      <c r="AU66" s="278">
        <v>0.68300000000000005</v>
      </c>
      <c r="AV66" s="279">
        <v>0.68400000000000005</v>
      </c>
      <c r="AW66" s="277">
        <v>0.6846000000000001</v>
      </c>
      <c r="AX66" s="278">
        <v>0.68520000000000003</v>
      </c>
      <c r="AY66" s="278">
        <v>0.68580000000000008</v>
      </c>
      <c r="AZ66" s="278">
        <v>0.68640000000000001</v>
      </c>
      <c r="BA66" s="278">
        <v>0.68700000000000006</v>
      </c>
      <c r="BB66" s="278">
        <v>0.68740000000000001</v>
      </c>
      <c r="BC66" s="278">
        <v>0.68779999999999997</v>
      </c>
      <c r="BD66" s="278">
        <v>0.68820000000000003</v>
      </c>
      <c r="BE66" s="278">
        <v>0.68859999999999999</v>
      </c>
      <c r="BF66" s="279">
        <v>0.68899999999999995</v>
      </c>
      <c r="BG66" s="279">
        <f t="shared" si="0"/>
        <v>0.68899999999999995</v>
      </c>
      <c r="BH66" s="237"/>
    </row>
    <row r="67" spans="1:60" x14ac:dyDescent="0.2">
      <c r="A67" s="273">
        <v>18.5</v>
      </c>
      <c r="B67" s="277">
        <v>0.49155197177190019</v>
      </c>
      <c r="C67" s="278">
        <v>0.5020688055302357</v>
      </c>
      <c r="D67" s="278">
        <v>0.51174699085791764</v>
      </c>
      <c r="E67" s="278">
        <v>0.52211833735087743</v>
      </c>
      <c r="F67" s="278">
        <v>0.53263696333475197</v>
      </c>
      <c r="G67" s="278">
        <v>0.54270887417204916</v>
      </c>
      <c r="H67" s="278">
        <v>0.55118883742180214</v>
      </c>
      <c r="I67" s="278">
        <v>0.55870256950265829</v>
      </c>
      <c r="J67" s="279">
        <v>0.56592831397617993</v>
      </c>
      <c r="K67" s="277">
        <v>0.57100788759871313</v>
      </c>
      <c r="L67" s="278">
        <v>0.57608992765019973</v>
      </c>
      <c r="M67" s="278">
        <v>0.58117443633872079</v>
      </c>
      <c r="N67" s="278">
        <v>0.5862614158749978</v>
      </c>
      <c r="O67" s="278">
        <v>0.5913508684723886</v>
      </c>
      <c r="P67" s="278">
        <v>0.59644279634690034</v>
      </c>
      <c r="Q67" s="278">
        <v>0.60153720171718372</v>
      </c>
      <c r="R67" s="278">
        <v>0.606634086804546</v>
      </c>
      <c r="S67" s="279">
        <v>0.61168462774544385</v>
      </c>
      <c r="T67" s="277">
        <v>0.61666305989759251</v>
      </c>
      <c r="U67" s="278">
        <v>0.62164191244401446</v>
      </c>
      <c r="V67" s="278">
        <v>0.62586097439549215</v>
      </c>
      <c r="W67" s="278">
        <v>0.62830649129419891</v>
      </c>
      <c r="X67" s="278">
        <v>0.63075221350173793</v>
      </c>
      <c r="Y67" s="278">
        <v>0.63319814101810701</v>
      </c>
      <c r="Z67" s="278">
        <v>0.63564427384330724</v>
      </c>
      <c r="AA67" s="278">
        <v>0.63809061197733963</v>
      </c>
      <c r="AB67" s="279">
        <v>0.64053715542020206</v>
      </c>
      <c r="AC67" s="277">
        <v>0.64305932313768932</v>
      </c>
      <c r="AD67" s="278">
        <v>0.64565948757694347</v>
      </c>
      <c r="AE67" s="278">
        <v>0.64826107610975714</v>
      </c>
      <c r="AF67" s="278">
        <v>0.6508640895880321</v>
      </c>
      <c r="AG67" s="278">
        <v>0.65346852886434725</v>
      </c>
      <c r="AH67" s="278">
        <v>0.65560705602403979</v>
      </c>
      <c r="AI67" s="278">
        <v>0.65717539795893221</v>
      </c>
      <c r="AJ67" s="278">
        <v>0.65874458741455655</v>
      </c>
      <c r="AK67" s="278">
        <v>0.66031462489841231</v>
      </c>
      <c r="AL67" s="279">
        <v>0.66188551091840186</v>
      </c>
      <c r="AM67" s="277">
        <v>0.66330840873472152</v>
      </c>
      <c r="AN67" s="278">
        <v>0.66473130655104118</v>
      </c>
      <c r="AO67" s="278">
        <v>0.66615420436736072</v>
      </c>
      <c r="AP67" s="278">
        <v>0.66757710218368038</v>
      </c>
      <c r="AQ67" s="278">
        <v>0.66900000000000004</v>
      </c>
      <c r="AR67" s="278">
        <v>0.67020000000000002</v>
      </c>
      <c r="AS67" s="278">
        <v>0.6714</v>
      </c>
      <c r="AT67" s="278">
        <v>0.67260000000000009</v>
      </c>
      <c r="AU67" s="278">
        <v>0.67380000000000007</v>
      </c>
      <c r="AV67" s="279">
        <v>0.67500000000000004</v>
      </c>
      <c r="AW67" s="277">
        <v>0.67580000000000007</v>
      </c>
      <c r="AX67" s="278">
        <v>0.67660000000000009</v>
      </c>
      <c r="AY67" s="278">
        <v>0.6774</v>
      </c>
      <c r="AZ67" s="278">
        <v>0.67820000000000003</v>
      </c>
      <c r="BA67" s="278">
        <v>0.67900000000000005</v>
      </c>
      <c r="BB67" s="278">
        <v>0.6794</v>
      </c>
      <c r="BC67" s="278">
        <v>0.67980000000000007</v>
      </c>
      <c r="BD67" s="278">
        <v>0.68020000000000003</v>
      </c>
      <c r="BE67" s="278">
        <v>0.68060000000000009</v>
      </c>
      <c r="BF67" s="279">
        <v>0.68100000000000005</v>
      </c>
      <c r="BG67" s="279">
        <f t="shared" si="0"/>
        <v>0.68100000000000005</v>
      </c>
      <c r="BH67" s="237"/>
    </row>
    <row r="68" spans="1:60" x14ac:dyDescent="0.2">
      <c r="A68" s="273">
        <v>19</v>
      </c>
      <c r="B68" s="277">
        <v>0.48119882849552248</v>
      </c>
      <c r="C68" s="278">
        <v>0.49091539290654562</v>
      </c>
      <c r="D68" s="278">
        <v>0.50064632519979291</v>
      </c>
      <c r="E68" s="278">
        <v>0.51105575600681041</v>
      </c>
      <c r="F68" s="278">
        <v>0.52061733591065196</v>
      </c>
      <c r="G68" s="278">
        <v>0.5295807071501355</v>
      </c>
      <c r="H68" s="278">
        <v>0.5378952882256105</v>
      </c>
      <c r="I68" s="278">
        <v>0.54601438525003376</v>
      </c>
      <c r="J68" s="279">
        <v>0.55391133054653907</v>
      </c>
      <c r="K68" s="277">
        <v>0.55900722432369832</v>
      </c>
      <c r="L68" s="278">
        <v>0.56410557408359441</v>
      </c>
      <c r="M68" s="278">
        <v>0.56920638202495843</v>
      </c>
      <c r="N68" s="278">
        <v>0.57430965034914705</v>
      </c>
      <c r="O68" s="278">
        <v>0.57941538126014525</v>
      </c>
      <c r="P68" s="278">
        <v>0.58452357696457213</v>
      </c>
      <c r="Q68" s="278">
        <v>0.58963423967168516</v>
      </c>
      <c r="R68" s="278">
        <v>0.59474737159337931</v>
      </c>
      <c r="S68" s="279">
        <v>0.59981646787653187</v>
      </c>
      <c r="T68" s="277">
        <v>0.60481488308227527</v>
      </c>
      <c r="U68" s="278">
        <v>0.60981372521773458</v>
      </c>
      <c r="V68" s="278">
        <v>0.61432725038223457</v>
      </c>
      <c r="W68" s="278">
        <v>0.61689810177341464</v>
      </c>
      <c r="X68" s="278">
        <v>0.61946917159375259</v>
      </c>
      <c r="Y68" s="278">
        <v>0.62204045984324652</v>
      </c>
      <c r="Z68" s="278">
        <v>0.62461196652189843</v>
      </c>
      <c r="AA68" s="278">
        <v>0.62718369162970644</v>
      </c>
      <c r="AB68" s="279">
        <v>0.62975563516667221</v>
      </c>
      <c r="AC68" s="277">
        <v>0.63240352635106689</v>
      </c>
      <c r="AD68" s="278">
        <v>0.63512821010358089</v>
      </c>
      <c r="AE68" s="278">
        <v>0.63785440273135074</v>
      </c>
      <c r="AF68" s="278">
        <v>0.64058210513699387</v>
      </c>
      <c r="AG68" s="278">
        <v>0.64331131822384913</v>
      </c>
      <c r="AH68" s="278">
        <v>0.64569444683286292</v>
      </c>
      <c r="AI68" s="278">
        <v>0.64726760499995151</v>
      </c>
      <c r="AJ68" s="278">
        <v>0.64884162172157245</v>
      </c>
      <c r="AK68" s="278">
        <v>0.65041649751183062</v>
      </c>
      <c r="AL68" s="279">
        <v>0.65199223288523966</v>
      </c>
      <c r="AM68" s="277">
        <v>0.65339378630819178</v>
      </c>
      <c r="AN68" s="278">
        <v>0.65479533973114379</v>
      </c>
      <c r="AO68" s="278">
        <v>0.65619689315409591</v>
      </c>
      <c r="AP68" s="278">
        <v>0.65759844657704791</v>
      </c>
      <c r="AQ68" s="278">
        <v>0.65900000000000003</v>
      </c>
      <c r="AR68" s="278">
        <v>0.66020000000000001</v>
      </c>
      <c r="AS68" s="278">
        <v>0.66139999999999999</v>
      </c>
      <c r="AT68" s="278">
        <v>0.66260000000000008</v>
      </c>
      <c r="AU68" s="278">
        <v>0.66380000000000006</v>
      </c>
      <c r="AV68" s="279">
        <v>0.66500000000000004</v>
      </c>
      <c r="AW68" s="277">
        <v>0.66580000000000006</v>
      </c>
      <c r="AX68" s="278">
        <v>0.66660000000000008</v>
      </c>
      <c r="AY68" s="278">
        <v>0.66739999999999999</v>
      </c>
      <c r="AZ68" s="278">
        <v>0.66820000000000002</v>
      </c>
      <c r="BA68" s="278">
        <v>0.66900000000000004</v>
      </c>
      <c r="BB68" s="278">
        <v>0.66960000000000008</v>
      </c>
      <c r="BC68" s="278">
        <v>0.67020000000000002</v>
      </c>
      <c r="BD68" s="278">
        <v>0.67080000000000006</v>
      </c>
      <c r="BE68" s="278">
        <v>0.6714</v>
      </c>
      <c r="BF68" s="279">
        <v>0.67200000000000004</v>
      </c>
      <c r="BG68" s="279">
        <f t="shared" si="0"/>
        <v>0.67200000000000004</v>
      </c>
      <c r="BH68" s="237"/>
    </row>
    <row r="69" spans="1:60" x14ac:dyDescent="0.2">
      <c r="A69" s="280">
        <v>19.5</v>
      </c>
      <c r="B69" s="290">
        <v>0.469755261383907</v>
      </c>
      <c r="C69" s="291">
        <v>0.47952543845202622</v>
      </c>
      <c r="D69" s="291">
        <v>0.48930967106987849</v>
      </c>
      <c r="E69" s="291">
        <v>0.49975736507400909</v>
      </c>
      <c r="F69" s="291">
        <v>0.50938597746953718</v>
      </c>
      <c r="G69" s="291">
        <v>0.51839020725693663</v>
      </c>
      <c r="H69" s="291">
        <v>0.52704618312335061</v>
      </c>
      <c r="I69" s="291">
        <v>0.53577558334983477</v>
      </c>
      <c r="J69" s="292">
        <v>0.54440175950989322</v>
      </c>
      <c r="K69" s="290">
        <v>0.54939871308439447</v>
      </c>
      <c r="L69" s="291">
        <v>0.5543980573195586</v>
      </c>
      <c r="M69" s="291">
        <v>0.55939979435563691</v>
      </c>
      <c r="N69" s="291">
        <v>0.56440392633543701</v>
      </c>
      <c r="O69" s="291">
        <v>0.56941045540432422</v>
      </c>
      <c r="P69" s="291">
        <v>0.57441938371022849</v>
      </c>
      <c r="Q69" s="291">
        <v>0.57943071340364483</v>
      </c>
      <c r="R69" s="291">
        <v>0.58444444663764106</v>
      </c>
      <c r="S69" s="292">
        <v>0.5894162147258093</v>
      </c>
      <c r="T69" s="290">
        <v>0.5943185297223369</v>
      </c>
      <c r="U69" s="291">
        <v>0.59922126781644391</v>
      </c>
      <c r="V69" s="291">
        <v>0.60389218288216717</v>
      </c>
      <c r="W69" s="291">
        <v>0.60647319510053133</v>
      </c>
      <c r="X69" s="291">
        <v>0.6090544289414378</v>
      </c>
      <c r="Y69" s="291">
        <v>0.61163588440488481</v>
      </c>
      <c r="Z69" s="291">
        <v>0.61421756149087448</v>
      </c>
      <c r="AA69" s="291">
        <v>0.61679946019940446</v>
      </c>
      <c r="AB69" s="292">
        <v>0.61938158053047709</v>
      </c>
      <c r="AC69" s="290">
        <v>0.62203995053791705</v>
      </c>
      <c r="AD69" s="291">
        <v>0.62477389330339028</v>
      </c>
      <c r="AE69" s="291">
        <v>0.6275093653201097</v>
      </c>
      <c r="AF69" s="291">
        <v>0.63024636750288188</v>
      </c>
      <c r="AG69" s="291">
        <v>0.63298490076724256</v>
      </c>
      <c r="AH69" s="291">
        <v>0.63555045854031478</v>
      </c>
      <c r="AI69" s="291">
        <v>0.63712829164624174</v>
      </c>
      <c r="AJ69" s="291">
        <v>0.63870699428212285</v>
      </c>
      <c r="AK69" s="291">
        <v>0.64028656696863595</v>
      </c>
      <c r="AL69" s="292">
        <v>0.64186701022687276</v>
      </c>
      <c r="AM69" s="281">
        <v>0.64329360818149817</v>
      </c>
      <c r="AN69" s="282">
        <v>0.64472020613612369</v>
      </c>
      <c r="AO69" s="282">
        <v>0.64614680409074909</v>
      </c>
      <c r="AP69" s="282">
        <v>0.64757340204537461</v>
      </c>
      <c r="AQ69" s="282">
        <v>0.64900000000000002</v>
      </c>
      <c r="AR69" s="282">
        <v>0.65</v>
      </c>
      <c r="AS69" s="282">
        <v>0.65100000000000002</v>
      </c>
      <c r="AT69" s="282">
        <v>0.65200000000000002</v>
      </c>
      <c r="AU69" s="282">
        <v>0.65300000000000002</v>
      </c>
      <c r="AV69" s="283">
        <v>0.65400000000000003</v>
      </c>
      <c r="AW69" s="281">
        <v>0.65500000000000003</v>
      </c>
      <c r="AX69" s="282">
        <v>0.65600000000000003</v>
      </c>
      <c r="AY69" s="282">
        <v>0.65700000000000003</v>
      </c>
      <c r="AZ69" s="282">
        <v>0.65800000000000003</v>
      </c>
      <c r="BA69" s="282">
        <v>0.65900000000000003</v>
      </c>
      <c r="BB69" s="282">
        <v>0.65960000000000008</v>
      </c>
      <c r="BC69" s="282">
        <v>0.66020000000000001</v>
      </c>
      <c r="BD69" s="282">
        <v>0.66080000000000005</v>
      </c>
      <c r="BE69" s="282">
        <v>0.66139999999999999</v>
      </c>
      <c r="BF69" s="283">
        <v>0.66200000000000003</v>
      </c>
      <c r="BG69" s="283">
        <f t="shared" si="0"/>
        <v>0.66200000000000003</v>
      </c>
      <c r="BH69" s="237"/>
    </row>
    <row r="70" spans="1:60" x14ac:dyDescent="0.2">
      <c r="A70" s="273">
        <v>20</v>
      </c>
      <c r="B70" s="287">
        <v>0.45947378285930224</v>
      </c>
      <c r="C70" s="288">
        <v>0.46929617618740743</v>
      </c>
      <c r="D70" s="288">
        <v>0.47913236122261033</v>
      </c>
      <c r="E70" s="288">
        <v>0.48961852930636834</v>
      </c>
      <c r="F70" s="288">
        <v>0.4993149291366914</v>
      </c>
      <c r="G70" s="288">
        <v>0.50835951951231584</v>
      </c>
      <c r="H70" s="288">
        <v>0.51661431990005946</v>
      </c>
      <c r="I70" s="288">
        <v>0.52421412607715701</v>
      </c>
      <c r="J70" s="289">
        <v>0.5318996681863819</v>
      </c>
      <c r="K70" s="287">
        <v>0.53702879885765786</v>
      </c>
      <c r="L70" s="288">
        <v>0.5421603644603451</v>
      </c>
      <c r="M70" s="288">
        <v>0.547294367174332</v>
      </c>
      <c r="N70" s="288">
        <v>0.55243080918210408</v>
      </c>
      <c r="O70" s="288">
        <v>0.55756969266875733</v>
      </c>
      <c r="P70" s="288">
        <v>0.56271101982199534</v>
      </c>
      <c r="Q70" s="288">
        <v>0.56785479283213991</v>
      </c>
      <c r="R70" s="288">
        <v>0.57300101389212643</v>
      </c>
      <c r="S70" s="289">
        <v>0.57810745279641884</v>
      </c>
      <c r="T70" s="287">
        <v>0.58314582281330873</v>
      </c>
      <c r="U70" s="288">
        <v>0.58818463195497772</v>
      </c>
      <c r="V70" s="288">
        <v>0.59322388022142614</v>
      </c>
      <c r="W70" s="288">
        <v>0.59569841491581577</v>
      </c>
      <c r="X70" s="288">
        <v>0.59817316406649201</v>
      </c>
      <c r="Y70" s="288">
        <v>0.60064812767345566</v>
      </c>
      <c r="Z70" s="288">
        <v>0.60312330573670803</v>
      </c>
      <c r="AA70" s="288">
        <v>0.6055986982562479</v>
      </c>
      <c r="AB70" s="289">
        <v>0.60807430523207429</v>
      </c>
      <c r="AC70" s="287">
        <v>0.61062627481537368</v>
      </c>
      <c r="AD70" s="288">
        <v>0.61325241841532563</v>
      </c>
      <c r="AE70" s="288">
        <v>0.61588004423346854</v>
      </c>
      <c r="AF70" s="288">
        <v>0.61850915315647281</v>
      </c>
      <c r="AG70" s="288">
        <v>0.6211397460717164</v>
      </c>
      <c r="AH70" s="288">
        <v>0.62377182386728591</v>
      </c>
      <c r="AI70" s="288">
        <v>0.62547062841323842</v>
      </c>
      <c r="AJ70" s="288">
        <v>0.62717038061283925</v>
      </c>
      <c r="AK70" s="288">
        <v>0.62887108103354616</v>
      </c>
      <c r="AL70" s="289">
        <v>0.63057273024326832</v>
      </c>
      <c r="AM70" s="287">
        <v>0.63245818419461464</v>
      </c>
      <c r="AN70" s="288">
        <v>0.63434363814596095</v>
      </c>
      <c r="AO70" s="288">
        <v>0.63622909209730738</v>
      </c>
      <c r="AP70" s="288">
        <v>0.6381145460486537</v>
      </c>
      <c r="AQ70" s="288">
        <v>0.64</v>
      </c>
      <c r="AR70" s="288">
        <v>0.64119999999999999</v>
      </c>
      <c r="AS70" s="288">
        <v>0.64239999999999997</v>
      </c>
      <c r="AT70" s="288">
        <v>0.64360000000000006</v>
      </c>
      <c r="AU70" s="288">
        <v>0.64480000000000004</v>
      </c>
      <c r="AV70" s="289">
        <v>0.64600000000000002</v>
      </c>
      <c r="AW70" s="287">
        <v>0.64700000000000002</v>
      </c>
      <c r="AX70" s="288">
        <v>0.64800000000000002</v>
      </c>
      <c r="AY70" s="288">
        <v>0.64900000000000002</v>
      </c>
      <c r="AZ70" s="288">
        <v>0.65</v>
      </c>
      <c r="BA70" s="288">
        <v>0.65100000000000002</v>
      </c>
      <c r="BB70" s="288">
        <v>0.65160000000000007</v>
      </c>
      <c r="BC70" s="288">
        <v>0.6522</v>
      </c>
      <c r="BD70" s="288">
        <v>0.65280000000000005</v>
      </c>
      <c r="BE70" s="288">
        <v>0.65339999999999998</v>
      </c>
      <c r="BF70" s="289">
        <v>0.65400000000000003</v>
      </c>
      <c r="BG70" s="289">
        <f t="shared" si="0"/>
        <v>0.65400000000000003</v>
      </c>
      <c r="BH70" s="237"/>
    </row>
    <row r="71" spans="1:60" x14ac:dyDescent="0.2">
      <c r="A71" s="273">
        <v>21</v>
      </c>
      <c r="B71" s="277">
        <v>0.43924658998933391</v>
      </c>
      <c r="C71" s="278">
        <v>0.44828058387086311</v>
      </c>
      <c r="D71" s="278">
        <v>0.45880885325322496</v>
      </c>
      <c r="E71" s="278">
        <v>0.46995925123465238</v>
      </c>
      <c r="F71" s="278">
        <v>0.47951084853458731</v>
      </c>
      <c r="G71" s="278">
        <v>0.48804967314768843</v>
      </c>
      <c r="H71" s="278">
        <v>0.49612500590275477</v>
      </c>
      <c r="I71" s="278">
        <v>0.50378257003796301</v>
      </c>
      <c r="J71" s="279">
        <v>0.51152258366236225</v>
      </c>
      <c r="K71" s="277">
        <v>0.51683797443391366</v>
      </c>
      <c r="L71" s="278">
        <v>0.52188598336530845</v>
      </c>
      <c r="M71" s="278">
        <v>0.52693635347607459</v>
      </c>
      <c r="N71" s="278">
        <v>0.5319890868807009</v>
      </c>
      <c r="O71" s="278">
        <v>0.53704418569620438</v>
      </c>
      <c r="P71" s="278">
        <v>0.54210165204212513</v>
      </c>
      <c r="Q71" s="278">
        <v>0.54716148804054321</v>
      </c>
      <c r="R71" s="278">
        <v>0.55222369581607023</v>
      </c>
      <c r="S71" s="279">
        <v>0.55725000235419697</v>
      </c>
      <c r="T71" s="277">
        <v>0.56221072473657008</v>
      </c>
      <c r="U71" s="278">
        <v>0.56717188683882536</v>
      </c>
      <c r="V71" s="278">
        <v>0.57213348866096103</v>
      </c>
      <c r="W71" s="278">
        <v>0.5752149362024388</v>
      </c>
      <c r="X71" s="278">
        <v>0.57782648651228496</v>
      </c>
      <c r="Y71" s="278">
        <v>0.58043826715159397</v>
      </c>
      <c r="Z71" s="278">
        <v>0.5830502781203637</v>
      </c>
      <c r="AA71" s="278">
        <v>0.58566251941859593</v>
      </c>
      <c r="AB71" s="279">
        <v>0.58827499104628889</v>
      </c>
      <c r="AC71" s="277">
        <v>0.59096432563484702</v>
      </c>
      <c r="AD71" s="278">
        <v>0.59372557508860691</v>
      </c>
      <c r="AE71" s="278">
        <v>0.59648841459695656</v>
      </c>
      <c r="AF71" s="278">
        <v>0.59925284511107468</v>
      </c>
      <c r="AG71" s="278">
        <v>0.60201886758290013</v>
      </c>
      <c r="AH71" s="278">
        <v>0.60478648296513038</v>
      </c>
      <c r="AI71" s="278">
        <v>0.6067311531845887</v>
      </c>
      <c r="AJ71" s="278">
        <v>0.60832345559185519</v>
      </c>
      <c r="AK71" s="278">
        <v>0.60991666073805162</v>
      </c>
      <c r="AL71" s="279">
        <v>0.61151076916384894</v>
      </c>
      <c r="AM71" s="277">
        <v>0.61320861533107918</v>
      </c>
      <c r="AN71" s="278">
        <v>0.61490646149830941</v>
      </c>
      <c r="AO71" s="278">
        <v>0.61660430766553953</v>
      </c>
      <c r="AP71" s="278">
        <v>0.61830215383276976</v>
      </c>
      <c r="AQ71" s="278">
        <v>0.62</v>
      </c>
      <c r="AR71" s="278">
        <v>0.62139999999999995</v>
      </c>
      <c r="AS71" s="278">
        <v>0.62280000000000002</v>
      </c>
      <c r="AT71" s="278">
        <v>0.62419999999999998</v>
      </c>
      <c r="AU71" s="278">
        <v>0.62560000000000004</v>
      </c>
      <c r="AV71" s="279">
        <v>0.627</v>
      </c>
      <c r="AW71" s="277">
        <v>0.628</v>
      </c>
      <c r="AX71" s="278">
        <v>0.629</v>
      </c>
      <c r="AY71" s="278">
        <v>0.63</v>
      </c>
      <c r="AZ71" s="278">
        <v>0.63100000000000001</v>
      </c>
      <c r="BA71" s="278">
        <v>0.63200000000000001</v>
      </c>
      <c r="BB71" s="278">
        <v>0.63280000000000003</v>
      </c>
      <c r="BC71" s="278">
        <v>0.63360000000000005</v>
      </c>
      <c r="BD71" s="278">
        <v>0.63439999999999996</v>
      </c>
      <c r="BE71" s="278">
        <v>0.63519999999999999</v>
      </c>
      <c r="BF71" s="279">
        <v>0.63600000000000001</v>
      </c>
      <c r="BG71" s="279">
        <f t="shared" si="0"/>
        <v>0.63600000000000001</v>
      </c>
      <c r="BH71" s="237"/>
    </row>
    <row r="72" spans="1:60" x14ac:dyDescent="0.2">
      <c r="A72" s="273">
        <v>22</v>
      </c>
      <c r="B72" s="277">
        <v>0.42114533790185849</v>
      </c>
      <c r="C72" s="278">
        <v>0.42908999907994377</v>
      </c>
      <c r="D72" s="278">
        <v>0.43913511025639584</v>
      </c>
      <c r="E72" s="278">
        <v>0.44977685290613628</v>
      </c>
      <c r="F72" s="278">
        <v>0.45934618898027202</v>
      </c>
      <c r="G72" s="278">
        <v>0.46796178445225872</v>
      </c>
      <c r="H72" s="278">
        <v>0.47620833661752637</v>
      </c>
      <c r="I72" s="278">
        <v>0.48392383184344917</v>
      </c>
      <c r="J72" s="279">
        <v>0.49171858025119669</v>
      </c>
      <c r="K72" s="277">
        <v>0.49734118643673891</v>
      </c>
      <c r="L72" s="278">
        <v>0.50242232449715962</v>
      </c>
      <c r="M72" s="278">
        <v>0.5075058022349489</v>
      </c>
      <c r="N72" s="278">
        <v>0.51259162174533812</v>
      </c>
      <c r="O72" s="278">
        <v>0.51767978512606494</v>
      </c>
      <c r="P72" s="278">
        <v>0.52277029447737111</v>
      </c>
      <c r="Q72" s="278">
        <v>0.52786315190200916</v>
      </c>
      <c r="R72" s="278">
        <v>0.53295835950524351</v>
      </c>
      <c r="S72" s="279">
        <v>0.53802125601246475</v>
      </c>
      <c r="T72" s="277">
        <v>0.54302088147365768</v>
      </c>
      <c r="U72" s="278">
        <v>0.54802095640048121</v>
      </c>
      <c r="V72" s="278">
        <v>0.55302148079293634</v>
      </c>
      <c r="W72" s="278">
        <v>0.55660074139076365</v>
      </c>
      <c r="X72" s="278">
        <v>0.55923247138904764</v>
      </c>
      <c r="Y72" s="278">
        <v>0.5618644368217105</v>
      </c>
      <c r="Z72" s="278">
        <v>0.56449663768875025</v>
      </c>
      <c r="AA72" s="278">
        <v>0.56712907399016887</v>
      </c>
      <c r="AB72" s="279">
        <v>0.5697617457259645</v>
      </c>
      <c r="AC72" s="277">
        <v>0.57247172754252584</v>
      </c>
      <c r="AD72" s="278">
        <v>0.57525145144702849</v>
      </c>
      <c r="AE72" s="278">
        <v>0.57803280583238215</v>
      </c>
      <c r="AF72" s="278">
        <v>0.58081579167394937</v>
      </c>
      <c r="AG72" s="278">
        <v>0.58360040994786933</v>
      </c>
      <c r="AH72" s="278">
        <v>0.58638666163106312</v>
      </c>
      <c r="AI72" s="278">
        <v>0.58869959844874842</v>
      </c>
      <c r="AJ72" s="278">
        <v>0.59030124871792133</v>
      </c>
      <c r="AK72" s="278">
        <v>0.59190382351205773</v>
      </c>
      <c r="AL72" s="279">
        <v>0.59350732338487699</v>
      </c>
      <c r="AM72" s="277">
        <v>0.59520585870790155</v>
      </c>
      <c r="AN72" s="278">
        <v>0.59690439403092621</v>
      </c>
      <c r="AO72" s="278">
        <v>0.59860292935395076</v>
      </c>
      <c r="AP72" s="278">
        <v>0.60030146467697543</v>
      </c>
      <c r="AQ72" s="278">
        <v>0.60199999999999998</v>
      </c>
      <c r="AR72" s="278">
        <v>0.60339999999999994</v>
      </c>
      <c r="AS72" s="278">
        <v>0.6048</v>
      </c>
      <c r="AT72" s="278">
        <v>0.60619999999999996</v>
      </c>
      <c r="AU72" s="278">
        <v>0.60760000000000003</v>
      </c>
      <c r="AV72" s="279">
        <v>0.60899999999999999</v>
      </c>
      <c r="AW72" s="277">
        <v>0.61</v>
      </c>
      <c r="AX72" s="278">
        <v>0.61099999999999999</v>
      </c>
      <c r="AY72" s="278">
        <v>0.61199999999999999</v>
      </c>
      <c r="AZ72" s="278">
        <v>0.61299999999999999</v>
      </c>
      <c r="BA72" s="278">
        <v>0.61399999999999999</v>
      </c>
      <c r="BB72" s="278">
        <v>0.61480000000000001</v>
      </c>
      <c r="BC72" s="278">
        <v>0.61560000000000004</v>
      </c>
      <c r="BD72" s="278">
        <v>0.61639999999999995</v>
      </c>
      <c r="BE72" s="278">
        <v>0.61719999999999997</v>
      </c>
      <c r="BF72" s="279">
        <v>0.61799999999999999</v>
      </c>
      <c r="BG72" s="279">
        <f t="shared" si="0"/>
        <v>0.61799999999999999</v>
      </c>
      <c r="BH72" s="237"/>
    </row>
    <row r="73" spans="1:60" x14ac:dyDescent="0.2">
      <c r="A73" s="273">
        <v>23</v>
      </c>
      <c r="B73" s="277">
        <v>0.40310188862961877</v>
      </c>
      <c r="C73" s="278">
        <v>0.41204079918417019</v>
      </c>
      <c r="D73" s="278">
        <v>0.42099477850120237</v>
      </c>
      <c r="E73" s="278">
        <v>0.43052279163117124</v>
      </c>
      <c r="F73" s="278">
        <v>0.43944183969377065</v>
      </c>
      <c r="G73" s="278">
        <v>0.44753843876083493</v>
      </c>
      <c r="H73" s="278">
        <v>0.45555336451754608</v>
      </c>
      <c r="I73" s="278">
        <v>0.46392253084396712</v>
      </c>
      <c r="J73" s="279">
        <v>0.47236790345879798</v>
      </c>
      <c r="K73" s="277">
        <v>0.47831419951667598</v>
      </c>
      <c r="L73" s="278">
        <v>0.48319027795099856</v>
      </c>
      <c r="M73" s="278">
        <v>0.48806856673426458</v>
      </c>
      <c r="N73" s="278">
        <v>0.49294906784589071</v>
      </c>
      <c r="O73" s="278">
        <v>0.49783178326765798</v>
      </c>
      <c r="P73" s="278">
        <v>0.50271671498371462</v>
      </c>
      <c r="Q73" s="278">
        <v>0.50760386498058208</v>
      </c>
      <c r="R73" s="278">
        <v>0.51249323524715473</v>
      </c>
      <c r="S73" s="279">
        <v>0.51735364593668376</v>
      </c>
      <c r="T73" s="277">
        <v>0.52215321929764258</v>
      </c>
      <c r="U73" s="278">
        <v>0.52695322903104025</v>
      </c>
      <c r="V73" s="278">
        <v>0.53175367513687855</v>
      </c>
      <c r="W73" s="278">
        <v>0.53569477109000119</v>
      </c>
      <c r="X73" s="278">
        <v>0.53834648617051195</v>
      </c>
      <c r="Y73" s="278">
        <v>0.54099844125586349</v>
      </c>
      <c r="Z73" s="278">
        <v>0.54365063634605815</v>
      </c>
      <c r="AA73" s="278">
        <v>0.54630307144109336</v>
      </c>
      <c r="AB73" s="279">
        <v>0.54895574654097168</v>
      </c>
      <c r="AC73" s="277">
        <v>0.55168566078496983</v>
      </c>
      <c r="AD73" s="278">
        <v>0.55448286959933402</v>
      </c>
      <c r="AE73" s="278">
        <v>0.55728174866902958</v>
      </c>
      <c r="AF73" s="278">
        <v>0.5600822989932126</v>
      </c>
      <c r="AG73" s="278">
        <v>0.56288452157183522</v>
      </c>
      <c r="AH73" s="278">
        <v>0.56568841740564768</v>
      </c>
      <c r="AI73" s="278">
        <v>0.56838627284593768</v>
      </c>
      <c r="AJ73" s="278">
        <v>0.57011601025464831</v>
      </c>
      <c r="AK73" s="278">
        <v>0.57184676648958233</v>
      </c>
      <c r="AL73" s="279">
        <v>0.57357854216093895</v>
      </c>
      <c r="AM73" s="277">
        <v>0.57566283372875116</v>
      </c>
      <c r="AN73" s="278">
        <v>0.57774712529656336</v>
      </c>
      <c r="AO73" s="278">
        <v>0.57983141686437556</v>
      </c>
      <c r="AP73" s="278">
        <v>0.58191570843218776</v>
      </c>
      <c r="AQ73" s="278">
        <v>0.58399999999999996</v>
      </c>
      <c r="AR73" s="278">
        <v>0.58560000000000001</v>
      </c>
      <c r="AS73" s="278">
        <v>0.58719999999999994</v>
      </c>
      <c r="AT73" s="278">
        <v>0.58879999999999999</v>
      </c>
      <c r="AU73" s="278">
        <v>0.59039999999999992</v>
      </c>
      <c r="AV73" s="279">
        <v>0.59199999999999997</v>
      </c>
      <c r="AW73" s="277">
        <v>0.59319999999999995</v>
      </c>
      <c r="AX73" s="278">
        <v>0.59439999999999993</v>
      </c>
      <c r="AY73" s="278">
        <v>0.59560000000000002</v>
      </c>
      <c r="AZ73" s="278">
        <v>0.5968</v>
      </c>
      <c r="BA73" s="278">
        <v>0.59799999999999998</v>
      </c>
      <c r="BB73" s="278">
        <v>0.5988</v>
      </c>
      <c r="BC73" s="278">
        <v>0.59960000000000002</v>
      </c>
      <c r="BD73" s="278">
        <v>0.60039999999999993</v>
      </c>
      <c r="BE73" s="278">
        <v>0.60119999999999996</v>
      </c>
      <c r="BF73" s="279">
        <v>0.60199999999999998</v>
      </c>
      <c r="BG73" s="279">
        <f t="shared" si="0"/>
        <v>0.60199999999999998</v>
      </c>
      <c r="BH73" s="237"/>
    </row>
    <row r="74" spans="1:60" x14ac:dyDescent="0.2">
      <c r="A74" s="280">
        <v>24</v>
      </c>
      <c r="B74" s="281">
        <v>0.38423389800503854</v>
      </c>
      <c r="C74" s="282">
        <v>0.39440035087901792</v>
      </c>
      <c r="D74" s="282">
        <v>0.40284678385060602</v>
      </c>
      <c r="E74" s="282">
        <v>0.41184371142674098</v>
      </c>
      <c r="F74" s="282">
        <v>0.42063067735357212</v>
      </c>
      <c r="G74" s="282">
        <v>0.4287994139947689</v>
      </c>
      <c r="H74" s="282">
        <v>0.43684116256712052</v>
      </c>
      <c r="I74" s="282">
        <v>0.44467294049239442</v>
      </c>
      <c r="J74" s="283">
        <v>0.45257765030413966</v>
      </c>
      <c r="K74" s="281">
        <v>0.45868400272549037</v>
      </c>
      <c r="L74" s="282">
        <v>0.46359156084138786</v>
      </c>
      <c r="M74" s="282">
        <v>0.46850130753050268</v>
      </c>
      <c r="N74" s="282">
        <v>0.47341324475275148</v>
      </c>
      <c r="O74" s="282">
        <v>0.47832737447039231</v>
      </c>
      <c r="P74" s="282">
        <v>0.48324369864802486</v>
      </c>
      <c r="Q74" s="282">
        <v>0.4881622192526</v>
      </c>
      <c r="R74" s="282">
        <v>0.49308293825341848</v>
      </c>
      <c r="S74" s="283">
        <v>0.49797786502764119</v>
      </c>
      <c r="T74" s="281">
        <v>0.50281428254493143</v>
      </c>
      <c r="U74" s="282">
        <v>0.50765114381081977</v>
      </c>
      <c r="V74" s="282">
        <v>0.51248844882530731</v>
      </c>
      <c r="W74" s="282">
        <v>0.51689292606612358</v>
      </c>
      <c r="X74" s="282">
        <v>0.5195646411543442</v>
      </c>
      <c r="Y74" s="282">
        <v>0.52223660030429264</v>
      </c>
      <c r="Z74" s="282">
        <v>0.52490880351597025</v>
      </c>
      <c r="AA74" s="282">
        <v>0.52758125078937779</v>
      </c>
      <c r="AB74" s="283">
        <v>0.53025394212451338</v>
      </c>
      <c r="AC74" s="281">
        <v>0.53300387872121402</v>
      </c>
      <c r="AD74" s="282">
        <v>0.5358189137360273</v>
      </c>
      <c r="AE74" s="282">
        <v>0.53863565859837392</v>
      </c>
      <c r="AF74" s="282">
        <v>0.5414541143310958</v>
      </c>
      <c r="AG74" s="282">
        <v>0.54427428195784855</v>
      </c>
      <c r="AH74" s="282">
        <v>0.54709616250310322</v>
      </c>
      <c r="AI74" s="282">
        <v>0.54991975699215212</v>
      </c>
      <c r="AJ74" s="282">
        <v>0.55187627399597627</v>
      </c>
      <c r="AK74" s="282">
        <v>0.55361670216827208</v>
      </c>
      <c r="AL74" s="283">
        <v>0.55535817286100619</v>
      </c>
      <c r="AM74" s="281">
        <v>0.55728653828880492</v>
      </c>
      <c r="AN74" s="282">
        <v>0.55921490371660365</v>
      </c>
      <c r="AO74" s="282">
        <v>0.56114326914440249</v>
      </c>
      <c r="AP74" s="282">
        <v>0.56307163457220122</v>
      </c>
      <c r="AQ74" s="282">
        <v>0.56499999999999995</v>
      </c>
      <c r="AR74" s="282">
        <v>0.56659999999999999</v>
      </c>
      <c r="AS74" s="282">
        <v>0.56819999999999993</v>
      </c>
      <c r="AT74" s="282">
        <v>0.56979999999999997</v>
      </c>
      <c r="AU74" s="282">
        <v>0.57139999999999991</v>
      </c>
      <c r="AV74" s="283">
        <v>0.57299999999999995</v>
      </c>
      <c r="AW74" s="281">
        <v>0.57439999999999991</v>
      </c>
      <c r="AX74" s="282">
        <v>0.57579999999999998</v>
      </c>
      <c r="AY74" s="282">
        <v>0.57719999999999994</v>
      </c>
      <c r="AZ74" s="282">
        <v>0.5786</v>
      </c>
      <c r="BA74" s="282">
        <v>0.57999999999999996</v>
      </c>
      <c r="BB74" s="282">
        <v>0.58099999999999996</v>
      </c>
      <c r="BC74" s="282">
        <v>0.58199999999999996</v>
      </c>
      <c r="BD74" s="282">
        <v>0.58299999999999996</v>
      </c>
      <c r="BE74" s="282">
        <v>0.58399999999999996</v>
      </c>
      <c r="BF74" s="283">
        <v>0.58499999999999996</v>
      </c>
      <c r="BG74" s="283">
        <f t="shared" si="0"/>
        <v>0.58499999999999996</v>
      </c>
      <c r="BH74" s="237"/>
    </row>
    <row r="75" spans="1:60" x14ac:dyDescent="0.2">
      <c r="A75" s="273">
        <v>25</v>
      </c>
      <c r="B75" s="284">
        <v>0.36847901032105745</v>
      </c>
      <c r="C75" s="285">
        <v>0.37760611539601086</v>
      </c>
      <c r="D75" s="285">
        <v>0.38553500902622867</v>
      </c>
      <c r="E75" s="285">
        <v>0.39399194240141178</v>
      </c>
      <c r="F75" s="285">
        <v>0.40257171044442197</v>
      </c>
      <c r="G75" s="285">
        <v>0.41081254390356253</v>
      </c>
      <c r="H75" s="285">
        <v>0.41897700400632931</v>
      </c>
      <c r="I75" s="285">
        <v>0.42626216829412433</v>
      </c>
      <c r="J75" s="286">
        <v>0.43361712861443263</v>
      </c>
      <c r="K75" s="284">
        <v>0.43976466515578405</v>
      </c>
      <c r="L75" s="285">
        <v>0.44470399031020841</v>
      </c>
      <c r="M75" s="285">
        <v>0.44964548181055819</v>
      </c>
      <c r="N75" s="285">
        <v>0.45458914159684594</v>
      </c>
      <c r="O75" s="285">
        <v>0.45953497161139772</v>
      </c>
      <c r="P75" s="285">
        <v>0.46448297379886555</v>
      </c>
      <c r="Q75" s="285">
        <v>0.46943315010621989</v>
      </c>
      <c r="R75" s="285">
        <v>0.47438550248276201</v>
      </c>
      <c r="S75" s="286">
        <v>0.47931499156886326</v>
      </c>
      <c r="T75" s="284">
        <v>0.48418821334281148</v>
      </c>
      <c r="U75" s="285">
        <v>0.48906188534435752</v>
      </c>
      <c r="V75" s="285">
        <v>0.49393600757350326</v>
      </c>
      <c r="W75" s="285">
        <v>0.49881058003024681</v>
      </c>
      <c r="X75" s="285">
        <v>0.5015022575372603</v>
      </c>
      <c r="Y75" s="285">
        <v>0.50419418266945215</v>
      </c>
      <c r="Z75" s="285">
        <v>0.50688635542682425</v>
      </c>
      <c r="AA75" s="285">
        <v>0.50957877580937461</v>
      </c>
      <c r="AB75" s="286">
        <v>0.51227144381710543</v>
      </c>
      <c r="AC75" s="284">
        <v>0.51504126006431561</v>
      </c>
      <c r="AD75" s="285">
        <v>0.51787406417368742</v>
      </c>
      <c r="AE75" s="285">
        <v>0.52070861732889218</v>
      </c>
      <c r="AF75" s="285">
        <v>0.52354492057621804</v>
      </c>
      <c r="AG75" s="285">
        <v>0.52638297496278841</v>
      </c>
      <c r="AH75" s="285">
        <v>0.52922278153656288</v>
      </c>
      <c r="AI75" s="285">
        <v>0.53206434134633618</v>
      </c>
      <c r="AJ75" s="285">
        <v>0.53429959854115894</v>
      </c>
      <c r="AK75" s="285">
        <v>0.5359279786062866</v>
      </c>
      <c r="AL75" s="286">
        <v>0.53755734725551774</v>
      </c>
      <c r="AM75" s="287">
        <v>0.53944587780441422</v>
      </c>
      <c r="AN75" s="288">
        <v>0.5413344083533107</v>
      </c>
      <c r="AO75" s="288">
        <v>0.54322293890220708</v>
      </c>
      <c r="AP75" s="288">
        <v>0.54511146945110356</v>
      </c>
      <c r="AQ75" s="288">
        <v>0.54700000000000004</v>
      </c>
      <c r="AR75" s="288">
        <v>0.54860000000000009</v>
      </c>
      <c r="AS75" s="288">
        <v>0.55020000000000002</v>
      </c>
      <c r="AT75" s="288">
        <v>0.55180000000000007</v>
      </c>
      <c r="AU75" s="288">
        <v>0.5534</v>
      </c>
      <c r="AV75" s="289">
        <v>0.55500000000000005</v>
      </c>
      <c r="AW75" s="287">
        <v>0.55620000000000003</v>
      </c>
      <c r="AX75" s="288">
        <v>0.55740000000000001</v>
      </c>
      <c r="AY75" s="288">
        <v>0.5586000000000001</v>
      </c>
      <c r="AZ75" s="288">
        <v>0.55980000000000008</v>
      </c>
      <c r="BA75" s="288">
        <v>0.56100000000000005</v>
      </c>
      <c r="BB75" s="288">
        <v>0.56200000000000006</v>
      </c>
      <c r="BC75" s="288">
        <v>0.56300000000000006</v>
      </c>
      <c r="BD75" s="288">
        <v>0.56399999999999995</v>
      </c>
      <c r="BE75" s="288">
        <v>0.56499999999999995</v>
      </c>
      <c r="BF75" s="289">
        <v>0.56599999999999995</v>
      </c>
      <c r="BG75" s="289">
        <f t="shared" si="0"/>
        <v>0.56599999999999995</v>
      </c>
      <c r="BH75" s="237"/>
    </row>
    <row r="76" spans="1:60" x14ac:dyDescent="0.2">
      <c r="A76" s="273">
        <v>26</v>
      </c>
      <c r="B76" s="277">
        <v>0.35242863042050232</v>
      </c>
      <c r="C76" s="278">
        <v>0.36164910305978587</v>
      </c>
      <c r="D76" s="278">
        <v>0.36970970431431815</v>
      </c>
      <c r="E76" s="278">
        <v>0.37822804479505107</v>
      </c>
      <c r="F76" s="278">
        <v>0.3865973400492706</v>
      </c>
      <c r="G76" s="278">
        <v>0.39429922894665415</v>
      </c>
      <c r="H76" s="278">
        <v>0.40192792214582307</v>
      </c>
      <c r="I76" s="278">
        <v>0.40931577397348851</v>
      </c>
      <c r="J76" s="279">
        <v>0.41672191037639578</v>
      </c>
      <c r="K76" s="277">
        <v>0.42310640478342038</v>
      </c>
      <c r="L76" s="278">
        <v>0.42795607988963313</v>
      </c>
      <c r="M76" s="278">
        <v>0.4328078466136423</v>
      </c>
      <c r="N76" s="278">
        <v>0.43766170682853828</v>
      </c>
      <c r="O76" s="278">
        <v>0.44251766240965013</v>
      </c>
      <c r="P76" s="278">
        <v>0.44737571523454528</v>
      </c>
      <c r="Q76" s="278">
        <v>0.45223586718303632</v>
      </c>
      <c r="R76" s="278">
        <v>0.45709812013718243</v>
      </c>
      <c r="S76" s="279">
        <v>0.46194013626056091</v>
      </c>
      <c r="T76" s="277">
        <v>0.46672794617254831</v>
      </c>
      <c r="U76" s="278">
        <v>0.47151620053313376</v>
      </c>
      <c r="V76" s="278">
        <v>0.47630489934231524</v>
      </c>
      <c r="W76" s="278">
        <v>0.4810940426000947</v>
      </c>
      <c r="X76" s="278">
        <v>0.48412344809856733</v>
      </c>
      <c r="Y76" s="278">
        <v>0.48671306787655244</v>
      </c>
      <c r="Z76" s="278">
        <v>0.48930292697301297</v>
      </c>
      <c r="AA76" s="278">
        <v>0.49189302538794871</v>
      </c>
      <c r="AB76" s="279">
        <v>0.49448336312135982</v>
      </c>
      <c r="AC76" s="277">
        <v>0.4971505457493926</v>
      </c>
      <c r="AD76" s="278">
        <v>0.49987855008339555</v>
      </c>
      <c r="AE76" s="278">
        <v>0.5026082637723418</v>
      </c>
      <c r="AF76" s="278">
        <v>0.50533968783877514</v>
      </c>
      <c r="AG76" s="278">
        <v>0.50807282330605652</v>
      </c>
      <c r="AH76" s="278">
        <v>0.51080767119836545</v>
      </c>
      <c r="AI76" s="278">
        <v>0.51354423254069537</v>
      </c>
      <c r="AJ76" s="278">
        <v>0.51606190623308446</v>
      </c>
      <c r="AK76" s="278">
        <v>0.51769846269051445</v>
      </c>
      <c r="AL76" s="279">
        <v>0.51933602831011783</v>
      </c>
      <c r="AM76" s="277">
        <v>0.52126882264809427</v>
      </c>
      <c r="AN76" s="278">
        <v>0.52320161698607071</v>
      </c>
      <c r="AO76" s="278">
        <v>0.52513441132404715</v>
      </c>
      <c r="AP76" s="278">
        <v>0.52706720566202359</v>
      </c>
      <c r="AQ76" s="278">
        <v>0.52900000000000003</v>
      </c>
      <c r="AR76" s="278">
        <v>0.53039999999999998</v>
      </c>
      <c r="AS76" s="278">
        <v>0.53180000000000005</v>
      </c>
      <c r="AT76" s="278">
        <v>0.53320000000000001</v>
      </c>
      <c r="AU76" s="278">
        <v>0.53460000000000008</v>
      </c>
      <c r="AV76" s="279">
        <v>0.53600000000000003</v>
      </c>
      <c r="AW76" s="277">
        <v>0.53700000000000003</v>
      </c>
      <c r="AX76" s="278">
        <v>0.53800000000000003</v>
      </c>
      <c r="AY76" s="278">
        <v>0.53900000000000003</v>
      </c>
      <c r="AZ76" s="278">
        <v>0.54</v>
      </c>
      <c r="BA76" s="278">
        <v>0.54100000000000004</v>
      </c>
      <c r="BB76" s="278">
        <v>0.54200000000000004</v>
      </c>
      <c r="BC76" s="278">
        <v>0.54300000000000004</v>
      </c>
      <c r="BD76" s="278">
        <v>0.54400000000000004</v>
      </c>
      <c r="BE76" s="278">
        <v>0.54500000000000004</v>
      </c>
      <c r="BF76" s="279">
        <v>0.54600000000000004</v>
      </c>
      <c r="BG76" s="279">
        <f t="shared" si="0"/>
        <v>0.54600000000000004</v>
      </c>
      <c r="BH76" s="237"/>
    </row>
    <row r="77" spans="1:60" x14ac:dyDescent="0.2">
      <c r="A77" s="273">
        <v>27</v>
      </c>
      <c r="B77" s="277">
        <v>0.33707013332630226</v>
      </c>
      <c r="C77" s="278">
        <v>0.34515143792918729</v>
      </c>
      <c r="D77" s="278">
        <v>0.35324751833663726</v>
      </c>
      <c r="E77" s="278">
        <v>0.36182783265868873</v>
      </c>
      <c r="F77" s="278">
        <v>0.3700565239334816</v>
      </c>
      <c r="G77" s="278">
        <v>0.37721073161507235</v>
      </c>
      <c r="H77" s="278">
        <v>0.38429504833428618</v>
      </c>
      <c r="I77" s="278">
        <v>0.39168811038843299</v>
      </c>
      <c r="J77" s="279">
        <v>0.39914539165793739</v>
      </c>
      <c r="K77" s="277">
        <v>0.40579440634606706</v>
      </c>
      <c r="L77" s="278">
        <v>0.41055252883118137</v>
      </c>
      <c r="M77" s="278">
        <v>0.41531266857369065</v>
      </c>
      <c r="N77" s="278">
        <v>0.42007482738009289</v>
      </c>
      <c r="O77" s="278">
        <v>0.42483900705904382</v>
      </c>
      <c r="P77" s="278">
        <v>0.42960520942136282</v>
      </c>
      <c r="Q77" s="278">
        <v>0.43437343628003067</v>
      </c>
      <c r="R77" s="278">
        <v>0.43914368945019749</v>
      </c>
      <c r="S77" s="279">
        <v>0.44389619188089202</v>
      </c>
      <c r="T77" s="277">
        <v>0.44859662788585908</v>
      </c>
      <c r="U77" s="278">
        <v>0.45329750149300785</v>
      </c>
      <c r="V77" s="278">
        <v>0.45799881270234039</v>
      </c>
      <c r="W77" s="278">
        <v>0.46270056151385475</v>
      </c>
      <c r="X77" s="278">
        <v>0.4662202917702532</v>
      </c>
      <c r="Y77" s="278">
        <v>0.46895200812112786</v>
      </c>
      <c r="Z77" s="278">
        <v>0.4716839778206337</v>
      </c>
      <c r="AA77" s="278">
        <v>0.47441620086877156</v>
      </c>
      <c r="AB77" s="279">
        <v>0.47714867726554266</v>
      </c>
      <c r="AC77" s="277">
        <v>0.47995762257748392</v>
      </c>
      <c r="AD77" s="278">
        <v>0.48282543382604948</v>
      </c>
      <c r="AE77" s="278">
        <v>0.48569507101751069</v>
      </c>
      <c r="AF77" s="278">
        <v>0.48856653524415533</v>
      </c>
      <c r="AG77" s="278">
        <v>0.49143982759914495</v>
      </c>
      <c r="AH77" s="278">
        <v>0.49431494917650992</v>
      </c>
      <c r="AI77" s="278">
        <v>0.49719190107115796</v>
      </c>
      <c r="AJ77" s="278">
        <v>0.50007068437886837</v>
      </c>
      <c r="AK77" s="278">
        <v>0.50172823569973435</v>
      </c>
      <c r="AL77" s="279">
        <v>0.50325088446568678</v>
      </c>
      <c r="AM77" s="277">
        <v>0.50520070757254942</v>
      </c>
      <c r="AN77" s="278">
        <v>0.50715053067941207</v>
      </c>
      <c r="AO77" s="278">
        <v>0.50910035378627472</v>
      </c>
      <c r="AP77" s="278">
        <v>0.51105017689313736</v>
      </c>
      <c r="AQ77" s="278">
        <v>0.51300000000000001</v>
      </c>
      <c r="AR77" s="278">
        <v>0.51460000000000006</v>
      </c>
      <c r="AS77" s="278">
        <v>0.51619999999999999</v>
      </c>
      <c r="AT77" s="278">
        <v>0.51780000000000004</v>
      </c>
      <c r="AU77" s="278">
        <v>0.51939999999999997</v>
      </c>
      <c r="AV77" s="279">
        <v>0.52100000000000002</v>
      </c>
      <c r="AW77" s="277">
        <v>0.52200000000000002</v>
      </c>
      <c r="AX77" s="278">
        <v>0.52300000000000002</v>
      </c>
      <c r="AY77" s="278">
        <v>0.52400000000000002</v>
      </c>
      <c r="AZ77" s="278">
        <v>0.52500000000000002</v>
      </c>
      <c r="BA77" s="278">
        <v>0.52600000000000002</v>
      </c>
      <c r="BB77" s="278">
        <v>0.52680000000000005</v>
      </c>
      <c r="BC77" s="278">
        <v>0.52760000000000007</v>
      </c>
      <c r="BD77" s="278">
        <v>0.52839999999999998</v>
      </c>
      <c r="BE77" s="278">
        <v>0.5292</v>
      </c>
      <c r="BF77" s="279">
        <v>0.53</v>
      </c>
      <c r="BG77" s="279">
        <f t="shared" si="0"/>
        <v>0.53</v>
      </c>
      <c r="BH77" s="237"/>
    </row>
    <row r="78" spans="1:60" x14ac:dyDescent="0.2">
      <c r="A78" s="273">
        <v>28</v>
      </c>
      <c r="B78" s="277">
        <v>0.32436667915691525</v>
      </c>
      <c r="C78" s="278">
        <v>0.33128620625343658</v>
      </c>
      <c r="D78" s="278">
        <v>0.33876896099606962</v>
      </c>
      <c r="E78" s="278">
        <v>0.34679172140506731</v>
      </c>
      <c r="F78" s="278">
        <v>0.35492703196103803</v>
      </c>
      <c r="G78" s="278">
        <v>0.36276281786397069</v>
      </c>
      <c r="H78" s="278">
        <v>0.37052990911115097</v>
      </c>
      <c r="I78" s="278">
        <v>0.37765530658805652</v>
      </c>
      <c r="J78" s="279">
        <v>0.38454531709921114</v>
      </c>
      <c r="K78" s="277">
        <v>0.39099221791226191</v>
      </c>
      <c r="L78" s="278">
        <v>0.39565754724292879</v>
      </c>
      <c r="M78" s="278">
        <v>0.40032482028192051</v>
      </c>
      <c r="N78" s="278">
        <v>0.40499403876986928</v>
      </c>
      <c r="O78" s="278">
        <v>0.4096652044494879</v>
      </c>
      <c r="P78" s="278">
        <v>0.41433831906557395</v>
      </c>
      <c r="Q78" s="278">
        <v>0.41901338436500696</v>
      </c>
      <c r="R78" s="278">
        <v>0.42369040209675551</v>
      </c>
      <c r="S78" s="279">
        <v>0.42835188465939394</v>
      </c>
      <c r="T78" s="277">
        <v>0.43296314057005458</v>
      </c>
      <c r="U78" s="278">
        <v>0.43757482626131938</v>
      </c>
      <c r="V78" s="278">
        <v>0.44218694173318734</v>
      </c>
      <c r="W78" s="278">
        <v>0.44679948698565841</v>
      </c>
      <c r="X78" s="278">
        <v>0.45056851482261184</v>
      </c>
      <c r="Y78" s="278">
        <v>0.45307191341925485</v>
      </c>
      <c r="Z78" s="278">
        <v>0.45557554432973735</v>
      </c>
      <c r="AA78" s="278">
        <v>0.4580794075540594</v>
      </c>
      <c r="AB78" s="279">
        <v>0.46058350309222096</v>
      </c>
      <c r="AC78" s="277">
        <v>0.46316352276470396</v>
      </c>
      <c r="AD78" s="278">
        <v>0.46580030195061978</v>
      </c>
      <c r="AE78" s="278">
        <v>0.46843878087657964</v>
      </c>
      <c r="AF78" s="278">
        <v>0.4710789605593782</v>
      </c>
      <c r="AG78" s="278">
        <v>0.47372084201661924</v>
      </c>
      <c r="AH78" s="278">
        <v>0.4763644262667196</v>
      </c>
      <c r="AI78" s="278">
        <v>0.47900971432890932</v>
      </c>
      <c r="AJ78" s="278">
        <v>0.48165670722323173</v>
      </c>
      <c r="AK78" s="278">
        <v>0.48370786691320727</v>
      </c>
      <c r="AL78" s="279">
        <v>0.48536184821578277</v>
      </c>
      <c r="AM78" s="277">
        <v>0.48728947857262622</v>
      </c>
      <c r="AN78" s="278">
        <v>0.48921710892946968</v>
      </c>
      <c r="AO78" s="278">
        <v>0.49114473928631308</v>
      </c>
      <c r="AP78" s="278">
        <v>0.49307236964315654</v>
      </c>
      <c r="AQ78" s="278">
        <v>0.495</v>
      </c>
      <c r="AR78" s="278">
        <v>0.49659999999999999</v>
      </c>
      <c r="AS78" s="278">
        <v>0.49819999999999998</v>
      </c>
      <c r="AT78" s="278">
        <v>0.49980000000000002</v>
      </c>
      <c r="AU78" s="278">
        <v>0.50139999999999996</v>
      </c>
      <c r="AV78" s="279">
        <v>0.503</v>
      </c>
      <c r="AW78" s="277">
        <v>0.50419999999999998</v>
      </c>
      <c r="AX78" s="278">
        <v>0.50539999999999996</v>
      </c>
      <c r="AY78" s="278">
        <v>0.50660000000000005</v>
      </c>
      <c r="AZ78" s="278">
        <v>0.50780000000000003</v>
      </c>
      <c r="BA78" s="278">
        <v>0.50900000000000001</v>
      </c>
      <c r="BB78" s="278">
        <v>0.51</v>
      </c>
      <c r="BC78" s="278">
        <v>0.51100000000000001</v>
      </c>
      <c r="BD78" s="278">
        <v>0.51200000000000001</v>
      </c>
      <c r="BE78" s="278">
        <v>0.51300000000000001</v>
      </c>
      <c r="BF78" s="279">
        <v>0.51400000000000001</v>
      </c>
      <c r="BG78" s="279">
        <f t="shared" si="0"/>
        <v>0.51400000000000001</v>
      </c>
      <c r="BH78" s="237"/>
    </row>
    <row r="79" spans="1:60" x14ac:dyDescent="0.2">
      <c r="A79" s="273">
        <v>29</v>
      </c>
      <c r="B79" s="277">
        <v>0.30977378735249411</v>
      </c>
      <c r="C79" s="278">
        <v>0.31676748467501747</v>
      </c>
      <c r="D79" s="278">
        <v>0.32430247343638902</v>
      </c>
      <c r="E79" s="278">
        <v>0.33238326335289942</v>
      </c>
      <c r="F79" s="278">
        <v>0.34041088265947517</v>
      </c>
      <c r="G79" s="278">
        <v>0.34768898326583036</v>
      </c>
      <c r="H79" s="278">
        <v>0.35490140907499951</v>
      </c>
      <c r="I79" s="278">
        <v>0.36197885077820874</v>
      </c>
      <c r="J79" s="279">
        <v>0.36891593010506518</v>
      </c>
      <c r="K79" s="277">
        <v>0.37560619971097525</v>
      </c>
      <c r="L79" s="278">
        <v>0.38005199618350216</v>
      </c>
      <c r="M79" s="278">
        <v>0.3844996125860809</v>
      </c>
      <c r="N79" s="278">
        <v>0.38894905054850015</v>
      </c>
      <c r="O79" s="278">
        <v>0.39340031170249434</v>
      </c>
      <c r="P79" s="278">
        <v>0.39785339768174793</v>
      </c>
      <c r="Q79" s="278">
        <v>0.40230831012189722</v>
      </c>
      <c r="R79" s="278">
        <v>0.4067650506605337</v>
      </c>
      <c r="S79" s="279">
        <v>0.41120833550850105</v>
      </c>
      <c r="T79" s="277">
        <v>0.41560339689445286</v>
      </c>
      <c r="U79" s="278">
        <v>0.41999886765562716</v>
      </c>
      <c r="V79" s="278">
        <v>0.42439474779202396</v>
      </c>
      <c r="W79" s="278">
        <v>0.42879103730364321</v>
      </c>
      <c r="X79" s="278">
        <v>0.43283760465612348</v>
      </c>
      <c r="Y79" s="278">
        <v>0.43548395699632925</v>
      </c>
      <c r="Z79" s="278">
        <v>0.43813055496166858</v>
      </c>
      <c r="AA79" s="278">
        <v>0.44077739855214243</v>
      </c>
      <c r="AB79" s="279">
        <v>0.44342448776774868</v>
      </c>
      <c r="AC79" s="277">
        <v>0.44614675935159864</v>
      </c>
      <c r="AD79" s="278">
        <v>0.44892385632488535</v>
      </c>
      <c r="AE79" s="278">
        <v>0.45170277027124328</v>
      </c>
      <c r="AF79" s="278">
        <v>0.4544835022775941</v>
      </c>
      <c r="AG79" s="278">
        <v>0.45726605343172816</v>
      </c>
      <c r="AH79" s="278">
        <v>0.46005042482230418</v>
      </c>
      <c r="AI79" s="278">
        <v>0.46283661753885025</v>
      </c>
      <c r="AJ79" s="278">
        <v>0.46562463267176107</v>
      </c>
      <c r="AK79" s="278">
        <v>0.4680758040370947</v>
      </c>
      <c r="AL79" s="279">
        <v>0.46973808540359052</v>
      </c>
      <c r="AM79" s="277">
        <v>0.47159046832287244</v>
      </c>
      <c r="AN79" s="278">
        <v>0.47344285124215429</v>
      </c>
      <c r="AO79" s="278">
        <v>0.47529523416143621</v>
      </c>
      <c r="AP79" s="278">
        <v>0.47714761708071807</v>
      </c>
      <c r="AQ79" s="278">
        <v>0.47899999999999998</v>
      </c>
      <c r="AR79" s="278">
        <v>0.48039999999999999</v>
      </c>
      <c r="AS79" s="278">
        <v>0.48180000000000001</v>
      </c>
      <c r="AT79" s="278">
        <v>0.48319999999999996</v>
      </c>
      <c r="AU79" s="278">
        <v>0.48459999999999998</v>
      </c>
      <c r="AV79" s="279">
        <v>0.48599999999999999</v>
      </c>
      <c r="AW79" s="277">
        <v>0.48719999999999997</v>
      </c>
      <c r="AX79" s="278">
        <v>0.4884</v>
      </c>
      <c r="AY79" s="278">
        <v>0.48959999999999998</v>
      </c>
      <c r="AZ79" s="278">
        <v>0.49080000000000001</v>
      </c>
      <c r="BA79" s="278">
        <v>0.49199999999999999</v>
      </c>
      <c r="BB79" s="278">
        <v>0.49299999999999999</v>
      </c>
      <c r="BC79" s="278">
        <v>0.49399999999999999</v>
      </c>
      <c r="BD79" s="278">
        <v>0.495</v>
      </c>
      <c r="BE79" s="278">
        <v>0.496</v>
      </c>
      <c r="BF79" s="279">
        <v>0.497</v>
      </c>
      <c r="BG79" s="279">
        <f t="shared" si="0"/>
        <v>0.497</v>
      </c>
      <c r="BH79" s="237"/>
    </row>
    <row r="80" spans="1:60" ht="13.5" thickBot="1" x14ac:dyDescent="0.25">
      <c r="A80" s="293">
        <v>30</v>
      </c>
      <c r="B80" s="294">
        <v>0.29625920546673767</v>
      </c>
      <c r="C80" s="295">
        <v>0.30332595101431747</v>
      </c>
      <c r="D80" s="295">
        <v>0.3109116871766357</v>
      </c>
      <c r="E80" s="295">
        <v>0.31905081976260335</v>
      </c>
      <c r="F80" s="295">
        <v>0.32704434053933185</v>
      </c>
      <c r="G80" s="295">
        <v>0.33375491291382914</v>
      </c>
      <c r="H80" s="295">
        <v>0.34040268693111353</v>
      </c>
      <c r="I80" s="295">
        <v>0.34695313153499541</v>
      </c>
      <c r="J80" s="296">
        <v>0.35330885093770231</v>
      </c>
      <c r="K80" s="294">
        <v>0.35966711612266833</v>
      </c>
      <c r="L80" s="295">
        <v>0.36414118746437629</v>
      </c>
      <c r="M80" s="295">
        <v>0.36861705687861707</v>
      </c>
      <c r="N80" s="295">
        <v>0.37309472597560539</v>
      </c>
      <c r="O80" s="295">
        <v>0.37757419636747835</v>
      </c>
      <c r="P80" s="295">
        <v>0.38205546966829901</v>
      </c>
      <c r="Q80" s="295">
        <v>0.38653854749405975</v>
      </c>
      <c r="R80" s="295">
        <v>0.39102343146268626</v>
      </c>
      <c r="S80" s="296">
        <v>0.39549684209855912</v>
      </c>
      <c r="T80" s="294">
        <v>0.39992391352436479</v>
      </c>
      <c r="U80" s="295">
        <v>0.40435139650905116</v>
      </c>
      <c r="V80" s="295">
        <v>0.40877929105261712</v>
      </c>
      <c r="W80" s="295">
        <v>0.41320759715506278</v>
      </c>
      <c r="X80" s="295">
        <v>0.41763631481638713</v>
      </c>
      <c r="Y80" s="295">
        <v>0.42017559876478705</v>
      </c>
      <c r="Z80" s="295">
        <v>0.42271511788968869</v>
      </c>
      <c r="AA80" s="295">
        <v>0.42525487219109298</v>
      </c>
      <c r="AB80" s="296">
        <v>0.42779486166899999</v>
      </c>
      <c r="AC80" s="294">
        <v>0.4304092948291896</v>
      </c>
      <c r="AD80" s="295">
        <v>0.43307663439960592</v>
      </c>
      <c r="AE80" s="295">
        <v>0.4357457403886697</v>
      </c>
      <c r="AF80" s="295">
        <v>0.43841661385305963</v>
      </c>
      <c r="AG80" s="295">
        <v>0.44108925585030162</v>
      </c>
      <c r="AH80" s="295">
        <v>0.44376366743876294</v>
      </c>
      <c r="AI80" s="295">
        <v>0.44643984967765676</v>
      </c>
      <c r="AJ80" s="295">
        <v>0.44911780362703957</v>
      </c>
      <c r="AK80" s="295">
        <v>0.45179753034781817</v>
      </c>
      <c r="AL80" s="296">
        <v>0.45346767283575812</v>
      </c>
      <c r="AM80" s="294">
        <v>0.45537413826860651</v>
      </c>
      <c r="AN80" s="295">
        <v>0.4572806037014549</v>
      </c>
      <c r="AO80" s="295">
        <v>0.45918706913430324</v>
      </c>
      <c r="AP80" s="295">
        <v>0.46109353456715163</v>
      </c>
      <c r="AQ80" s="295">
        <v>0.46300000000000002</v>
      </c>
      <c r="AR80" s="295">
        <v>0.46460000000000001</v>
      </c>
      <c r="AS80" s="295">
        <v>0.4662</v>
      </c>
      <c r="AT80" s="295">
        <v>0.46779999999999999</v>
      </c>
      <c r="AU80" s="295">
        <v>0.46939999999999998</v>
      </c>
      <c r="AV80" s="296">
        <v>0.47099999999999997</v>
      </c>
      <c r="AW80" s="294">
        <v>0.47219999999999995</v>
      </c>
      <c r="AX80" s="295">
        <v>0.47339999999999999</v>
      </c>
      <c r="AY80" s="295">
        <v>0.47459999999999997</v>
      </c>
      <c r="AZ80" s="295">
        <v>0.4758</v>
      </c>
      <c r="BA80" s="295">
        <v>0.47699999999999998</v>
      </c>
      <c r="BB80" s="295">
        <v>0.47799999999999998</v>
      </c>
      <c r="BC80" s="295">
        <v>0.47899999999999998</v>
      </c>
      <c r="BD80" s="295">
        <v>0.48</v>
      </c>
      <c r="BE80" s="295">
        <v>0.48099999999999998</v>
      </c>
      <c r="BF80" s="296">
        <v>0.48199999999999998</v>
      </c>
      <c r="BG80" s="296">
        <f t="shared" si="0"/>
        <v>0.48199999999999998</v>
      </c>
      <c r="BH80" s="237"/>
    </row>
    <row r="81" spans="1:60" ht="14.25" thickTop="1" thickBot="1" x14ac:dyDescent="0.25">
      <c r="A81" s="293">
        <f>A80+0.001</f>
        <v>30.001000000000001</v>
      </c>
      <c r="B81" s="294">
        <f>B80</f>
        <v>0.29625920546673767</v>
      </c>
      <c r="C81" s="295">
        <f t="shared" ref="C81:BF81" si="1">C80</f>
        <v>0.30332595101431747</v>
      </c>
      <c r="D81" s="295">
        <f t="shared" si="1"/>
        <v>0.3109116871766357</v>
      </c>
      <c r="E81" s="295">
        <f t="shared" si="1"/>
        <v>0.31905081976260335</v>
      </c>
      <c r="F81" s="295">
        <f t="shared" si="1"/>
        <v>0.32704434053933185</v>
      </c>
      <c r="G81" s="295">
        <f t="shared" si="1"/>
        <v>0.33375491291382914</v>
      </c>
      <c r="H81" s="295">
        <f t="shared" si="1"/>
        <v>0.34040268693111353</v>
      </c>
      <c r="I81" s="295">
        <f t="shared" si="1"/>
        <v>0.34695313153499541</v>
      </c>
      <c r="J81" s="296">
        <f t="shared" si="1"/>
        <v>0.35330885093770231</v>
      </c>
      <c r="K81" s="294">
        <f t="shared" si="1"/>
        <v>0.35966711612266833</v>
      </c>
      <c r="L81" s="295">
        <f t="shared" si="1"/>
        <v>0.36414118746437629</v>
      </c>
      <c r="M81" s="295">
        <f t="shared" si="1"/>
        <v>0.36861705687861707</v>
      </c>
      <c r="N81" s="295">
        <f t="shared" si="1"/>
        <v>0.37309472597560539</v>
      </c>
      <c r="O81" s="295">
        <f t="shared" si="1"/>
        <v>0.37757419636747835</v>
      </c>
      <c r="P81" s="295">
        <f t="shared" si="1"/>
        <v>0.38205546966829901</v>
      </c>
      <c r="Q81" s="295">
        <f t="shared" si="1"/>
        <v>0.38653854749405975</v>
      </c>
      <c r="R81" s="295">
        <f t="shared" si="1"/>
        <v>0.39102343146268626</v>
      </c>
      <c r="S81" s="296">
        <f t="shared" si="1"/>
        <v>0.39549684209855912</v>
      </c>
      <c r="T81" s="294">
        <f t="shared" si="1"/>
        <v>0.39992391352436479</v>
      </c>
      <c r="U81" s="295">
        <f t="shared" si="1"/>
        <v>0.40435139650905116</v>
      </c>
      <c r="V81" s="295">
        <f t="shared" si="1"/>
        <v>0.40877929105261712</v>
      </c>
      <c r="W81" s="295">
        <f t="shared" si="1"/>
        <v>0.41320759715506278</v>
      </c>
      <c r="X81" s="295">
        <f t="shared" si="1"/>
        <v>0.41763631481638713</v>
      </c>
      <c r="Y81" s="295">
        <f t="shared" si="1"/>
        <v>0.42017559876478705</v>
      </c>
      <c r="Z81" s="295">
        <f t="shared" si="1"/>
        <v>0.42271511788968869</v>
      </c>
      <c r="AA81" s="295">
        <f t="shared" si="1"/>
        <v>0.42525487219109298</v>
      </c>
      <c r="AB81" s="296">
        <f t="shared" si="1"/>
        <v>0.42779486166899999</v>
      </c>
      <c r="AC81" s="294">
        <f t="shared" si="1"/>
        <v>0.4304092948291896</v>
      </c>
      <c r="AD81" s="295">
        <f t="shared" si="1"/>
        <v>0.43307663439960592</v>
      </c>
      <c r="AE81" s="295">
        <f t="shared" si="1"/>
        <v>0.4357457403886697</v>
      </c>
      <c r="AF81" s="295">
        <f t="shared" si="1"/>
        <v>0.43841661385305963</v>
      </c>
      <c r="AG81" s="295">
        <f t="shared" si="1"/>
        <v>0.44108925585030162</v>
      </c>
      <c r="AH81" s="295">
        <f t="shared" si="1"/>
        <v>0.44376366743876294</v>
      </c>
      <c r="AI81" s="295">
        <f t="shared" si="1"/>
        <v>0.44643984967765676</v>
      </c>
      <c r="AJ81" s="295">
        <f t="shared" si="1"/>
        <v>0.44911780362703957</v>
      </c>
      <c r="AK81" s="295">
        <f t="shared" si="1"/>
        <v>0.45179753034781817</v>
      </c>
      <c r="AL81" s="296">
        <f t="shared" si="1"/>
        <v>0.45346767283575812</v>
      </c>
      <c r="AM81" s="294">
        <f t="shared" si="1"/>
        <v>0.45537413826860651</v>
      </c>
      <c r="AN81" s="295">
        <f t="shared" si="1"/>
        <v>0.4572806037014549</v>
      </c>
      <c r="AO81" s="295">
        <f t="shared" si="1"/>
        <v>0.45918706913430324</v>
      </c>
      <c r="AP81" s="295">
        <f t="shared" si="1"/>
        <v>0.46109353456715163</v>
      </c>
      <c r="AQ81" s="295">
        <f t="shared" si="1"/>
        <v>0.46300000000000002</v>
      </c>
      <c r="AR81" s="295">
        <f t="shared" si="1"/>
        <v>0.46460000000000001</v>
      </c>
      <c r="AS81" s="295">
        <f t="shared" si="1"/>
        <v>0.4662</v>
      </c>
      <c r="AT81" s="295">
        <f t="shared" si="1"/>
        <v>0.46779999999999999</v>
      </c>
      <c r="AU81" s="295">
        <f t="shared" si="1"/>
        <v>0.46939999999999998</v>
      </c>
      <c r="AV81" s="296">
        <f t="shared" si="1"/>
        <v>0.47099999999999997</v>
      </c>
      <c r="AW81" s="294">
        <f t="shared" si="1"/>
        <v>0.47219999999999995</v>
      </c>
      <c r="AX81" s="295">
        <f t="shared" si="1"/>
        <v>0.47339999999999999</v>
      </c>
      <c r="AY81" s="295">
        <f t="shared" si="1"/>
        <v>0.47459999999999997</v>
      </c>
      <c r="AZ81" s="295">
        <f t="shared" si="1"/>
        <v>0.4758</v>
      </c>
      <c r="BA81" s="295">
        <f t="shared" si="1"/>
        <v>0.47699999999999998</v>
      </c>
      <c r="BB81" s="295">
        <f t="shared" si="1"/>
        <v>0.47799999999999998</v>
      </c>
      <c r="BC81" s="295">
        <f t="shared" si="1"/>
        <v>0.47899999999999998</v>
      </c>
      <c r="BD81" s="295">
        <f t="shared" si="1"/>
        <v>0.48</v>
      </c>
      <c r="BE81" s="295">
        <f t="shared" si="1"/>
        <v>0.48099999999999998</v>
      </c>
      <c r="BF81" s="296">
        <f t="shared" si="1"/>
        <v>0.48199999999999998</v>
      </c>
      <c r="BG81" s="296">
        <f>BF80</f>
        <v>0.48199999999999998</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4.25"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03">
        <v>4</v>
      </c>
      <c r="B87" s="304">
        <v>0.93200000000000005</v>
      </c>
      <c r="C87" s="304">
        <v>0.94</v>
      </c>
      <c r="D87" s="304">
        <v>0.94644831969200005</v>
      </c>
      <c r="E87" s="304">
        <v>0.95199999999999996</v>
      </c>
      <c r="F87" s="304">
        <v>0.95593522086400007</v>
      </c>
      <c r="G87" s="304">
        <v>0.95938491480499999</v>
      </c>
      <c r="H87" s="304">
        <v>0.96199999999999997</v>
      </c>
      <c r="I87" s="304">
        <v>0.96443212638700004</v>
      </c>
      <c r="J87" s="305">
        <v>0.96626432648000005</v>
      </c>
      <c r="K87" s="304">
        <v>0.96776303500900007</v>
      </c>
      <c r="L87" s="304">
        <v>0.96900452494</v>
      </c>
      <c r="M87" s="304">
        <v>0.97</v>
      </c>
      <c r="N87" s="304">
        <v>0.9709544648320001</v>
      </c>
      <c r="O87" s="304">
        <v>0.97175332340500009</v>
      </c>
      <c r="P87" s="304">
        <v>0.97247851180400002</v>
      </c>
      <c r="Q87" s="304">
        <v>0.97315235927499999</v>
      </c>
      <c r="R87" s="304">
        <v>0.97399999999999998</v>
      </c>
      <c r="S87" s="305">
        <v>0.97440180277700006</v>
      </c>
      <c r="T87" s="304">
        <v>0.97499181358000009</v>
      </c>
      <c r="U87" s="304">
        <v>0.97556135299900004</v>
      </c>
      <c r="V87" s="304">
        <v>0.97610862656000008</v>
      </c>
      <c r="W87" s="304">
        <v>0.97662983312500007</v>
      </c>
      <c r="X87" s="304">
        <v>0.977119942972</v>
      </c>
      <c r="Y87" s="304">
        <v>0.97757340675500026</v>
      </c>
      <c r="Z87" s="304">
        <v>0.97798479534399996</v>
      </c>
      <c r="AA87" s="304">
        <v>0.97834937054500015</v>
      </c>
      <c r="AB87" s="305">
        <v>0.97899999999999998</v>
      </c>
      <c r="AC87" s="304">
        <v>0.97892552316700021</v>
      </c>
      <c r="AD87" s="304">
        <v>0.97913524768000004</v>
      </c>
      <c r="AE87" s="304">
        <v>0.97929511058899998</v>
      </c>
      <c r="AF87" s="304">
        <v>0.97940996997999996</v>
      </c>
      <c r="AG87" s="304">
        <v>0.9794873476749999</v>
      </c>
      <c r="AH87" s="304">
        <v>0.97953751611200013</v>
      </c>
      <c r="AI87" s="304">
        <v>0.97957351610500021</v>
      </c>
      <c r="AJ87" s="304">
        <v>0.97961110548399999</v>
      </c>
      <c r="AK87" s="304">
        <v>0.97966863861500031</v>
      </c>
      <c r="AL87" s="305">
        <v>0.98099999999999998</v>
      </c>
      <c r="AM87" s="305">
        <f>AL87</f>
        <v>0.98099999999999998</v>
      </c>
      <c r="AN87" s="299"/>
    </row>
    <row r="88" spans="1:60" x14ac:dyDescent="0.2">
      <c r="A88" s="306">
        <v>5</v>
      </c>
      <c r="B88" s="307">
        <v>0.93899999999999995</v>
      </c>
      <c r="C88" s="307">
        <v>0.94799999999999995</v>
      </c>
      <c r="D88" s="307">
        <v>0.95518191303199995</v>
      </c>
      <c r="E88" s="307">
        <v>0.96099999999999997</v>
      </c>
      <c r="F88" s="307">
        <v>0.96592867711999997</v>
      </c>
      <c r="G88" s="307">
        <v>0.96982171841300002</v>
      </c>
      <c r="H88" s="307">
        <v>0.97299999999999998</v>
      </c>
      <c r="I88" s="307">
        <v>0.97553331331699999</v>
      </c>
      <c r="J88" s="308">
        <v>0.97762816390399998</v>
      </c>
      <c r="K88" s="307">
        <v>0.97936249392499997</v>
      </c>
      <c r="L88" s="307">
        <v>0.98082193296799991</v>
      </c>
      <c r="M88" s="307">
        <v>0.98199999999999998</v>
      </c>
      <c r="N88" s="307">
        <v>0.98317651635199999</v>
      </c>
      <c r="O88" s="307">
        <v>0.98416699010899988</v>
      </c>
      <c r="P88" s="307">
        <v>0.98507707627999996</v>
      </c>
      <c r="Q88" s="307">
        <v>0.98594682672539991</v>
      </c>
      <c r="R88" s="307">
        <v>0.98699999999999999</v>
      </c>
      <c r="S88" s="308">
        <v>0.98753535008540005</v>
      </c>
      <c r="T88" s="307">
        <v>0.98827897462559999</v>
      </c>
      <c r="U88" s="307">
        <v>0.98898979104060003</v>
      </c>
      <c r="V88" s="307">
        <v>0.9896653213183999</v>
      </c>
      <c r="W88" s="307">
        <v>0.99030173437500002</v>
      </c>
      <c r="X88" s="307">
        <v>0.99089469798240004</v>
      </c>
      <c r="Y88" s="307">
        <v>0.99144010426460005</v>
      </c>
      <c r="Z88" s="307">
        <v>0.99193466876159997</v>
      </c>
      <c r="AA88" s="307">
        <v>0.99237640306139974</v>
      </c>
      <c r="AB88" s="308">
        <v>0.99299999999999999</v>
      </c>
      <c r="AC88" s="307">
        <v>0.99310185842940002</v>
      </c>
      <c r="AD88" s="307">
        <v>0.99339056655360014</v>
      </c>
      <c r="AE88" s="307">
        <v>0.99363647883259998</v>
      </c>
      <c r="AF88" s="307">
        <v>0.99384675145439971</v>
      </c>
      <c r="AG88" s="307">
        <v>0.99403001737500007</v>
      </c>
      <c r="AH88" s="307">
        <v>0.99419597392640036</v>
      </c>
      <c r="AI88" s="307">
        <v>0.99435484399260099</v>
      </c>
      <c r="AJ88" s="307">
        <v>0.99451671075360015</v>
      </c>
      <c r="AK88" s="307">
        <v>0.99469072599740038</v>
      </c>
      <c r="AL88" s="308">
        <v>0.995</v>
      </c>
      <c r="AM88" s="308">
        <f t="shared" ref="AM88:AM123" si="2">AL88</f>
        <v>0.995</v>
      </c>
      <c r="AN88" s="299"/>
    </row>
    <row r="89" spans="1:60" x14ac:dyDescent="0.2">
      <c r="A89" s="303">
        <v>6</v>
      </c>
      <c r="B89" s="304">
        <v>0.94299999999999995</v>
      </c>
      <c r="C89" s="304">
        <v>0.9524999999999999</v>
      </c>
      <c r="D89" s="304">
        <v>0.96050350031359999</v>
      </c>
      <c r="E89" s="304">
        <v>0.96699999999999997</v>
      </c>
      <c r="F89" s="304">
        <v>0.97247695764480002</v>
      </c>
      <c r="G89" s="304">
        <v>0.97688838208715001</v>
      </c>
      <c r="H89" s="304">
        <v>0.98049999999999993</v>
      </c>
      <c r="I89" s="304">
        <v>0.98345122194734991</v>
      </c>
      <c r="J89" s="305">
        <v>0.98588478033919991</v>
      </c>
      <c r="K89" s="304">
        <v>0.98790540213354994</v>
      </c>
      <c r="L89" s="304">
        <v>0.9896037158783999</v>
      </c>
      <c r="M89" s="304">
        <v>0.99099999999999999</v>
      </c>
      <c r="N89" s="304">
        <v>0.99231568399360004</v>
      </c>
      <c r="O89" s="304">
        <v>0.99343598754794993</v>
      </c>
      <c r="P89" s="304">
        <v>0.9944507958847999</v>
      </c>
      <c r="Q89" s="304">
        <v>0.99539608220834985</v>
      </c>
      <c r="R89" s="304">
        <v>0.99649999999999994</v>
      </c>
      <c r="S89" s="305">
        <v>0.99710687542654997</v>
      </c>
      <c r="T89" s="304">
        <v>0.99789858719999991</v>
      </c>
      <c r="U89" s="304">
        <v>0.99865326807634991</v>
      </c>
      <c r="V89" s="304">
        <v>0.99937101839359999</v>
      </c>
      <c r="W89" s="304">
        <v>1.00004994609375</v>
      </c>
      <c r="X89" s="304">
        <v>1.0006870292287999</v>
      </c>
      <c r="Y89" s="304">
        <v>1.00127887295075</v>
      </c>
      <c r="Z89" s="304">
        <v>1.0018223609856001</v>
      </c>
      <c r="AA89" s="304">
        <v>1.0023152015913497</v>
      </c>
      <c r="AB89" s="305">
        <v>1.0029999999999999</v>
      </c>
      <c r="AC89" s="304">
        <v>1.00314643334355</v>
      </c>
      <c r="AD89" s="304">
        <v>1.003487800064</v>
      </c>
      <c r="AE89" s="304">
        <v>1.0037848238073499</v>
      </c>
      <c r="AF89" s="304">
        <v>1.0040438318015998</v>
      </c>
      <c r="AG89" s="304">
        <v>1.0042730357187502</v>
      </c>
      <c r="AH89" s="304">
        <v>1.0044823390208</v>
      </c>
      <c r="AI89" s="304">
        <v>1.0046830387897507</v>
      </c>
      <c r="AJ89" s="304">
        <v>1.0048874220416</v>
      </c>
      <c r="AK89" s="304">
        <v>1.0051082565243501</v>
      </c>
      <c r="AL89" s="305">
        <v>1.0055000000000001</v>
      </c>
      <c r="AM89" s="305">
        <f t="shared" si="2"/>
        <v>1.0055000000000001</v>
      </c>
      <c r="AN89" s="299"/>
    </row>
    <row r="90" spans="1:60" x14ac:dyDescent="0.2">
      <c r="A90" s="303">
        <v>7</v>
      </c>
      <c r="B90" s="304">
        <v>0.94699999999999995</v>
      </c>
      <c r="C90" s="304">
        <v>0.95699999999999996</v>
      </c>
      <c r="D90" s="304">
        <v>0.96582508759519992</v>
      </c>
      <c r="E90" s="304">
        <v>0.97299999999999998</v>
      </c>
      <c r="F90" s="304">
        <v>0.97902523816959997</v>
      </c>
      <c r="G90" s="304">
        <v>0.9839550457613</v>
      </c>
      <c r="H90" s="304">
        <v>0.98799999999999999</v>
      </c>
      <c r="I90" s="304">
        <v>0.99136913057769993</v>
      </c>
      <c r="J90" s="305">
        <v>0.99414139677439994</v>
      </c>
      <c r="K90" s="304">
        <v>0.99644831034209991</v>
      </c>
      <c r="L90" s="304">
        <v>0.99838549878880001</v>
      </c>
      <c r="M90" s="304">
        <v>1</v>
      </c>
      <c r="N90" s="304">
        <v>1.0014548516352</v>
      </c>
      <c r="O90" s="304">
        <v>1.0027049849868999</v>
      </c>
      <c r="P90" s="304">
        <v>1.0038245154895999</v>
      </c>
      <c r="Q90" s="304">
        <v>1.0048453376912998</v>
      </c>
      <c r="R90" s="304">
        <v>1.006</v>
      </c>
      <c r="S90" s="305">
        <v>1.0066784007676999</v>
      </c>
      <c r="T90" s="304">
        <v>1.0075181997743998</v>
      </c>
      <c r="U90" s="304">
        <v>1.0083167451120998</v>
      </c>
      <c r="V90" s="304">
        <v>1.0090767154688001</v>
      </c>
      <c r="W90" s="304">
        <v>1.0097981578124999</v>
      </c>
      <c r="X90" s="304">
        <v>1.0104793604752</v>
      </c>
      <c r="Y90" s="304">
        <v>1.0111176416368999</v>
      </c>
      <c r="Z90" s="304">
        <v>1.0117100532096002</v>
      </c>
      <c r="AA90" s="304">
        <v>1.0122540001212998</v>
      </c>
      <c r="AB90" s="305">
        <v>1.0129999999999999</v>
      </c>
      <c r="AC90" s="304">
        <v>1.0131910082576998</v>
      </c>
      <c r="AD90" s="304">
        <v>1.0135850335743999</v>
      </c>
      <c r="AE90" s="304">
        <v>1.0139331687821</v>
      </c>
      <c r="AF90" s="304">
        <v>1.0142409121487999</v>
      </c>
      <c r="AG90" s="304">
        <v>1.0145160540625002</v>
      </c>
      <c r="AH90" s="304">
        <v>1.0147687041151996</v>
      </c>
      <c r="AI90" s="304">
        <v>1.0150112335869004</v>
      </c>
      <c r="AJ90" s="304">
        <v>1.0152581333296</v>
      </c>
      <c r="AK90" s="304">
        <v>1.0155257870512997</v>
      </c>
      <c r="AL90" s="305">
        <v>1.016</v>
      </c>
      <c r="AM90" s="305">
        <f t="shared" si="2"/>
        <v>1.016</v>
      </c>
      <c r="AN90" s="299"/>
    </row>
    <row r="91" spans="1:60" x14ac:dyDescent="0.2">
      <c r="A91" s="303">
        <v>8</v>
      </c>
      <c r="B91" s="304">
        <v>0.94899999999999995</v>
      </c>
      <c r="C91" s="304">
        <v>0.95933333333333326</v>
      </c>
      <c r="D91" s="304">
        <v>0.96851885031466656</v>
      </c>
      <c r="E91" s="304">
        <v>0.97599999999999998</v>
      </c>
      <c r="F91" s="304">
        <v>0.98235828455253327</v>
      </c>
      <c r="G91" s="304">
        <v>0.98758736214426668</v>
      </c>
      <c r="H91" s="304">
        <v>0.99199999999999999</v>
      </c>
      <c r="I91" s="304">
        <v>0.99555546349333335</v>
      </c>
      <c r="J91" s="305">
        <v>0.99858146570666662</v>
      </c>
      <c r="K91" s="304">
        <v>1.0011261956511999</v>
      </c>
      <c r="L91" s="304">
        <v>1.0032851711189334</v>
      </c>
      <c r="M91" s="304">
        <v>1.0049999999999999</v>
      </c>
      <c r="N91" s="304">
        <v>1.006750303232</v>
      </c>
      <c r="O91" s="304">
        <v>1.0081749198813332</v>
      </c>
      <c r="P91" s="304">
        <v>1.0094538701898665</v>
      </c>
      <c r="Q91" s="304">
        <v>1.0106196007535999</v>
      </c>
      <c r="R91" s="304">
        <v>1.012</v>
      </c>
      <c r="S91" s="305">
        <v>1.0127016701306666</v>
      </c>
      <c r="T91" s="304">
        <v>1.0136471536959999</v>
      </c>
      <c r="U91" s="304">
        <v>1.0145400214685332</v>
      </c>
      <c r="V91" s="304">
        <v>1.0153839149482666</v>
      </c>
      <c r="W91" s="304">
        <v>1.0161798874999999</v>
      </c>
      <c r="X91" s="304">
        <v>1.0169272627893333</v>
      </c>
      <c r="Y91" s="304">
        <v>1.0176244078506667</v>
      </c>
      <c r="Z91" s="304">
        <v>1.0182694207872001</v>
      </c>
      <c r="AA91" s="304">
        <v>1.0188607331029333</v>
      </c>
      <c r="AB91" s="305">
        <v>1.0196666666666665</v>
      </c>
      <c r="AC91" s="304">
        <v>1.0198806653079997</v>
      </c>
      <c r="AD91" s="304">
        <v>1.0203120410453332</v>
      </c>
      <c r="AE91" s="304">
        <v>1.0206958349458666</v>
      </c>
      <c r="AF91" s="304">
        <v>1.0210381926176</v>
      </c>
      <c r="AG91" s="304">
        <v>1.0213474143333332</v>
      </c>
      <c r="AH91" s="304">
        <v>1.0216339597866664</v>
      </c>
      <c r="AI91" s="304">
        <v>1.0219103674800003</v>
      </c>
      <c r="AJ91" s="304">
        <v>1.0222312345629867</v>
      </c>
      <c r="AK91" s="304">
        <v>1.0225391732557465</v>
      </c>
      <c r="AL91" s="305">
        <v>1.0229999999999999</v>
      </c>
      <c r="AM91" s="305">
        <f t="shared" si="2"/>
        <v>1.0229999999999999</v>
      </c>
      <c r="AN91" s="299"/>
    </row>
    <row r="92" spans="1:60" x14ac:dyDescent="0.2">
      <c r="A92" s="303">
        <v>9</v>
      </c>
      <c r="B92" s="304">
        <v>0.95099999999999996</v>
      </c>
      <c r="C92" s="304">
        <v>0.96166666666666667</v>
      </c>
      <c r="D92" s="304">
        <v>0.97121261303413331</v>
      </c>
      <c r="E92" s="304">
        <v>0.97899999999999998</v>
      </c>
      <c r="F92" s="304">
        <v>0.98569133093546668</v>
      </c>
      <c r="G92" s="304">
        <v>0.99121967852723336</v>
      </c>
      <c r="H92" s="304">
        <v>0.996</v>
      </c>
      <c r="I92" s="304">
        <v>0.99974179640896665</v>
      </c>
      <c r="J92" s="305">
        <v>1.0030215346389333</v>
      </c>
      <c r="K92" s="304">
        <v>1.0058040809602999</v>
      </c>
      <c r="L92" s="304">
        <v>1.0081848434490668</v>
      </c>
      <c r="M92" s="304">
        <v>1.01</v>
      </c>
      <c r="N92" s="304">
        <v>1.0120457548288</v>
      </c>
      <c r="O92" s="304">
        <v>1.0136448547757666</v>
      </c>
      <c r="P92" s="304">
        <v>1.0150832248901334</v>
      </c>
      <c r="Q92" s="304">
        <v>1.0163938638159</v>
      </c>
      <c r="R92" s="304">
        <v>1.018</v>
      </c>
      <c r="S92" s="305">
        <v>1.0187249394936333</v>
      </c>
      <c r="T92" s="304">
        <v>1.0197761076175997</v>
      </c>
      <c r="U92" s="304">
        <v>1.0207632978249666</v>
      </c>
      <c r="V92" s="304">
        <v>1.0216911144277334</v>
      </c>
      <c r="W92" s="304">
        <v>1.0225616171875</v>
      </c>
      <c r="X92" s="304">
        <v>1.0233751651034666</v>
      </c>
      <c r="Y92" s="304">
        <v>1.0241311740644332</v>
      </c>
      <c r="Z92" s="304">
        <v>1.0248287883648002</v>
      </c>
      <c r="AA92" s="304">
        <v>1.0254674660845666</v>
      </c>
      <c r="AB92" s="305">
        <v>1.0263333333333333</v>
      </c>
      <c r="AC92" s="304">
        <v>1.0265703223582998</v>
      </c>
      <c r="AD92" s="304">
        <v>1.0270390485162664</v>
      </c>
      <c r="AE92" s="304">
        <v>1.0274585011096331</v>
      </c>
      <c r="AF92" s="304">
        <v>1.0278354730864001</v>
      </c>
      <c r="AG92" s="304">
        <v>1.0281787746041664</v>
      </c>
      <c r="AH92" s="304">
        <v>1.0284992154581329</v>
      </c>
      <c r="AI92" s="304">
        <v>1.0288095013731002</v>
      </c>
      <c r="AJ92" s="304">
        <v>1.0292043357963732</v>
      </c>
      <c r="AK92" s="304">
        <v>1.0295525594601935</v>
      </c>
      <c r="AL92" s="305">
        <v>1.03</v>
      </c>
      <c r="AM92" s="305">
        <f t="shared" si="2"/>
        <v>1.03</v>
      </c>
      <c r="AN92" s="299"/>
    </row>
    <row r="93" spans="1:60" x14ac:dyDescent="0.2">
      <c r="A93" s="306">
        <v>10</v>
      </c>
      <c r="B93" s="307">
        <v>0.95299999999999996</v>
      </c>
      <c r="C93" s="307">
        <v>0.96399999999999997</v>
      </c>
      <c r="D93" s="307">
        <v>0.97390637575359995</v>
      </c>
      <c r="E93" s="307">
        <v>0.98199999999999998</v>
      </c>
      <c r="F93" s="307">
        <v>0.98902437731839998</v>
      </c>
      <c r="G93" s="307">
        <v>0.99485199491020004</v>
      </c>
      <c r="H93" s="307">
        <v>1</v>
      </c>
      <c r="I93" s="307">
        <v>1.0039281293246001</v>
      </c>
      <c r="J93" s="308">
        <v>1.0074616035712001</v>
      </c>
      <c r="K93" s="307">
        <v>1.0104819662694</v>
      </c>
      <c r="L93" s="307">
        <v>1.0130845157792001</v>
      </c>
      <c r="M93" s="307">
        <v>1.0149999999999999</v>
      </c>
      <c r="N93" s="307">
        <v>1.0173412064256</v>
      </c>
      <c r="O93" s="307">
        <v>1.0191147896702</v>
      </c>
      <c r="P93" s="307">
        <v>1.0207125795904</v>
      </c>
      <c r="Q93" s="307">
        <v>1.0221681268782001</v>
      </c>
      <c r="R93" s="307">
        <v>1.024</v>
      </c>
      <c r="S93" s="308">
        <v>1.0247482088566</v>
      </c>
      <c r="T93" s="307">
        <v>1.0259050615391998</v>
      </c>
      <c r="U93" s="307">
        <v>1.0269865741813999</v>
      </c>
      <c r="V93" s="307">
        <v>1.0279983139072</v>
      </c>
      <c r="W93" s="307">
        <v>1.028943346875</v>
      </c>
      <c r="X93" s="307">
        <v>1.0298230674175999</v>
      </c>
      <c r="Y93" s="307">
        <v>1.0306379402782</v>
      </c>
      <c r="Z93" s="307">
        <v>1.0313881559424001</v>
      </c>
      <c r="AA93" s="307">
        <v>1.0320741990662001</v>
      </c>
      <c r="AB93" s="308">
        <v>1.0329999999999999</v>
      </c>
      <c r="AC93" s="307">
        <v>1.0332599794085997</v>
      </c>
      <c r="AD93" s="307">
        <v>1.0337660559871997</v>
      </c>
      <c r="AE93" s="307">
        <v>1.0342211672733996</v>
      </c>
      <c r="AF93" s="307">
        <v>1.0346327535552002</v>
      </c>
      <c r="AG93" s="307">
        <v>1.0350101348749994</v>
      </c>
      <c r="AH93" s="307">
        <v>1.0353644711295997</v>
      </c>
      <c r="AI93" s="307">
        <v>1.0357086352662002</v>
      </c>
      <c r="AJ93" s="307">
        <v>1.0361774370297598</v>
      </c>
      <c r="AK93" s="307">
        <v>1.0365659456646403</v>
      </c>
      <c r="AL93" s="308">
        <v>1.0369999999999999</v>
      </c>
      <c r="AM93" s="308">
        <f t="shared" si="2"/>
        <v>1.0369999999999999</v>
      </c>
      <c r="AN93" s="299"/>
    </row>
    <row r="94" spans="1:60" x14ac:dyDescent="0.2">
      <c r="A94" s="303">
        <v>11</v>
      </c>
      <c r="B94" s="304">
        <v>0.95419999999999994</v>
      </c>
      <c r="C94" s="304">
        <v>0.96560000000000001</v>
      </c>
      <c r="D94" s="304">
        <v>0.97569899035503993</v>
      </c>
      <c r="E94" s="304">
        <v>0.98399999999999999</v>
      </c>
      <c r="F94" s="304">
        <v>0.99121891422207997</v>
      </c>
      <c r="G94" s="304">
        <v>0.99719917028422</v>
      </c>
      <c r="H94" s="304">
        <v>1.0024</v>
      </c>
      <c r="I94" s="304">
        <v>1.00651440459394</v>
      </c>
      <c r="J94" s="305">
        <v>1.010143779424</v>
      </c>
      <c r="K94" s="304">
        <v>1.0132492506831801</v>
      </c>
      <c r="L94" s="304">
        <v>1.0159289838635202</v>
      </c>
      <c r="M94" s="304">
        <v>1.018</v>
      </c>
      <c r="N94" s="304">
        <v>1.0203248271718399</v>
      </c>
      <c r="O94" s="304">
        <v>1.0221634220286999</v>
      </c>
      <c r="P94" s="304">
        <v>1.02382451862928</v>
      </c>
      <c r="Q94" s="304">
        <v>1.0253422473048202</v>
      </c>
      <c r="R94" s="304">
        <v>1.0272000000000001</v>
      </c>
      <c r="S94" s="305">
        <v>1.0280443360737401</v>
      </c>
      <c r="T94" s="304">
        <v>1.0292610281623999</v>
      </c>
      <c r="U94" s="304">
        <v>1.03040137530538</v>
      </c>
      <c r="V94" s="304">
        <v>1.0314706561331199</v>
      </c>
      <c r="W94" s="304">
        <v>1.0324715984375001</v>
      </c>
      <c r="X94" s="304">
        <v>1.0334052396846398</v>
      </c>
      <c r="Y94" s="304">
        <v>1.0342716963901</v>
      </c>
      <c r="Z94" s="304">
        <v>1.0350708423564801</v>
      </c>
      <c r="AA94" s="304">
        <v>1.0358028957734202</v>
      </c>
      <c r="AB94" s="305">
        <v>1.0367999999999999</v>
      </c>
      <c r="AC94" s="304">
        <v>1.0370712042895398</v>
      </c>
      <c r="AD94" s="304">
        <v>1.0376136256767998</v>
      </c>
      <c r="AE94" s="304">
        <v>1.0381018233275798</v>
      </c>
      <c r="AF94" s="304">
        <v>1.0385433540507203</v>
      </c>
      <c r="AG94" s="304">
        <v>1.0389477277524997</v>
      </c>
      <c r="AH94" s="304">
        <v>1.0393263565734399</v>
      </c>
      <c r="AI94" s="304">
        <v>1.0396924128875003</v>
      </c>
      <c r="AJ94" s="304">
        <v>1.0401569461279678</v>
      </c>
      <c r="AK94" s="304">
        <v>1.0405594571623724</v>
      </c>
      <c r="AL94" s="305">
        <v>1.0409999999999999</v>
      </c>
      <c r="AM94" s="305">
        <f t="shared" si="2"/>
        <v>1.0409999999999999</v>
      </c>
      <c r="AN94" s="299"/>
    </row>
    <row r="95" spans="1:60" x14ac:dyDescent="0.2">
      <c r="A95" s="303">
        <v>12</v>
      </c>
      <c r="B95" s="304">
        <v>0.95539999999999992</v>
      </c>
      <c r="C95" s="304">
        <v>0.96719999999999995</v>
      </c>
      <c r="D95" s="304">
        <v>0.97749160495648002</v>
      </c>
      <c r="E95" s="304">
        <v>0.98599999999999999</v>
      </c>
      <c r="F95" s="304">
        <v>0.99341345112575996</v>
      </c>
      <c r="G95" s="304">
        <v>0.99954634565824008</v>
      </c>
      <c r="H95" s="304">
        <v>1.0047999999999999</v>
      </c>
      <c r="I95" s="304">
        <v>1.00910067986328</v>
      </c>
      <c r="J95" s="305">
        <v>1.0128259552768</v>
      </c>
      <c r="K95" s="304">
        <v>1.0160165350969601</v>
      </c>
      <c r="L95" s="304">
        <v>1.0187734519478402</v>
      </c>
      <c r="M95" s="304">
        <v>1.0209999999999999</v>
      </c>
      <c r="N95" s="304">
        <v>1.0233084479180801</v>
      </c>
      <c r="O95" s="304">
        <v>1.0252120543872001</v>
      </c>
      <c r="P95" s="304">
        <v>1.0269364576681601</v>
      </c>
      <c r="Q95" s="304">
        <v>1.0285163677314402</v>
      </c>
      <c r="R95" s="304">
        <v>1.0304</v>
      </c>
      <c r="S95" s="305">
        <v>1.0313404632908802</v>
      </c>
      <c r="T95" s="304">
        <v>1.0326169947855999</v>
      </c>
      <c r="U95" s="304">
        <v>1.0338161764293601</v>
      </c>
      <c r="V95" s="304">
        <v>1.0349429983590401</v>
      </c>
      <c r="W95" s="304">
        <v>1.0359998500000001</v>
      </c>
      <c r="X95" s="304">
        <v>1.03698741195168</v>
      </c>
      <c r="Y95" s="304">
        <v>1.0379054525019999</v>
      </c>
      <c r="Z95" s="304">
        <v>1.03875352877056</v>
      </c>
      <c r="AA95" s="304">
        <v>1.0395315924806401</v>
      </c>
      <c r="AB95" s="305">
        <v>1.0406</v>
      </c>
      <c r="AC95" s="304">
        <v>1.0408824291704799</v>
      </c>
      <c r="AD95" s="304">
        <v>1.0414611953663999</v>
      </c>
      <c r="AE95" s="304">
        <v>1.04198247938176</v>
      </c>
      <c r="AF95" s="304">
        <v>1.0424539545462403</v>
      </c>
      <c r="AG95" s="304">
        <v>1.0428853206299999</v>
      </c>
      <c r="AH95" s="304">
        <v>1.0432882420172798</v>
      </c>
      <c r="AI95" s="304">
        <v>1.0436761905088003</v>
      </c>
      <c r="AJ95" s="304">
        <v>1.0441364552261758</v>
      </c>
      <c r="AK95" s="304">
        <v>1.0445529686601043</v>
      </c>
      <c r="AL95" s="305">
        <v>1.0449999999999999</v>
      </c>
      <c r="AM95" s="305">
        <f t="shared" si="2"/>
        <v>1.0449999999999999</v>
      </c>
      <c r="AN95" s="299"/>
    </row>
    <row r="96" spans="1:60" x14ac:dyDescent="0.2">
      <c r="A96" s="303">
        <v>13</v>
      </c>
      <c r="B96" s="304">
        <v>0.95660000000000001</v>
      </c>
      <c r="C96" s="304">
        <v>0.96879999999999999</v>
      </c>
      <c r="D96" s="304">
        <v>0.97928421955792</v>
      </c>
      <c r="E96" s="304">
        <v>0.98799999999999999</v>
      </c>
      <c r="F96" s="304">
        <v>0.99560798802944006</v>
      </c>
      <c r="G96" s="304">
        <v>1.0018935210322601</v>
      </c>
      <c r="H96" s="304">
        <v>1.0072000000000001</v>
      </c>
      <c r="I96" s="304">
        <v>1.0116869551326202</v>
      </c>
      <c r="J96" s="305">
        <v>1.0155081311296001</v>
      </c>
      <c r="K96" s="304">
        <v>1.0187838195107399</v>
      </c>
      <c r="L96" s="304">
        <v>1.02161792003216</v>
      </c>
      <c r="M96" s="304">
        <v>1.024</v>
      </c>
      <c r="N96" s="304">
        <v>1.02629206866432</v>
      </c>
      <c r="O96" s="304">
        <v>1.0282606867457</v>
      </c>
      <c r="P96" s="304">
        <v>1.03004839670704</v>
      </c>
      <c r="Q96" s="304">
        <v>1.03169048815806</v>
      </c>
      <c r="R96" s="304">
        <v>1.0336000000000001</v>
      </c>
      <c r="S96" s="305">
        <v>1.0346365905080201</v>
      </c>
      <c r="T96" s="304">
        <v>1.0359729614088</v>
      </c>
      <c r="U96" s="304">
        <v>1.0372309775533399</v>
      </c>
      <c r="V96" s="304">
        <v>1.0384153405849601</v>
      </c>
      <c r="W96" s="304">
        <v>1.0395281015625002</v>
      </c>
      <c r="X96" s="304">
        <v>1.0405695842187199</v>
      </c>
      <c r="Y96" s="304">
        <v>1.0415392086139001</v>
      </c>
      <c r="Z96" s="304">
        <v>1.04243621518464</v>
      </c>
      <c r="AA96" s="304">
        <v>1.0432602891878602</v>
      </c>
      <c r="AB96" s="305">
        <v>1.0444</v>
      </c>
      <c r="AC96" s="304">
        <v>1.0446936540514202</v>
      </c>
      <c r="AD96" s="304">
        <v>1.0453087650560002</v>
      </c>
      <c r="AE96" s="304">
        <v>1.0458631354359404</v>
      </c>
      <c r="AF96" s="304">
        <v>1.0463645550417602</v>
      </c>
      <c r="AG96" s="304">
        <v>1.0468229135075002</v>
      </c>
      <c r="AH96" s="304">
        <v>1.0472501274611199</v>
      </c>
      <c r="AI96" s="304">
        <v>1.0476599681301002</v>
      </c>
      <c r="AJ96" s="304">
        <v>1.048115964324384</v>
      </c>
      <c r="AK96" s="304">
        <v>1.0485464801578364</v>
      </c>
      <c r="AL96" s="305">
        <v>1.0489999999999999</v>
      </c>
      <c r="AM96" s="305">
        <f t="shared" si="2"/>
        <v>1.0489999999999999</v>
      </c>
      <c r="AN96" s="299"/>
    </row>
    <row r="97" spans="1:40" x14ac:dyDescent="0.2">
      <c r="A97" s="303">
        <v>14</v>
      </c>
      <c r="B97" s="304">
        <v>0.95779999999999998</v>
      </c>
      <c r="C97" s="304">
        <v>0.97039999999999993</v>
      </c>
      <c r="D97" s="304">
        <v>0.98107683415936009</v>
      </c>
      <c r="E97" s="304">
        <v>0.99</v>
      </c>
      <c r="F97" s="304">
        <v>0.99780252493312005</v>
      </c>
      <c r="G97" s="304">
        <v>1.00424069640628</v>
      </c>
      <c r="H97" s="304">
        <v>1.0096000000000001</v>
      </c>
      <c r="I97" s="304">
        <v>1.0142732304019602</v>
      </c>
      <c r="J97" s="305">
        <v>1.0181903069824001</v>
      </c>
      <c r="K97" s="304">
        <v>1.02155110392452</v>
      </c>
      <c r="L97" s="304">
        <v>1.02446238811648</v>
      </c>
      <c r="M97" s="304">
        <v>1.0269999999999999</v>
      </c>
      <c r="N97" s="304">
        <v>1.0292756894105601</v>
      </c>
      <c r="O97" s="304">
        <v>1.0313093191042002</v>
      </c>
      <c r="P97" s="304">
        <v>1.03316033574592</v>
      </c>
      <c r="Q97" s="304">
        <v>1.03486460858468</v>
      </c>
      <c r="R97" s="304">
        <v>1.0367999999999999</v>
      </c>
      <c r="S97" s="305">
        <v>1.0379327177251603</v>
      </c>
      <c r="T97" s="304">
        <v>1.0393289280319999</v>
      </c>
      <c r="U97" s="304">
        <v>1.04064577867732</v>
      </c>
      <c r="V97" s="304">
        <v>1.0418876828108803</v>
      </c>
      <c r="W97" s="304">
        <v>1.0430563531250001</v>
      </c>
      <c r="X97" s="304">
        <v>1.0441517564857601</v>
      </c>
      <c r="Y97" s="304">
        <v>1.0451729647258001</v>
      </c>
      <c r="Z97" s="304">
        <v>1.04611890159872</v>
      </c>
      <c r="AA97" s="304">
        <v>1.04698898589508</v>
      </c>
      <c r="AB97" s="305">
        <v>1.0482</v>
      </c>
      <c r="AC97" s="304">
        <v>1.0485048789323603</v>
      </c>
      <c r="AD97" s="304">
        <v>1.0491563347456003</v>
      </c>
      <c r="AE97" s="304">
        <v>1.0497437914901206</v>
      </c>
      <c r="AF97" s="304">
        <v>1.0502751555372802</v>
      </c>
      <c r="AG97" s="304">
        <v>1.0507605063850005</v>
      </c>
      <c r="AH97" s="304">
        <v>1.0512120129049598</v>
      </c>
      <c r="AI97" s="304">
        <v>1.0516437457514003</v>
      </c>
      <c r="AJ97" s="304">
        <v>1.052095473422592</v>
      </c>
      <c r="AK97" s="304">
        <v>1.0525399916555682</v>
      </c>
      <c r="AL97" s="305">
        <v>1.0529999999999999</v>
      </c>
      <c r="AM97" s="305">
        <f t="shared" si="2"/>
        <v>1.0529999999999999</v>
      </c>
      <c r="AN97" s="299"/>
    </row>
    <row r="98" spans="1:40" x14ac:dyDescent="0.2">
      <c r="A98" s="306">
        <v>15</v>
      </c>
      <c r="B98" s="307">
        <v>0.95899999999999996</v>
      </c>
      <c r="C98" s="307">
        <v>0.97199999999999998</v>
      </c>
      <c r="D98" s="307">
        <v>0.98286944876080007</v>
      </c>
      <c r="E98" s="307">
        <v>0.99199999999999999</v>
      </c>
      <c r="F98" s="307">
        <v>0.99999706183680004</v>
      </c>
      <c r="G98" s="307">
        <v>1.0065878717803001</v>
      </c>
      <c r="H98" s="307">
        <v>1.012</v>
      </c>
      <c r="I98" s="307">
        <v>1.0168595056713001</v>
      </c>
      <c r="J98" s="308">
        <v>1.0208724828352</v>
      </c>
      <c r="K98" s="307">
        <v>1.0243183883383</v>
      </c>
      <c r="L98" s="307">
        <v>1.0273068562008001</v>
      </c>
      <c r="M98" s="307">
        <v>1.03</v>
      </c>
      <c r="N98" s="307">
        <v>1.0322593101568001</v>
      </c>
      <c r="O98" s="307">
        <v>1.0343579514627002</v>
      </c>
      <c r="P98" s="307">
        <v>1.0362722747848001</v>
      </c>
      <c r="Q98" s="307">
        <v>1.0380387290113</v>
      </c>
      <c r="R98" s="307">
        <v>1.04</v>
      </c>
      <c r="S98" s="308">
        <v>1.0412288449423004</v>
      </c>
      <c r="T98" s="307">
        <v>1.0426848946552001</v>
      </c>
      <c r="U98" s="307">
        <v>1.0440605798013001</v>
      </c>
      <c r="V98" s="307">
        <v>1.0453600250368003</v>
      </c>
      <c r="W98" s="307">
        <v>1.0465846046875003</v>
      </c>
      <c r="X98" s="307">
        <v>1.0477339287528</v>
      </c>
      <c r="Y98" s="307">
        <v>1.0488067208377001</v>
      </c>
      <c r="Z98" s="307">
        <v>1.0498015880128</v>
      </c>
      <c r="AA98" s="307">
        <v>1.0507176826023001</v>
      </c>
      <c r="AB98" s="308">
        <v>1.052</v>
      </c>
      <c r="AC98" s="307">
        <v>1.0523161038133004</v>
      </c>
      <c r="AD98" s="307">
        <v>1.0530039044352004</v>
      </c>
      <c r="AE98" s="307">
        <v>1.0536244475443008</v>
      </c>
      <c r="AF98" s="307">
        <v>1.0541857560328003</v>
      </c>
      <c r="AG98" s="307">
        <v>1.0546980992625008</v>
      </c>
      <c r="AH98" s="307">
        <v>1.0551738983487999</v>
      </c>
      <c r="AI98" s="307">
        <v>1.0556275233727004</v>
      </c>
      <c r="AJ98" s="307">
        <v>1.0560749825208</v>
      </c>
      <c r="AK98" s="307">
        <v>1.0565335031533003</v>
      </c>
      <c r="AL98" s="308">
        <v>1.0569999999999999</v>
      </c>
      <c r="AM98" s="308">
        <f t="shared" si="2"/>
        <v>1.0569999999999999</v>
      </c>
      <c r="AN98" s="299"/>
    </row>
    <row r="99" spans="1:40" x14ac:dyDescent="0.2">
      <c r="A99" s="303">
        <v>16</v>
      </c>
      <c r="B99" s="304">
        <v>0.95960000000000001</v>
      </c>
      <c r="C99" s="304">
        <v>0.97260000000000002</v>
      </c>
      <c r="D99" s="304">
        <v>0.98367161194656005</v>
      </c>
      <c r="E99" s="304">
        <v>0.99299999999999999</v>
      </c>
      <c r="F99" s="304">
        <v>1.0010890711040001</v>
      </c>
      <c r="G99" s="304">
        <v>1.0078254640627802</v>
      </c>
      <c r="H99" s="304">
        <v>1.0134000000000001</v>
      </c>
      <c r="I99" s="304">
        <v>1.0183575739142601</v>
      </c>
      <c r="J99" s="305">
        <v>1.02248029648128</v>
      </c>
      <c r="K99" s="304">
        <v>1.0260219213019</v>
      </c>
      <c r="L99" s="304">
        <v>1.02909343433888</v>
      </c>
      <c r="M99" s="304">
        <v>1.0318000000000001</v>
      </c>
      <c r="N99" s="304">
        <v>1.0341831210649601</v>
      </c>
      <c r="O99" s="304">
        <v>1.0363414096635801</v>
      </c>
      <c r="P99" s="304">
        <v>1.0383130598928001</v>
      </c>
      <c r="Q99" s="304">
        <v>1.04013693148498</v>
      </c>
      <c r="R99" s="304">
        <v>1.0422</v>
      </c>
      <c r="S99" s="305">
        <v>1.0434492475836603</v>
      </c>
      <c r="T99" s="304">
        <v>1.0449720061148802</v>
      </c>
      <c r="U99" s="304">
        <v>1.0464182135417002</v>
      </c>
      <c r="V99" s="304">
        <v>1.0477911226060803</v>
      </c>
      <c r="W99" s="304">
        <v>1.0490905384375002</v>
      </c>
      <c r="X99" s="304">
        <v>1.0503138928553599</v>
      </c>
      <c r="Y99" s="304">
        <v>1.0514572542601801</v>
      </c>
      <c r="Z99" s="304">
        <v>1.0525162731136</v>
      </c>
      <c r="AA99" s="304">
        <v>1.05348706300718</v>
      </c>
      <c r="AB99" s="305">
        <v>1.0548</v>
      </c>
      <c r="AC99" s="304">
        <v>1.0551555614650603</v>
      </c>
      <c r="AD99" s="304">
        <v>1.0558548407244803</v>
      </c>
      <c r="AE99" s="304">
        <v>1.0564703436735008</v>
      </c>
      <c r="AF99" s="304">
        <v>1.0570114611932802</v>
      </c>
      <c r="AG99" s="304">
        <v>1.0574919810725008</v>
      </c>
      <c r="AH99" s="304">
        <v>1.0579305181977601</v>
      </c>
      <c r="AI99" s="304">
        <v>1.0583508803327804</v>
      </c>
      <c r="AJ99" s="304">
        <v>1.0587823694864</v>
      </c>
      <c r="AK99" s="304">
        <v>1.0592600188693801</v>
      </c>
      <c r="AL99" s="305">
        <v>1.0597999999999999</v>
      </c>
      <c r="AM99" s="305">
        <f t="shared" si="2"/>
        <v>1.0597999999999999</v>
      </c>
      <c r="AN99" s="299"/>
    </row>
    <row r="100" spans="1:40" x14ac:dyDescent="0.2">
      <c r="A100" s="303">
        <v>17</v>
      </c>
      <c r="B100" s="304">
        <v>0.96019999999999994</v>
      </c>
      <c r="C100" s="304">
        <v>0.97319999999999995</v>
      </c>
      <c r="D100" s="304">
        <v>0.98447377513232004</v>
      </c>
      <c r="E100" s="304">
        <v>0.99399999999999999</v>
      </c>
      <c r="F100" s="304">
        <v>1.0021810803712001</v>
      </c>
      <c r="G100" s="304">
        <v>1.0090630563452601</v>
      </c>
      <c r="H100" s="304">
        <v>1.0147999999999999</v>
      </c>
      <c r="I100" s="304">
        <v>1.01985564215722</v>
      </c>
      <c r="J100" s="305">
        <v>1.02408811012736</v>
      </c>
      <c r="K100" s="304">
        <v>1.0277254542655001</v>
      </c>
      <c r="L100" s="304">
        <v>1.0308800124769599</v>
      </c>
      <c r="M100" s="304">
        <v>1.0336000000000001</v>
      </c>
      <c r="N100" s="304">
        <v>1.03610693197312</v>
      </c>
      <c r="O100" s="304">
        <v>1.0383248678644601</v>
      </c>
      <c r="P100" s="304">
        <v>1.0403538450008001</v>
      </c>
      <c r="Q100" s="304">
        <v>1.04223513395866</v>
      </c>
      <c r="R100" s="304">
        <v>1.0444</v>
      </c>
      <c r="S100" s="305">
        <v>1.0456696502250202</v>
      </c>
      <c r="T100" s="304">
        <v>1.04725911757456</v>
      </c>
      <c r="U100" s="304">
        <v>1.0487758472821</v>
      </c>
      <c r="V100" s="304">
        <v>1.0502222201753602</v>
      </c>
      <c r="W100" s="304">
        <v>1.0515964721875002</v>
      </c>
      <c r="X100" s="304">
        <v>1.05289385695792</v>
      </c>
      <c r="Y100" s="304">
        <v>1.0541077876826601</v>
      </c>
      <c r="Z100" s="304">
        <v>1.0552309582143999</v>
      </c>
      <c r="AA100" s="304">
        <v>1.05625644341206</v>
      </c>
      <c r="AB100" s="305">
        <v>1.0576000000000001</v>
      </c>
      <c r="AC100" s="304">
        <v>1.0579950191168204</v>
      </c>
      <c r="AD100" s="304">
        <v>1.0587057770137602</v>
      </c>
      <c r="AE100" s="304">
        <v>1.0593162398027005</v>
      </c>
      <c r="AF100" s="304">
        <v>1.0598371663537602</v>
      </c>
      <c r="AG100" s="304">
        <v>1.0602858628825005</v>
      </c>
      <c r="AH100" s="304">
        <v>1.06068713804672</v>
      </c>
      <c r="AI100" s="304">
        <v>1.0610742372928603</v>
      </c>
      <c r="AJ100" s="304">
        <v>1.0614897564519998</v>
      </c>
      <c r="AK100" s="304">
        <v>1.06198653458546</v>
      </c>
      <c r="AL100" s="305">
        <v>1.0626</v>
      </c>
      <c r="AM100" s="305">
        <f t="shared" si="2"/>
        <v>1.0626</v>
      </c>
      <c r="AN100" s="299"/>
    </row>
    <row r="101" spans="1:40" x14ac:dyDescent="0.2">
      <c r="A101" s="303">
        <v>18</v>
      </c>
      <c r="B101" s="304">
        <v>0.96079999999999999</v>
      </c>
      <c r="C101" s="304">
        <v>0.9738</v>
      </c>
      <c r="D101" s="304">
        <v>0.98527593831808002</v>
      </c>
      <c r="E101" s="304">
        <v>0.995</v>
      </c>
      <c r="F101" s="304">
        <v>1.0032730896384001</v>
      </c>
      <c r="G101" s="304">
        <v>1.0103006486277402</v>
      </c>
      <c r="H101" s="304">
        <v>1.0162</v>
      </c>
      <c r="I101" s="304">
        <v>1.02135371040018</v>
      </c>
      <c r="J101" s="305">
        <v>1.02569592377344</v>
      </c>
      <c r="K101" s="304">
        <v>1.0294289872291</v>
      </c>
      <c r="L101" s="304">
        <v>1.0326665906150401</v>
      </c>
      <c r="M101" s="304">
        <v>1.0353999999999999</v>
      </c>
      <c r="N101" s="304">
        <v>1.0380307428812801</v>
      </c>
      <c r="O101" s="304">
        <v>1.0403083260653401</v>
      </c>
      <c r="P101" s="304">
        <v>1.0423946301088001</v>
      </c>
      <c r="Q101" s="304">
        <v>1.0443333364323399</v>
      </c>
      <c r="R101" s="304">
        <v>1.0466</v>
      </c>
      <c r="S101" s="305">
        <v>1.0478900528663802</v>
      </c>
      <c r="T101" s="304">
        <v>1.0495462290342401</v>
      </c>
      <c r="U101" s="304">
        <v>1.0511334810225001</v>
      </c>
      <c r="V101" s="304">
        <v>1.0526533177446402</v>
      </c>
      <c r="W101" s="304">
        <v>1.0541024059375002</v>
      </c>
      <c r="X101" s="304">
        <v>1.0554738210604799</v>
      </c>
      <c r="Y101" s="304">
        <v>1.0567583211051401</v>
      </c>
      <c r="Z101" s="304">
        <v>1.0579456433151999</v>
      </c>
      <c r="AA101" s="304">
        <v>1.0590258238169399</v>
      </c>
      <c r="AB101" s="305">
        <v>1.0604</v>
      </c>
      <c r="AC101" s="304">
        <v>1.0608344767685802</v>
      </c>
      <c r="AD101" s="304">
        <v>1.0615567133030401</v>
      </c>
      <c r="AE101" s="304">
        <v>1.0621621359319005</v>
      </c>
      <c r="AF101" s="304">
        <v>1.0626628715142401</v>
      </c>
      <c r="AG101" s="304">
        <v>1.0630797446925004</v>
      </c>
      <c r="AH101" s="304">
        <v>1.0634437578956801</v>
      </c>
      <c r="AI101" s="304">
        <v>1.0637975942529403</v>
      </c>
      <c r="AJ101" s="304">
        <v>1.0641971434175999</v>
      </c>
      <c r="AK101" s="304">
        <v>1.0647130503015401</v>
      </c>
      <c r="AL101" s="305">
        <v>1.0653999999999999</v>
      </c>
      <c r="AM101" s="305">
        <f t="shared" si="2"/>
        <v>1.0653999999999999</v>
      </c>
      <c r="AN101" s="299"/>
    </row>
    <row r="102" spans="1:40" x14ac:dyDescent="0.2">
      <c r="A102" s="303">
        <v>19</v>
      </c>
      <c r="B102" s="304">
        <v>0.96139999999999992</v>
      </c>
      <c r="C102" s="304">
        <v>0.97439999999999993</v>
      </c>
      <c r="D102" s="304">
        <v>0.98607810150384001</v>
      </c>
      <c r="E102" s="304">
        <v>0.996</v>
      </c>
      <c r="F102" s="304">
        <v>1.0043650989056001</v>
      </c>
      <c r="G102" s="304">
        <v>1.01153824091022</v>
      </c>
      <c r="H102" s="304">
        <v>1.0175999999999998</v>
      </c>
      <c r="I102" s="304">
        <v>1.0228517786431399</v>
      </c>
      <c r="J102" s="305">
        <v>1.02730373741952</v>
      </c>
      <c r="K102" s="304">
        <v>1.0311325201927002</v>
      </c>
      <c r="L102" s="304">
        <v>1.03445316875312</v>
      </c>
      <c r="M102" s="304">
        <v>1.0371999999999999</v>
      </c>
      <c r="N102" s="304">
        <v>1.0399545537894399</v>
      </c>
      <c r="O102" s="304">
        <v>1.04229178426622</v>
      </c>
      <c r="P102" s="304">
        <v>1.0444354152168001</v>
      </c>
      <c r="Q102" s="304">
        <v>1.0464315389060199</v>
      </c>
      <c r="R102" s="304">
        <v>1.0488</v>
      </c>
      <c r="S102" s="305">
        <v>1.0501104555077401</v>
      </c>
      <c r="T102" s="304">
        <v>1.05183334049392</v>
      </c>
      <c r="U102" s="304">
        <v>1.0534911147629</v>
      </c>
      <c r="V102" s="304">
        <v>1.0550844153139201</v>
      </c>
      <c r="W102" s="304">
        <v>1.0566083396875001</v>
      </c>
      <c r="X102" s="304">
        <v>1.0580537851630401</v>
      </c>
      <c r="Y102" s="304">
        <v>1.0594088545276201</v>
      </c>
      <c r="Z102" s="304">
        <v>1.0606603284159999</v>
      </c>
      <c r="AA102" s="304">
        <v>1.0617952042218199</v>
      </c>
      <c r="AB102" s="305">
        <v>1.0632000000000001</v>
      </c>
      <c r="AC102" s="304">
        <v>1.0636739344203403</v>
      </c>
      <c r="AD102" s="304">
        <v>1.06440764959232</v>
      </c>
      <c r="AE102" s="304">
        <v>1.0650080320611002</v>
      </c>
      <c r="AF102" s="304">
        <v>1.0654885766747202</v>
      </c>
      <c r="AG102" s="304">
        <v>1.0658736265025002</v>
      </c>
      <c r="AH102" s="304">
        <v>1.06620037774464</v>
      </c>
      <c r="AI102" s="304">
        <v>1.0665209512130203</v>
      </c>
      <c r="AJ102" s="304">
        <v>1.0669045303831997</v>
      </c>
      <c r="AK102" s="304">
        <v>1.0674395660176199</v>
      </c>
      <c r="AL102" s="305">
        <v>1.0682</v>
      </c>
      <c r="AM102" s="305">
        <f t="shared" si="2"/>
        <v>1.0682</v>
      </c>
      <c r="AN102" s="299"/>
    </row>
    <row r="103" spans="1:40" x14ac:dyDescent="0.2">
      <c r="A103" s="306">
        <v>20</v>
      </c>
      <c r="B103" s="307">
        <v>0.96199999999999997</v>
      </c>
      <c r="C103" s="307">
        <v>0.97499999999999998</v>
      </c>
      <c r="D103" s="307">
        <v>0.9868802646896</v>
      </c>
      <c r="E103" s="307">
        <v>0.997</v>
      </c>
      <c r="F103" s="307">
        <v>1.0054571081728001</v>
      </c>
      <c r="G103" s="307">
        <v>1.0127758331927001</v>
      </c>
      <c r="H103" s="307">
        <v>1.0189999999999999</v>
      </c>
      <c r="I103" s="307">
        <v>1.0243498468860999</v>
      </c>
      <c r="J103" s="308">
        <v>1.0289115510655999</v>
      </c>
      <c r="K103" s="307">
        <v>1.0328360531563001</v>
      </c>
      <c r="L103" s="307">
        <v>1.0362397468911999</v>
      </c>
      <c r="M103" s="307">
        <v>1.0389999999999999</v>
      </c>
      <c r="N103" s="307">
        <v>1.0418783646976</v>
      </c>
      <c r="O103" s="307">
        <v>1.0442752424671</v>
      </c>
      <c r="P103" s="307">
        <v>1.0464762003248</v>
      </c>
      <c r="Q103" s="307">
        <v>1.0485297413796999</v>
      </c>
      <c r="R103" s="307">
        <v>1.0509999999999999</v>
      </c>
      <c r="S103" s="308">
        <v>1.0523308581491</v>
      </c>
      <c r="T103" s="307">
        <v>1.0541204519536</v>
      </c>
      <c r="U103" s="307">
        <v>1.0558487485033001</v>
      </c>
      <c r="V103" s="307">
        <v>1.0575155128832001</v>
      </c>
      <c r="W103" s="307">
        <v>1.0591142734375001</v>
      </c>
      <c r="X103" s="307">
        <v>1.0606337492655999</v>
      </c>
      <c r="Y103" s="307">
        <v>1.0620593879501001</v>
      </c>
      <c r="Z103" s="307">
        <v>1.0633750135167999</v>
      </c>
      <c r="AA103" s="307">
        <v>1.0645645846266998</v>
      </c>
      <c r="AB103" s="308">
        <v>1.0660000000000001</v>
      </c>
      <c r="AC103" s="307">
        <v>1.0665133920721002</v>
      </c>
      <c r="AD103" s="307">
        <v>1.0672585858815999</v>
      </c>
      <c r="AE103" s="307">
        <v>1.0678539281903001</v>
      </c>
      <c r="AF103" s="307">
        <v>1.0683142818352001</v>
      </c>
      <c r="AG103" s="307">
        <v>1.0686675083125001</v>
      </c>
      <c r="AH103" s="307">
        <v>1.0689569975936002</v>
      </c>
      <c r="AI103" s="307">
        <v>1.0692443081731002</v>
      </c>
      <c r="AJ103" s="307">
        <v>1.0696119173487997</v>
      </c>
      <c r="AK103" s="307">
        <v>1.0701660817336998</v>
      </c>
      <c r="AL103" s="308">
        <v>1.071</v>
      </c>
      <c r="AM103" s="308">
        <f t="shared" si="2"/>
        <v>1.071</v>
      </c>
      <c r="AN103" s="299"/>
    </row>
    <row r="104" spans="1:40" x14ac:dyDescent="0.2">
      <c r="A104" s="303">
        <v>21</v>
      </c>
      <c r="B104" s="304">
        <v>0.96229999999999993</v>
      </c>
      <c r="C104" s="304">
        <v>0.97550000000000003</v>
      </c>
      <c r="D104" s="304">
        <v>0.98736350340192003</v>
      </c>
      <c r="E104" s="304">
        <v>0.99750000000000005</v>
      </c>
      <c r="F104" s="304">
        <v>1.00604866330624</v>
      </c>
      <c r="G104" s="304">
        <v>1.0134173688285602</v>
      </c>
      <c r="H104" s="304">
        <v>1.0196999999999998</v>
      </c>
      <c r="I104" s="304">
        <v>1.0250853630014198</v>
      </c>
      <c r="J104" s="305">
        <v>1.02969165392256</v>
      </c>
      <c r="K104" s="304">
        <v>1.0336593663548401</v>
      </c>
      <c r="L104" s="304">
        <v>1.03710496140256</v>
      </c>
      <c r="M104" s="304">
        <v>1.0398999999999998</v>
      </c>
      <c r="N104" s="304">
        <v>1.0428234103219201</v>
      </c>
      <c r="O104" s="304">
        <v>1.0452580759249601</v>
      </c>
      <c r="P104" s="304">
        <v>1.0474952515574401</v>
      </c>
      <c r="Q104" s="304">
        <v>1.0495832997000598</v>
      </c>
      <c r="R104" s="304">
        <v>1.0521</v>
      </c>
      <c r="S104" s="305">
        <v>1.0534476942109201</v>
      </c>
      <c r="T104" s="304">
        <v>1.05526576055136</v>
      </c>
      <c r="U104" s="304">
        <v>1.0570202374815401</v>
      </c>
      <c r="V104" s="304">
        <v>1.0587107768985602</v>
      </c>
      <c r="W104" s="304">
        <v>1.06033081875</v>
      </c>
      <c r="X104" s="304">
        <v>1.06186902306592</v>
      </c>
      <c r="Y104" s="304">
        <v>1.0633108114092602</v>
      </c>
      <c r="Z104" s="304">
        <v>1.0646400177446398</v>
      </c>
      <c r="AA104" s="304">
        <v>1.0658406487255598</v>
      </c>
      <c r="AB104" s="305">
        <v>1.0673000000000001</v>
      </c>
      <c r="AC104" s="304">
        <v>1.0678044023344202</v>
      </c>
      <c r="AD104" s="304">
        <v>1.0685537761561599</v>
      </c>
      <c r="AE104" s="304">
        <v>1.06915136351424</v>
      </c>
      <c r="AF104" s="304">
        <v>1.0696122684585601</v>
      </c>
      <c r="AG104" s="304">
        <v>1.0699646272375001</v>
      </c>
      <c r="AH104" s="304">
        <v>1.0702521345139202</v>
      </c>
      <c r="AI104" s="304">
        <v>1.0705366789995603</v>
      </c>
      <c r="AJ104" s="304">
        <v>1.0709010885078398</v>
      </c>
      <c r="AK104" s="304">
        <v>1.0715056678234647</v>
      </c>
      <c r="AL104" s="305">
        <v>1.0723</v>
      </c>
      <c r="AM104" s="305">
        <f t="shared" si="2"/>
        <v>1.0723</v>
      </c>
      <c r="AN104" s="299"/>
    </row>
    <row r="105" spans="1:40" x14ac:dyDescent="0.2">
      <c r="A105" s="303">
        <v>22</v>
      </c>
      <c r="B105" s="304">
        <v>0.96260000000000001</v>
      </c>
      <c r="C105" s="304">
        <v>0.97599999999999998</v>
      </c>
      <c r="D105" s="304">
        <v>0.98784674211424006</v>
      </c>
      <c r="E105" s="304">
        <v>0.998</v>
      </c>
      <c r="F105" s="304">
        <v>1.0066402184396801</v>
      </c>
      <c r="G105" s="304">
        <v>1.0140589044644202</v>
      </c>
      <c r="H105" s="304">
        <v>1.0204</v>
      </c>
      <c r="I105" s="304">
        <v>1.0258208791167398</v>
      </c>
      <c r="J105" s="305">
        <v>1.0304717567795201</v>
      </c>
      <c r="K105" s="304">
        <v>1.0344826795533801</v>
      </c>
      <c r="L105" s="304">
        <v>1.0379701759139199</v>
      </c>
      <c r="M105" s="304">
        <v>1.0407999999999999</v>
      </c>
      <c r="N105" s="304">
        <v>1.0437684559462401</v>
      </c>
      <c r="O105" s="304">
        <v>1.04624090938282</v>
      </c>
      <c r="P105" s="304">
        <v>1.0485143027900801</v>
      </c>
      <c r="Q105" s="304">
        <v>1.05063685802042</v>
      </c>
      <c r="R105" s="304">
        <v>1.0531999999999999</v>
      </c>
      <c r="S105" s="305">
        <v>1.05456453027274</v>
      </c>
      <c r="T105" s="304">
        <v>1.05641106914912</v>
      </c>
      <c r="U105" s="304">
        <v>1.05819172645978</v>
      </c>
      <c r="V105" s="304">
        <v>1.05990604091392</v>
      </c>
      <c r="W105" s="304">
        <v>1.0615473640624999</v>
      </c>
      <c r="X105" s="304">
        <v>1.0631042968662401</v>
      </c>
      <c r="Y105" s="304">
        <v>1.0645622348684201</v>
      </c>
      <c r="Z105" s="304">
        <v>1.0659050219724799</v>
      </c>
      <c r="AA105" s="304">
        <v>1.0671167128244199</v>
      </c>
      <c r="AB105" s="305">
        <v>1.0686</v>
      </c>
      <c r="AC105" s="304">
        <v>1.06909541259674</v>
      </c>
      <c r="AD105" s="304">
        <v>1.06984896643072</v>
      </c>
      <c r="AE105" s="304">
        <v>1.0704487988381801</v>
      </c>
      <c r="AF105" s="304">
        <v>1.0709102550819201</v>
      </c>
      <c r="AG105" s="304">
        <v>1.0712617461625</v>
      </c>
      <c r="AH105" s="304">
        <v>1.0715472714342402</v>
      </c>
      <c r="AI105" s="304">
        <v>1.0718290498260201</v>
      </c>
      <c r="AJ105" s="304">
        <v>1.0721902596668798</v>
      </c>
      <c r="AK105" s="304">
        <v>1.0728452539132298</v>
      </c>
      <c r="AL105" s="305">
        <v>1.0736000000000001</v>
      </c>
      <c r="AM105" s="305">
        <f t="shared" si="2"/>
        <v>1.0736000000000001</v>
      </c>
      <c r="AN105" s="299"/>
    </row>
    <row r="106" spans="1:40" x14ac:dyDescent="0.2">
      <c r="A106" s="303">
        <v>23</v>
      </c>
      <c r="B106" s="304">
        <v>0.96289999999999998</v>
      </c>
      <c r="C106" s="304">
        <v>0.97650000000000003</v>
      </c>
      <c r="D106" s="304">
        <v>0.98832998082655998</v>
      </c>
      <c r="E106" s="304">
        <v>0.99850000000000005</v>
      </c>
      <c r="F106" s="304">
        <v>1.00723177357312</v>
      </c>
      <c r="G106" s="304">
        <v>1.0147004401002802</v>
      </c>
      <c r="H106" s="304">
        <v>1.0210999999999999</v>
      </c>
      <c r="I106" s="304">
        <v>1.02655639523206</v>
      </c>
      <c r="J106" s="305">
        <v>1.0312518596364799</v>
      </c>
      <c r="K106" s="304">
        <v>1.0353059927519199</v>
      </c>
      <c r="L106" s="304">
        <v>1.0388353904252801</v>
      </c>
      <c r="M106" s="304">
        <v>1.0416999999999998</v>
      </c>
      <c r="N106" s="304">
        <v>1.04471350157056</v>
      </c>
      <c r="O106" s="304">
        <v>1.0472237428406801</v>
      </c>
      <c r="P106" s="304">
        <v>1.0495333540227199</v>
      </c>
      <c r="Q106" s="304">
        <v>1.0516904163407799</v>
      </c>
      <c r="R106" s="304">
        <v>1.0543</v>
      </c>
      <c r="S106" s="305">
        <v>1.0556813663345601</v>
      </c>
      <c r="T106" s="304">
        <v>1.0575563777468799</v>
      </c>
      <c r="U106" s="304">
        <v>1.0593632154380201</v>
      </c>
      <c r="V106" s="304">
        <v>1.0611013049292801</v>
      </c>
      <c r="W106" s="304">
        <v>1.0627639093750001</v>
      </c>
      <c r="X106" s="304">
        <v>1.0643395706665599</v>
      </c>
      <c r="Y106" s="304">
        <v>1.0658136583275801</v>
      </c>
      <c r="Z106" s="304">
        <v>1.0671700262003199</v>
      </c>
      <c r="AA106" s="304">
        <v>1.0683927769232797</v>
      </c>
      <c r="AB106" s="305">
        <v>1.0699000000000001</v>
      </c>
      <c r="AC106" s="304">
        <v>1.07038642285906</v>
      </c>
      <c r="AD106" s="304">
        <v>1.07114415670528</v>
      </c>
      <c r="AE106" s="304">
        <v>1.07174623416212</v>
      </c>
      <c r="AF106" s="304">
        <v>1.0722082417052801</v>
      </c>
      <c r="AG106" s="304">
        <v>1.0725588650875002</v>
      </c>
      <c r="AH106" s="304">
        <v>1.07284240835456</v>
      </c>
      <c r="AI106" s="304">
        <v>1.0731214206524802</v>
      </c>
      <c r="AJ106" s="304">
        <v>1.0734794308259199</v>
      </c>
      <c r="AK106" s="304">
        <v>1.0741848400029947</v>
      </c>
      <c r="AL106" s="305">
        <v>1.0749</v>
      </c>
      <c r="AM106" s="305">
        <f t="shared" si="2"/>
        <v>1.0749</v>
      </c>
      <c r="AN106" s="299"/>
    </row>
    <row r="107" spans="1:40" x14ac:dyDescent="0.2">
      <c r="A107" s="303">
        <v>24</v>
      </c>
      <c r="B107" s="304">
        <v>0.96320000000000006</v>
      </c>
      <c r="C107" s="304">
        <v>0.97699999999999998</v>
      </c>
      <c r="D107" s="304">
        <v>0.98881321953888002</v>
      </c>
      <c r="E107" s="304">
        <v>0.999</v>
      </c>
      <c r="F107" s="304">
        <v>1.0078233287065601</v>
      </c>
      <c r="G107" s="304">
        <v>1.0153419757361402</v>
      </c>
      <c r="H107" s="304">
        <v>1.0218</v>
      </c>
      <c r="I107" s="304">
        <v>1.02729191134738</v>
      </c>
      <c r="J107" s="305">
        <v>1.03203196249344</v>
      </c>
      <c r="K107" s="304">
        <v>1.0361293059504599</v>
      </c>
      <c r="L107" s="304">
        <v>1.03970060493664</v>
      </c>
      <c r="M107" s="304">
        <v>1.0426</v>
      </c>
      <c r="N107" s="304">
        <v>1.0456585471948801</v>
      </c>
      <c r="O107" s="304">
        <v>1.04820657629854</v>
      </c>
      <c r="P107" s="304">
        <v>1.0505524052553599</v>
      </c>
      <c r="Q107" s="304">
        <v>1.05274397466114</v>
      </c>
      <c r="R107" s="304">
        <v>1.0553999999999999</v>
      </c>
      <c r="S107" s="305">
        <v>1.05679820239638</v>
      </c>
      <c r="T107" s="304">
        <v>1.0587016863446399</v>
      </c>
      <c r="U107" s="304">
        <v>1.0605347044162601</v>
      </c>
      <c r="V107" s="304">
        <v>1.06229656894464</v>
      </c>
      <c r="W107" s="304">
        <v>1.0639804546875</v>
      </c>
      <c r="X107" s="304">
        <v>1.06557484446688</v>
      </c>
      <c r="Y107" s="304">
        <v>1.06706508178674</v>
      </c>
      <c r="Z107" s="304">
        <v>1.06843503042816</v>
      </c>
      <c r="AA107" s="304">
        <v>1.0696688410221398</v>
      </c>
      <c r="AB107" s="305">
        <v>1.0711999999999999</v>
      </c>
      <c r="AC107" s="304">
        <v>1.0716774331213799</v>
      </c>
      <c r="AD107" s="304">
        <v>1.0724393469798401</v>
      </c>
      <c r="AE107" s="304">
        <v>1.0730436694860601</v>
      </c>
      <c r="AF107" s="304">
        <v>1.0735062283286401</v>
      </c>
      <c r="AG107" s="304">
        <v>1.0738559840125002</v>
      </c>
      <c r="AH107" s="304">
        <v>1.07413754527488</v>
      </c>
      <c r="AI107" s="304">
        <v>1.07441379147894</v>
      </c>
      <c r="AJ107" s="304">
        <v>1.0747686019849598</v>
      </c>
      <c r="AK107" s="304">
        <v>1.0755244260927599</v>
      </c>
      <c r="AL107" s="305">
        <v>1.0762</v>
      </c>
      <c r="AM107" s="305">
        <f t="shared" si="2"/>
        <v>1.0762</v>
      </c>
      <c r="AN107" s="299"/>
    </row>
    <row r="108" spans="1:40" x14ac:dyDescent="0.2">
      <c r="A108" s="306">
        <v>25</v>
      </c>
      <c r="B108" s="307">
        <v>0.96350000000000002</v>
      </c>
      <c r="C108" s="307">
        <v>0.97750000000000004</v>
      </c>
      <c r="D108" s="307">
        <v>0.98929645825120005</v>
      </c>
      <c r="E108" s="307">
        <v>0.99950000000000006</v>
      </c>
      <c r="F108" s="307">
        <v>1.00841488384</v>
      </c>
      <c r="G108" s="307">
        <v>1.0159835113720002</v>
      </c>
      <c r="H108" s="307">
        <v>1.0225</v>
      </c>
      <c r="I108" s="307">
        <v>1.0280274274626999</v>
      </c>
      <c r="J108" s="308">
        <v>1.0328120653504</v>
      </c>
      <c r="K108" s="307">
        <v>1.0369526191489999</v>
      </c>
      <c r="L108" s="307">
        <v>1.0405658194480001</v>
      </c>
      <c r="M108" s="307">
        <v>1.0434999999999999</v>
      </c>
      <c r="N108" s="307">
        <v>1.0466035928192001</v>
      </c>
      <c r="O108" s="307">
        <v>1.0491894097564001</v>
      </c>
      <c r="P108" s="307">
        <v>1.0515714564879999</v>
      </c>
      <c r="Q108" s="307">
        <v>1.0537975329814999</v>
      </c>
      <c r="R108" s="307">
        <v>1.0565</v>
      </c>
      <c r="S108" s="308">
        <v>1.0579150384582001</v>
      </c>
      <c r="T108" s="307">
        <v>1.0598469949423999</v>
      </c>
      <c r="U108" s="307">
        <v>1.0617061933945</v>
      </c>
      <c r="V108" s="307">
        <v>1.06349183296</v>
      </c>
      <c r="W108" s="307">
        <v>1.0651969999999999</v>
      </c>
      <c r="X108" s="307">
        <v>1.0668101182672001</v>
      </c>
      <c r="Y108" s="307">
        <v>1.0683165052459</v>
      </c>
      <c r="Z108" s="307">
        <v>1.0697000346559999</v>
      </c>
      <c r="AA108" s="307">
        <v>1.0709449051209998</v>
      </c>
      <c r="AB108" s="308">
        <v>1.0725</v>
      </c>
      <c r="AC108" s="307">
        <v>1.0729684433836999</v>
      </c>
      <c r="AD108" s="307">
        <v>1.0737345372544</v>
      </c>
      <c r="AE108" s="307">
        <v>1.07434110481</v>
      </c>
      <c r="AF108" s="307">
        <v>1.0748042149520001</v>
      </c>
      <c r="AG108" s="307">
        <v>1.0751531029375001</v>
      </c>
      <c r="AH108" s="307">
        <v>1.0754326821952001</v>
      </c>
      <c r="AI108" s="307">
        <v>1.0757061623054001</v>
      </c>
      <c r="AJ108" s="307">
        <v>1.076057773144</v>
      </c>
      <c r="AK108" s="307">
        <v>1.0768640121825248</v>
      </c>
      <c r="AL108" s="308">
        <v>1.0775000000000001</v>
      </c>
      <c r="AM108" s="308">
        <f t="shared" si="2"/>
        <v>1.0775000000000001</v>
      </c>
      <c r="AN108" s="299"/>
    </row>
    <row r="109" spans="1:40" x14ac:dyDescent="0.2">
      <c r="A109" s="303">
        <v>26</v>
      </c>
      <c r="B109" s="304">
        <v>0.96379999999999999</v>
      </c>
      <c r="C109" s="304">
        <v>0.97799999999999998</v>
      </c>
      <c r="D109" s="304">
        <v>0.98977969696352008</v>
      </c>
      <c r="E109" s="304">
        <v>1</v>
      </c>
      <c r="F109" s="304">
        <v>1.0090064389734399</v>
      </c>
      <c r="G109" s="304">
        <v>1.0166250470078602</v>
      </c>
      <c r="H109" s="304">
        <v>1.0231999999999999</v>
      </c>
      <c r="I109" s="304">
        <v>1.0287629435780199</v>
      </c>
      <c r="J109" s="305">
        <v>1.0335921682073601</v>
      </c>
      <c r="K109" s="304">
        <v>1.03777593234754</v>
      </c>
      <c r="L109" s="304">
        <v>1.04143103395936</v>
      </c>
      <c r="M109" s="304">
        <v>1.0444</v>
      </c>
      <c r="N109" s="304">
        <v>1.0475486384435202</v>
      </c>
      <c r="O109" s="304">
        <v>1.0501722432142602</v>
      </c>
      <c r="P109" s="304">
        <v>1.0525905077206399</v>
      </c>
      <c r="Q109" s="304">
        <v>1.0548510913018598</v>
      </c>
      <c r="R109" s="304">
        <v>1.0576000000000001</v>
      </c>
      <c r="S109" s="305">
        <v>1.05903187452002</v>
      </c>
      <c r="T109" s="304">
        <v>1.0609923035401598</v>
      </c>
      <c r="U109" s="304">
        <v>1.0628776823727399</v>
      </c>
      <c r="V109" s="304">
        <v>1.0646870969753601</v>
      </c>
      <c r="W109" s="304">
        <v>1.0664135453124999</v>
      </c>
      <c r="X109" s="304">
        <v>1.0680453920675201</v>
      </c>
      <c r="Y109" s="304">
        <v>1.0695679287050601</v>
      </c>
      <c r="Z109" s="304">
        <v>1.0709650388838399</v>
      </c>
      <c r="AA109" s="304">
        <v>1.0722209692198599</v>
      </c>
      <c r="AB109" s="305">
        <v>1.0738000000000001</v>
      </c>
      <c r="AC109" s="304">
        <v>1.0742594536460199</v>
      </c>
      <c r="AD109" s="304">
        <v>1.07502972752896</v>
      </c>
      <c r="AE109" s="304">
        <v>1.0756385401339399</v>
      </c>
      <c r="AF109" s="304">
        <v>1.0761022015753601</v>
      </c>
      <c r="AG109" s="304">
        <v>1.0764502218625001</v>
      </c>
      <c r="AH109" s="304">
        <v>1.0767278191155201</v>
      </c>
      <c r="AI109" s="304">
        <v>1.0769985331318599</v>
      </c>
      <c r="AJ109" s="304">
        <v>1.0773469443030401</v>
      </c>
      <c r="AK109" s="304">
        <v>1.07820359827229</v>
      </c>
      <c r="AL109" s="305">
        <v>1.0788000000000002</v>
      </c>
      <c r="AM109" s="305">
        <f t="shared" si="2"/>
        <v>1.0788000000000002</v>
      </c>
      <c r="AN109" s="299"/>
    </row>
    <row r="110" spans="1:40" x14ac:dyDescent="0.2">
      <c r="A110" s="303">
        <v>27</v>
      </c>
      <c r="B110" s="304">
        <v>0.96409999999999996</v>
      </c>
      <c r="C110" s="304">
        <v>0.97850000000000004</v>
      </c>
      <c r="D110" s="304">
        <v>0.99026293567584001</v>
      </c>
      <c r="E110" s="304">
        <v>1.0004999999999999</v>
      </c>
      <c r="F110" s="304">
        <v>1.00959799410688</v>
      </c>
      <c r="G110" s="304">
        <v>1.0172665826437202</v>
      </c>
      <c r="H110" s="304">
        <v>1.0239</v>
      </c>
      <c r="I110" s="304">
        <v>1.0294984596933399</v>
      </c>
      <c r="J110" s="305">
        <v>1.0343722710643199</v>
      </c>
      <c r="K110" s="304">
        <v>1.03859924554608</v>
      </c>
      <c r="L110" s="304">
        <v>1.0422962484707201</v>
      </c>
      <c r="M110" s="304">
        <v>1.0452999999999999</v>
      </c>
      <c r="N110" s="304">
        <v>1.04849368406784</v>
      </c>
      <c r="O110" s="304">
        <v>1.05115507667212</v>
      </c>
      <c r="P110" s="304">
        <v>1.0536095589532799</v>
      </c>
      <c r="Q110" s="304">
        <v>1.05590464962222</v>
      </c>
      <c r="R110" s="304">
        <v>1.0587</v>
      </c>
      <c r="S110" s="305">
        <v>1.0601487105818401</v>
      </c>
      <c r="T110" s="304">
        <v>1.0621376121379198</v>
      </c>
      <c r="U110" s="304">
        <v>1.0640491713509801</v>
      </c>
      <c r="V110" s="304">
        <v>1.06588236099072</v>
      </c>
      <c r="W110" s="304">
        <v>1.067630090625</v>
      </c>
      <c r="X110" s="304">
        <v>1.0692806658678402</v>
      </c>
      <c r="Y110" s="304">
        <v>1.07081935216422</v>
      </c>
      <c r="Z110" s="304">
        <v>1.07223004311168</v>
      </c>
      <c r="AA110" s="304">
        <v>1.0734970333187199</v>
      </c>
      <c r="AB110" s="305">
        <v>1.0750999999999999</v>
      </c>
      <c r="AC110" s="304">
        <v>1.07555046390834</v>
      </c>
      <c r="AD110" s="304">
        <v>1.0763249178035199</v>
      </c>
      <c r="AE110" s="304">
        <v>1.07693597545788</v>
      </c>
      <c r="AF110" s="304">
        <v>1.0774001881987201</v>
      </c>
      <c r="AG110" s="304">
        <v>1.0777473407875</v>
      </c>
      <c r="AH110" s="304">
        <v>1.0780229560358401</v>
      </c>
      <c r="AI110" s="304">
        <v>1.0782909039583199</v>
      </c>
      <c r="AJ110" s="304">
        <v>1.07863611546208</v>
      </c>
      <c r="AK110" s="304">
        <v>1.0795431843620549</v>
      </c>
      <c r="AL110" s="305">
        <v>1.0801000000000001</v>
      </c>
      <c r="AM110" s="305">
        <f t="shared" si="2"/>
        <v>1.0801000000000001</v>
      </c>
      <c r="AN110" s="299"/>
    </row>
    <row r="111" spans="1:40" x14ac:dyDescent="0.2">
      <c r="A111" s="303">
        <v>28</v>
      </c>
      <c r="B111" s="304">
        <v>0.96440000000000003</v>
      </c>
      <c r="C111" s="304">
        <v>0.97899999999999998</v>
      </c>
      <c r="D111" s="304">
        <v>0.99074617438816004</v>
      </c>
      <c r="E111" s="304">
        <v>1.0010000000000001</v>
      </c>
      <c r="F111" s="304">
        <v>1.0101895492403199</v>
      </c>
      <c r="G111" s="304">
        <v>1.0179081182795799</v>
      </c>
      <c r="H111" s="304">
        <v>1.0246</v>
      </c>
      <c r="I111" s="304">
        <v>1.0302339758086601</v>
      </c>
      <c r="J111" s="305">
        <v>1.03515237392128</v>
      </c>
      <c r="K111" s="304">
        <v>1.03942255874462</v>
      </c>
      <c r="L111" s="304">
        <v>1.04316146298208</v>
      </c>
      <c r="M111" s="304">
        <v>1.0462</v>
      </c>
      <c r="N111" s="304">
        <v>1.0494387296921601</v>
      </c>
      <c r="O111" s="304">
        <v>1.0521379101299801</v>
      </c>
      <c r="P111" s="304">
        <v>1.0546286101859199</v>
      </c>
      <c r="Q111" s="304">
        <v>1.0569582079425799</v>
      </c>
      <c r="R111" s="304">
        <v>1.0598000000000001</v>
      </c>
      <c r="S111" s="305">
        <v>1.06126554664366</v>
      </c>
      <c r="T111" s="304">
        <v>1.06328292073568</v>
      </c>
      <c r="U111" s="304">
        <v>1.06522066032922</v>
      </c>
      <c r="V111" s="304">
        <v>1.0670776250060801</v>
      </c>
      <c r="W111" s="304">
        <v>1.0688466359375</v>
      </c>
      <c r="X111" s="304">
        <v>1.0705159396681601</v>
      </c>
      <c r="Y111" s="304">
        <v>1.07207077562338</v>
      </c>
      <c r="Z111" s="304">
        <v>1.0734950473395199</v>
      </c>
      <c r="AA111" s="304">
        <v>1.07477309741758</v>
      </c>
      <c r="AB111" s="305">
        <v>1.0764</v>
      </c>
      <c r="AC111" s="304">
        <v>1.0768414741706598</v>
      </c>
      <c r="AD111" s="304">
        <v>1.0776201080780801</v>
      </c>
      <c r="AE111" s="304">
        <v>1.0782334107818199</v>
      </c>
      <c r="AF111" s="304">
        <v>1.0786981748220801</v>
      </c>
      <c r="AG111" s="304">
        <v>1.0790444597125002</v>
      </c>
      <c r="AH111" s="304">
        <v>1.0793180929561599</v>
      </c>
      <c r="AI111" s="304">
        <v>1.0795832747847798</v>
      </c>
      <c r="AJ111" s="304">
        <v>1.0799252866211202</v>
      </c>
      <c r="AK111" s="304">
        <v>1.08088277045182</v>
      </c>
      <c r="AL111" s="305">
        <v>1.0814000000000001</v>
      </c>
      <c r="AM111" s="305">
        <f t="shared" si="2"/>
        <v>1.0814000000000001</v>
      </c>
      <c r="AN111" s="299"/>
    </row>
    <row r="112" spans="1:40" x14ac:dyDescent="0.2">
      <c r="A112" s="303">
        <v>29</v>
      </c>
      <c r="B112" s="304">
        <v>0.9647</v>
      </c>
      <c r="C112" s="304">
        <v>0.97950000000000004</v>
      </c>
      <c r="D112" s="304">
        <v>0.99122941310047996</v>
      </c>
      <c r="E112" s="304">
        <v>1.0015000000000001</v>
      </c>
      <c r="F112" s="304">
        <v>1.01078110437376</v>
      </c>
      <c r="G112" s="304">
        <v>1.0185496539154399</v>
      </c>
      <c r="H112" s="304">
        <v>1.0253000000000001</v>
      </c>
      <c r="I112" s="304">
        <v>1.03096949192398</v>
      </c>
      <c r="J112" s="305">
        <v>1.0359324767782399</v>
      </c>
      <c r="K112" s="304">
        <v>1.04024587194316</v>
      </c>
      <c r="L112" s="304">
        <v>1.0440266774934401</v>
      </c>
      <c r="M112" s="304">
        <v>1.0470999999999999</v>
      </c>
      <c r="N112" s="304">
        <v>1.05038377531648</v>
      </c>
      <c r="O112" s="304">
        <v>1.05312074358784</v>
      </c>
      <c r="P112" s="304">
        <v>1.0556476614185599</v>
      </c>
      <c r="Q112" s="304">
        <v>1.05801176626294</v>
      </c>
      <c r="R112" s="304">
        <v>1.0609</v>
      </c>
      <c r="S112" s="305">
        <v>1.0623823827054801</v>
      </c>
      <c r="T112" s="304">
        <v>1.0644282293334399</v>
      </c>
      <c r="U112" s="304">
        <v>1.0663921493074602</v>
      </c>
      <c r="V112" s="304">
        <v>1.0682728890214399</v>
      </c>
      <c r="W112" s="304">
        <v>1.0700631812500001</v>
      </c>
      <c r="X112" s="304">
        <v>1.0717512134684801</v>
      </c>
      <c r="Y112" s="304">
        <v>1.0733221990825399</v>
      </c>
      <c r="Z112" s="304">
        <v>1.0747600515673601</v>
      </c>
      <c r="AA112" s="304">
        <v>1.07604916151644</v>
      </c>
      <c r="AB112" s="305">
        <v>1.0776999999999999</v>
      </c>
      <c r="AC112" s="304">
        <v>1.0781324844329798</v>
      </c>
      <c r="AD112" s="304">
        <v>1.07891529835264</v>
      </c>
      <c r="AE112" s="304">
        <v>1.07953084610576</v>
      </c>
      <c r="AF112" s="304">
        <v>1.0799961614454401</v>
      </c>
      <c r="AG112" s="304">
        <v>1.0803415786375001</v>
      </c>
      <c r="AH112" s="304">
        <v>1.0806132298764799</v>
      </c>
      <c r="AI112" s="304">
        <v>1.0808756456112398</v>
      </c>
      <c r="AJ112" s="304">
        <v>1.0812144577801601</v>
      </c>
      <c r="AK112" s="304">
        <v>1.0822223565415849</v>
      </c>
      <c r="AL112" s="305">
        <v>1.0827</v>
      </c>
      <c r="AM112" s="305">
        <f t="shared" si="2"/>
        <v>1.0827</v>
      </c>
      <c r="AN112" s="299"/>
    </row>
    <row r="113" spans="1:40" x14ac:dyDescent="0.2">
      <c r="A113" s="306">
        <v>30</v>
      </c>
      <c r="B113" s="307">
        <v>0.96499999999999997</v>
      </c>
      <c r="C113" s="307">
        <v>0.98</v>
      </c>
      <c r="D113" s="307">
        <v>0.99171265181279999</v>
      </c>
      <c r="E113" s="307">
        <v>1.002</v>
      </c>
      <c r="F113" s="307">
        <v>1.0113726595071999</v>
      </c>
      <c r="G113" s="307">
        <v>1.0191911895512999</v>
      </c>
      <c r="H113" s="307">
        <v>1.026</v>
      </c>
      <c r="I113" s="307">
        <v>1.0317050080393</v>
      </c>
      <c r="J113" s="308">
        <v>1.0367125796351999</v>
      </c>
      <c r="K113" s="307">
        <v>1.0410691851417</v>
      </c>
      <c r="L113" s="307">
        <v>1.0448918920048</v>
      </c>
      <c r="M113" s="307">
        <v>1.048</v>
      </c>
      <c r="N113" s="307">
        <v>1.0513288209408</v>
      </c>
      <c r="O113" s="307">
        <v>1.0541035770457001</v>
      </c>
      <c r="P113" s="307">
        <v>1.0566667126511999</v>
      </c>
      <c r="Q113" s="307">
        <v>1.0590653245832999</v>
      </c>
      <c r="R113" s="307">
        <v>1.0620000000000001</v>
      </c>
      <c r="S113" s="308">
        <v>1.0634992187673</v>
      </c>
      <c r="T113" s="307">
        <v>1.0655735379311999</v>
      </c>
      <c r="U113" s="307">
        <v>1.0675636382857001</v>
      </c>
      <c r="V113" s="307">
        <v>1.0694681530368</v>
      </c>
      <c r="W113" s="307">
        <v>1.0712797265625</v>
      </c>
      <c r="X113" s="307">
        <v>1.0729864872688002</v>
      </c>
      <c r="Y113" s="307">
        <v>1.0745736225417</v>
      </c>
      <c r="Z113" s="307">
        <v>1.0760250557952</v>
      </c>
      <c r="AA113" s="307">
        <v>1.0773252256153001</v>
      </c>
      <c r="AB113" s="308">
        <v>1.079</v>
      </c>
      <c r="AC113" s="307">
        <v>1.0794234946952999</v>
      </c>
      <c r="AD113" s="307">
        <v>1.0802104886271999</v>
      </c>
      <c r="AE113" s="307">
        <v>1.0808282814296999</v>
      </c>
      <c r="AF113" s="307">
        <v>1.0812941480688001</v>
      </c>
      <c r="AG113" s="307">
        <v>1.0816386975625001</v>
      </c>
      <c r="AH113" s="307">
        <v>1.0819083667967999</v>
      </c>
      <c r="AI113" s="307">
        <v>1.0821680164376997</v>
      </c>
      <c r="AJ113" s="307">
        <v>1.0825036289392003</v>
      </c>
      <c r="AK113" s="307">
        <v>1.0835619426313501</v>
      </c>
      <c r="AL113" s="308">
        <v>1.0840000000000001</v>
      </c>
      <c r="AM113" s="308">
        <f t="shared" si="2"/>
        <v>1.0840000000000001</v>
      </c>
      <c r="AN113" s="299"/>
    </row>
    <row r="114" spans="1:40" x14ac:dyDescent="0.2">
      <c r="A114" s="303">
        <v>31</v>
      </c>
      <c r="B114" s="304">
        <v>0.96509999999999996</v>
      </c>
      <c r="C114" s="304">
        <v>0.98</v>
      </c>
      <c r="D114" s="304">
        <v>0.99181186759263995</v>
      </c>
      <c r="E114" s="304">
        <v>1.0022</v>
      </c>
      <c r="F114" s="304">
        <v>1.01150983997056</v>
      </c>
      <c r="G114" s="304">
        <v>1.01934549443695</v>
      </c>
      <c r="H114" s="304">
        <v>1.0261</v>
      </c>
      <c r="I114" s="304">
        <v>1.03189270968739</v>
      </c>
      <c r="J114" s="305">
        <v>1.03691695491904</v>
      </c>
      <c r="K114" s="304">
        <v>1.0412901999031099</v>
      </c>
      <c r="L114" s="304">
        <v>1.0451293572592</v>
      </c>
      <c r="M114" s="304">
        <v>1.0483</v>
      </c>
      <c r="N114" s="304">
        <v>1.05159772475264</v>
      </c>
      <c r="O114" s="304">
        <v>1.0543869871759901</v>
      </c>
      <c r="P114" s="304">
        <v>1.05696353418016</v>
      </c>
      <c r="Q114" s="304">
        <v>1.05937430834195</v>
      </c>
      <c r="R114" s="304">
        <v>1.0623</v>
      </c>
      <c r="S114" s="305">
        <v>1.0638285170683901</v>
      </c>
      <c r="T114" s="304">
        <v>1.06591106267744</v>
      </c>
      <c r="U114" s="304">
        <v>1.0679082954417101</v>
      </c>
      <c r="V114" s="304">
        <v>1.0698190975552</v>
      </c>
      <c r="W114" s="304">
        <v>1.07163643559375</v>
      </c>
      <c r="X114" s="304">
        <v>1.0733488190646401</v>
      </c>
      <c r="Y114" s="304">
        <v>1.0749418559833899</v>
      </c>
      <c r="Z114" s="304">
        <v>1.07639990547776</v>
      </c>
      <c r="AA114" s="304">
        <v>1.07770782741895</v>
      </c>
      <c r="AB114" s="305">
        <v>1.0793999999999999</v>
      </c>
      <c r="AC114" s="304">
        <v>1.0798264088213898</v>
      </c>
      <c r="AD114" s="304">
        <v>1.0806263968038399</v>
      </c>
      <c r="AE114" s="304">
        <v>1.0812590927283099</v>
      </c>
      <c r="AF114" s="304">
        <v>1.0817415006032001</v>
      </c>
      <c r="AG114" s="304">
        <v>1.08210366053875</v>
      </c>
      <c r="AH114" s="304">
        <v>1.0823910775686398</v>
      </c>
      <c r="AI114" s="304">
        <v>1.0826672474987897</v>
      </c>
      <c r="AJ114" s="304">
        <v>1.0830162797833602</v>
      </c>
      <c r="AK114" s="304">
        <v>1.0840287680135952</v>
      </c>
      <c r="AL114" s="305">
        <v>1.0845</v>
      </c>
      <c r="AM114" s="305">
        <f t="shared" si="2"/>
        <v>1.0845</v>
      </c>
      <c r="AN114" s="299"/>
    </row>
    <row r="115" spans="1:40" x14ac:dyDescent="0.2">
      <c r="A115" s="303">
        <v>32</v>
      </c>
      <c r="B115" s="304">
        <v>0.96519999999999995</v>
      </c>
      <c r="C115" s="304">
        <v>0.98</v>
      </c>
      <c r="D115" s="304">
        <v>0.99191108337248002</v>
      </c>
      <c r="E115" s="304">
        <v>1.0024</v>
      </c>
      <c r="F115" s="304">
        <v>1.0116470204339199</v>
      </c>
      <c r="G115" s="304">
        <v>1.0194997993226</v>
      </c>
      <c r="H115" s="304">
        <v>1.0262</v>
      </c>
      <c r="I115" s="304">
        <v>1.03208041133548</v>
      </c>
      <c r="J115" s="305">
        <v>1.0371213302028799</v>
      </c>
      <c r="K115" s="304">
        <v>1.04151121466452</v>
      </c>
      <c r="L115" s="304">
        <v>1.0453668225135999</v>
      </c>
      <c r="M115" s="304">
        <v>1.0486</v>
      </c>
      <c r="N115" s="304">
        <v>1.05186662856448</v>
      </c>
      <c r="O115" s="304">
        <v>1.0546703973062801</v>
      </c>
      <c r="P115" s="304">
        <v>1.05726035570912</v>
      </c>
      <c r="Q115" s="304">
        <v>1.0596832921006001</v>
      </c>
      <c r="R115" s="304">
        <v>1.0626</v>
      </c>
      <c r="S115" s="305">
        <v>1.06415781536948</v>
      </c>
      <c r="T115" s="304">
        <v>1.06624858742368</v>
      </c>
      <c r="U115" s="304">
        <v>1.06825295259772</v>
      </c>
      <c r="V115" s="304">
        <v>1.0701700420736</v>
      </c>
      <c r="W115" s="304">
        <v>1.0719931446249999</v>
      </c>
      <c r="X115" s="304">
        <v>1.0737111508604802</v>
      </c>
      <c r="Y115" s="304">
        <v>1.07531008942508</v>
      </c>
      <c r="Z115" s="304">
        <v>1.07677475516032</v>
      </c>
      <c r="AA115" s="304">
        <v>1.0780904292226001</v>
      </c>
      <c r="AB115" s="305">
        <v>1.0797999999999999</v>
      </c>
      <c r="AC115" s="304">
        <v>1.08022932294748</v>
      </c>
      <c r="AD115" s="304">
        <v>1.0810423049804798</v>
      </c>
      <c r="AE115" s="304">
        <v>1.0816899040269199</v>
      </c>
      <c r="AF115" s="304">
        <v>1.0821888531376</v>
      </c>
      <c r="AG115" s="304">
        <v>1.0825686235150001</v>
      </c>
      <c r="AH115" s="304">
        <v>1.08287378834048</v>
      </c>
      <c r="AI115" s="304">
        <v>1.0831664785598798</v>
      </c>
      <c r="AJ115" s="304">
        <v>1.0835289306275202</v>
      </c>
      <c r="AK115" s="304">
        <v>1.0844955933958402</v>
      </c>
      <c r="AL115" s="305">
        <v>1.085</v>
      </c>
      <c r="AM115" s="305">
        <f t="shared" si="2"/>
        <v>1.085</v>
      </c>
      <c r="AN115" s="299"/>
    </row>
    <row r="116" spans="1:40" x14ac:dyDescent="0.2">
      <c r="A116" s="303">
        <v>33</v>
      </c>
      <c r="B116" s="304">
        <v>0.96530000000000005</v>
      </c>
      <c r="C116" s="304">
        <v>0.98</v>
      </c>
      <c r="D116" s="304">
        <v>0.99201029915231997</v>
      </c>
      <c r="E116" s="304">
        <v>1.0026000000000002</v>
      </c>
      <c r="F116" s="304">
        <v>1.0117842008972799</v>
      </c>
      <c r="G116" s="304">
        <v>1.0196541042082499</v>
      </c>
      <c r="H116" s="304">
        <v>1.0263</v>
      </c>
      <c r="I116" s="304">
        <v>1.03226811298357</v>
      </c>
      <c r="J116" s="305">
        <v>1.03732570548672</v>
      </c>
      <c r="K116" s="304">
        <v>1.0417322294259299</v>
      </c>
      <c r="L116" s="304">
        <v>1.0456042877680001</v>
      </c>
      <c r="M116" s="304">
        <v>1.0489000000000002</v>
      </c>
      <c r="N116" s="304">
        <v>1.0521355323763202</v>
      </c>
      <c r="O116" s="304">
        <v>1.0549538074365701</v>
      </c>
      <c r="P116" s="304">
        <v>1.0575571772380798</v>
      </c>
      <c r="Q116" s="304">
        <v>1.0599922758592499</v>
      </c>
      <c r="R116" s="304">
        <v>1.0629</v>
      </c>
      <c r="S116" s="305">
        <v>1.06448711367057</v>
      </c>
      <c r="T116" s="304">
        <v>1.0665861121699201</v>
      </c>
      <c r="U116" s="304">
        <v>1.0685976097537302</v>
      </c>
      <c r="V116" s="304">
        <v>1.0705209865919998</v>
      </c>
      <c r="W116" s="304">
        <v>1.0723498536562501</v>
      </c>
      <c r="X116" s="304">
        <v>1.0740734826563201</v>
      </c>
      <c r="Y116" s="304">
        <v>1.0756783228667699</v>
      </c>
      <c r="Z116" s="304">
        <v>1.0771496048428801</v>
      </c>
      <c r="AA116" s="304">
        <v>1.07847303102625</v>
      </c>
      <c r="AB116" s="305">
        <v>1.0802</v>
      </c>
      <c r="AC116" s="304">
        <v>1.0806322370735699</v>
      </c>
      <c r="AD116" s="304">
        <v>1.08145821315712</v>
      </c>
      <c r="AE116" s="304">
        <v>1.0821207153255299</v>
      </c>
      <c r="AF116" s="304">
        <v>1.082636205672</v>
      </c>
      <c r="AG116" s="304">
        <v>1.0830335864912499</v>
      </c>
      <c r="AH116" s="304">
        <v>1.0833564991123199</v>
      </c>
      <c r="AI116" s="304">
        <v>1.0836657096209699</v>
      </c>
      <c r="AJ116" s="304">
        <v>1.0840415814716804</v>
      </c>
      <c r="AK116" s="304">
        <v>1.0849624187780851</v>
      </c>
      <c r="AL116" s="305">
        <v>1.0855000000000001</v>
      </c>
      <c r="AM116" s="305">
        <f t="shared" si="2"/>
        <v>1.0855000000000001</v>
      </c>
      <c r="AN116" s="299"/>
    </row>
    <row r="117" spans="1:40" x14ac:dyDescent="0.2">
      <c r="A117" s="303">
        <v>34</v>
      </c>
      <c r="B117" s="304">
        <v>0.96540000000000004</v>
      </c>
      <c r="C117" s="304">
        <v>0.98</v>
      </c>
      <c r="D117" s="304">
        <v>0.99210951493216004</v>
      </c>
      <c r="E117" s="304">
        <v>1.0028000000000001</v>
      </c>
      <c r="F117" s="304">
        <v>1.0119213813606398</v>
      </c>
      <c r="G117" s="304">
        <v>1.0198084090938999</v>
      </c>
      <c r="H117" s="304">
        <v>1.0264</v>
      </c>
      <c r="I117" s="304">
        <v>1.03245581463166</v>
      </c>
      <c r="J117" s="305">
        <v>1.0375300807705599</v>
      </c>
      <c r="K117" s="304">
        <v>1.04195324418734</v>
      </c>
      <c r="L117" s="304">
        <v>1.0458417530224</v>
      </c>
      <c r="M117" s="304">
        <v>1.0492000000000001</v>
      </c>
      <c r="N117" s="304">
        <v>1.0524044361881602</v>
      </c>
      <c r="O117" s="304">
        <v>1.0552372175668601</v>
      </c>
      <c r="P117" s="304">
        <v>1.0578539987670399</v>
      </c>
      <c r="Q117" s="304">
        <v>1.0603012596179</v>
      </c>
      <c r="R117" s="304">
        <v>1.0631999999999999</v>
      </c>
      <c r="S117" s="305">
        <v>1.0648164119716599</v>
      </c>
      <c r="T117" s="304">
        <v>1.0669236369161601</v>
      </c>
      <c r="U117" s="304">
        <v>1.0689422669097401</v>
      </c>
      <c r="V117" s="304">
        <v>1.0708719311103998</v>
      </c>
      <c r="W117" s="304">
        <v>1.0727065626875001</v>
      </c>
      <c r="X117" s="304">
        <v>1.0744358144521602</v>
      </c>
      <c r="Y117" s="304">
        <v>1.07604655630846</v>
      </c>
      <c r="Z117" s="304">
        <v>1.0775244545254401</v>
      </c>
      <c r="AA117" s="304">
        <v>1.0788556328299002</v>
      </c>
      <c r="AB117" s="305">
        <v>1.0806</v>
      </c>
      <c r="AC117" s="304">
        <v>1.0810351511996601</v>
      </c>
      <c r="AD117" s="304">
        <v>1.0818741213337599</v>
      </c>
      <c r="AE117" s="304">
        <v>1.0825515266241399</v>
      </c>
      <c r="AF117" s="304">
        <v>1.0830835582064</v>
      </c>
      <c r="AG117" s="304">
        <v>1.0834985494675</v>
      </c>
      <c r="AH117" s="304">
        <v>1.08383920988416</v>
      </c>
      <c r="AI117" s="304">
        <v>1.0841649406820599</v>
      </c>
      <c r="AJ117" s="304">
        <v>1.0845542323158404</v>
      </c>
      <c r="AK117" s="304">
        <v>1.0854292441603302</v>
      </c>
      <c r="AL117" s="305">
        <v>1.0860000000000001</v>
      </c>
      <c r="AM117" s="305">
        <f t="shared" si="2"/>
        <v>1.0860000000000001</v>
      </c>
      <c r="AN117" s="299"/>
    </row>
    <row r="118" spans="1:40" x14ac:dyDescent="0.2">
      <c r="A118" s="306">
        <v>35</v>
      </c>
      <c r="B118" s="307">
        <v>0.96550000000000002</v>
      </c>
      <c r="C118" s="307">
        <v>0.98</v>
      </c>
      <c r="D118" s="307">
        <v>0.992208730712</v>
      </c>
      <c r="E118" s="307">
        <v>1.0030000000000001</v>
      </c>
      <c r="F118" s="307">
        <v>1.0120585618239999</v>
      </c>
      <c r="G118" s="307">
        <v>1.01996271397955</v>
      </c>
      <c r="H118" s="307">
        <v>1.0265</v>
      </c>
      <c r="I118" s="307">
        <v>1.03264351627975</v>
      </c>
      <c r="J118" s="308">
        <v>1.0377344560544</v>
      </c>
      <c r="K118" s="307">
        <v>1.0421742589487499</v>
      </c>
      <c r="L118" s="307">
        <v>1.0460792182767999</v>
      </c>
      <c r="M118" s="307">
        <v>1.0495000000000001</v>
      </c>
      <c r="N118" s="307">
        <v>1.0526733400000001</v>
      </c>
      <c r="O118" s="307">
        <v>1.05552062769715</v>
      </c>
      <c r="P118" s="307">
        <v>1.0581508202959999</v>
      </c>
      <c r="Q118" s="307">
        <v>1.0606102433765501</v>
      </c>
      <c r="R118" s="307">
        <v>1.0634999999999999</v>
      </c>
      <c r="S118" s="308">
        <v>1.06514571027275</v>
      </c>
      <c r="T118" s="307">
        <v>1.0672611616624001</v>
      </c>
      <c r="U118" s="307">
        <v>1.0692869240657501</v>
      </c>
      <c r="V118" s="307">
        <v>1.0712228756287998</v>
      </c>
      <c r="W118" s="307">
        <v>1.07306327171875</v>
      </c>
      <c r="X118" s="307">
        <v>1.0747981462480001</v>
      </c>
      <c r="Y118" s="307">
        <v>1.0764147897501499</v>
      </c>
      <c r="Z118" s="307">
        <v>1.0778993042080001</v>
      </c>
      <c r="AA118" s="307">
        <v>1.0792382346335501</v>
      </c>
      <c r="AB118" s="308">
        <v>1.081</v>
      </c>
      <c r="AC118" s="307">
        <v>1.08143806532575</v>
      </c>
      <c r="AD118" s="307">
        <v>1.0822900295103999</v>
      </c>
      <c r="AE118" s="307">
        <v>1.0829823379227499</v>
      </c>
      <c r="AF118" s="307">
        <v>1.0835309107408</v>
      </c>
      <c r="AG118" s="307">
        <v>1.0839635124437499</v>
      </c>
      <c r="AH118" s="307">
        <v>1.084321920656</v>
      </c>
      <c r="AI118" s="307">
        <v>1.08466417174315</v>
      </c>
      <c r="AJ118" s="307">
        <v>1.0850668831600003</v>
      </c>
      <c r="AK118" s="307">
        <v>1.0858960695425752</v>
      </c>
      <c r="AL118" s="308">
        <v>1.0865</v>
      </c>
      <c r="AM118" s="308">
        <f t="shared" si="2"/>
        <v>1.0865</v>
      </c>
      <c r="AN118" s="299"/>
    </row>
    <row r="119" spans="1:40" x14ac:dyDescent="0.2">
      <c r="A119" s="303">
        <v>36</v>
      </c>
      <c r="B119" s="304">
        <v>0.96560000000000001</v>
      </c>
      <c r="C119" s="304">
        <v>0.98</v>
      </c>
      <c r="D119" s="304">
        <v>0.99230794649183995</v>
      </c>
      <c r="E119" s="304">
        <v>1.0032000000000001</v>
      </c>
      <c r="F119" s="304">
        <v>1.01219574228736</v>
      </c>
      <c r="G119" s="304">
        <v>1.0201170188652</v>
      </c>
      <c r="H119" s="304">
        <v>1.0266</v>
      </c>
      <c r="I119" s="304">
        <v>1.0328312179278401</v>
      </c>
      <c r="J119" s="305">
        <v>1.0379388313382401</v>
      </c>
      <c r="K119" s="304">
        <v>1.0423952737101598</v>
      </c>
      <c r="L119" s="304">
        <v>1.0463166835311999</v>
      </c>
      <c r="M119" s="304">
        <v>1.0498000000000001</v>
      </c>
      <c r="N119" s="304">
        <v>1.0529422438118401</v>
      </c>
      <c r="O119" s="304">
        <v>1.05580403782744</v>
      </c>
      <c r="P119" s="304">
        <v>1.05844764182496</v>
      </c>
      <c r="Q119" s="304">
        <v>1.0609192271352001</v>
      </c>
      <c r="R119" s="304">
        <v>1.0637999999999999</v>
      </c>
      <c r="S119" s="305">
        <v>1.06547500857384</v>
      </c>
      <c r="T119" s="304">
        <v>1.0675986864086402</v>
      </c>
      <c r="U119" s="304">
        <v>1.0696315812217601</v>
      </c>
      <c r="V119" s="304">
        <v>1.0715738201471998</v>
      </c>
      <c r="W119" s="304">
        <v>1.07341998075</v>
      </c>
      <c r="X119" s="304">
        <v>1.07516047804384</v>
      </c>
      <c r="Y119" s="304">
        <v>1.0767830231918398</v>
      </c>
      <c r="Z119" s="304">
        <v>1.07827415389056</v>
      </c>
      <c r="AA119" s="304">
        <v>1.0796208364372</v>
      </c>
      <c r="AB119" s="305">
        <v>1.0813999999999999</v>
      </c>
      <c r="AC119" s="304">
        <v>1.0818409794518402</v>
      </c>
      <c r="AD119" s="304">
        <v>1.0827059376870398</v>
      </c>
      <c r="AE119" s="304">
        <v>1.0834131492213599</v>
      </c>
      <c r="AF119" s="304">
        <v>1.0839782632752</v>
      </c>
      <c r="AG119" s="304">
        <v>1.08442847542</v>
      </c>
      <c r="AH119" s="304">
        <v>1.0848046314278399</v>
      </c>
      <c r="AI119" s="304">
        <v>1.0851634028042401</v>
      </c>
      <c r="AJ119" s="304">
        <v>1.0855795340041603</v>
      </c>
      <c r="AK119" s="304">
        <v>1.0863628949248203</v>
      </c>
      <c r="AL119" s="305">
        <v>1.087</v>
      </c>
      <c r="AM119" s="305">
        <f t="shared" si="2"/>
        <v>1.087</v>
      </c>
      <c r="AN119" s="299"/>
    </row>
    <row r="120" spans="1:40" x14ac:dyDescent="0.2">
      <c r="A120" s="303">
        <v>37</v>
      </c>
      <c r="B120" s="304">
        <v>0.9657</v>
      </c>
      <c r="C120" s="304">
        <v>0.98</v>
      </c>
      <c r="D120" s="304">
        <v>0.99240716227167991</v>
      </c>
      <c r="E120" s="304">
        <v>1.0034000000000001</v>
      </c>
      <c r="F120" s="304">
        <v>1.0123329227507198</v>
      </c>
      <c r="G120" s="304">
        <v>1.0202713237508501</v>
      </c>
      <c r="H120" s="304">
        <v>1.0266999999999999</v>
      </c>
      <c r="I120" s="304">
        <v>1.0330189195759301</v>
      </c>
      <c r="J120" s="305">
        <v>1.0381432066220799</v>
      </c>
      <c r="K120" s="304">
        <v>1.04261628847157</v>
      </c>
      <c r="L120" s="304">
        <v>1.0465541487855998</v>
      </c>
      <c r="M120" s="304">
        <v>1.0501</v>
      </c>
      <c r="N120" s="304">
        <v>1.0532111476236801</v>
      </c>
      <c r="O120" s="304">
        <v>1.05608744795773</v>
      </c>
      <c r="P120" s="304">
        <v>1.05874446335392</v>
      </c>
      <c r="Q120" s="304">
        <v>1.06122821089385</v>
      </c>
      <c r="R120" s="304">
        <v>1.0640999999999998</v>
      </c>
      <c r="S120" s="305">
        <v>1.0658043068749299</v>
      </c>
      <c r="T120" s="304">
        <v>1.0679362111548802</v>
      </c>
      <c r="U120" s="304">
        <v>1.06997623837777</v>
      </c>
      <c r="V120" s="304">
        <v>1.0719247646655998</v>
      </c>
      <c r="W120" s="304">
        <v>1.07377668978125</v>
      </c>
      <c r="X120" s="304">
        <v>1.0755228098396801</v>
      </c>
      <c r="Y120" s="304">
        <v>1.07715125663353</v>
      </c>
      <c r="Z120" s="304">
        <v>1.07864900357312</v>
      </c>
      <c r="AA120" s="304">
        <v>1.0800034382408499</v>
      </c>
      <c r="AB120" s="305">
        <v>1.0817999999999999</v>
      </c>
      <c r="AC120" s="304">
        <v>1.0822438935779302</v>
      </c>
      <c r="AD120" s="304">
        <v>1.08312184586368</v>
      </c>
      <c r="AE120" s="304">
        <v>1.0838439605199699</v>
      </c>
      <c r="AF120" s="304">
        <v>1.0844256158096</v>
      </c>
      <c r="AG120" s="304">
        <v>1.0848934383962499</v>
      </c>
      <c r="AH120" s="304">
        <v>1.08528734219968</v>
      </c>
      <c r="AI120" s="304">
        <v>1.0856626338653301</v>
      </c>
      <c r="AJ120" s="304">
        <v>1.0860921848483203</v>
      </c>
      <c r="AK120" s="304">
        <v>1.0868297203070652</v>
      </c>
      <c r="AL120" s="305">
        <v>1.0874999999999999</v>
      </c>
      <c r="AM120" s="305">
        <f t="shared" si="2"/>
        <v>1.0874999999999999</v>
      </c>
      <c r="AN120" s="299"/>
    </row>
    <row r="121" spans="1:40" x14ac:dyDescent="0.2">
      <c r="A121" s="303">
        <v>38</v>
      </c>
      <c r="B121" s="304">
        <v>0.96579999999999999</v>
      </c>
      <c r="C121" s="304">
        <v>0.98</v>
      </c>
      <c r="D121" s="304">
        <v>0.99250637805151998</v>
      </c>
      <c r="E121" s="304">
        <v>1.0036</v>
      </c>
      <c r="F121" s="304">
        <v>1.0124701032140799</v>
      </c>
      <c r="G121" s="304">
        <v>1.0204256286364999</v>
      </c>
      <c r="H121" s="304">
        <v>1.0267999999999999</v>
      </c>
      <c r="I121" s="304">
        <v>1.0332066212240201</v>
      </c>
      <c r="J121" s="305">
        <v>1.03834758190592</v>
      </c>
      <c r="K121" s="304">
        <v>1.0428373032329799</v>
      </c>
      <c r="L121" s="304">
        <v>1.04679161404</v>
      </c>
      <c r="M121" s="304">
        <v>1.0504</v>
      </c>
      <c r="N121" s="304">
        <v>1.05348005143552</v>
      </c>
      <c r="O121" s="304">
        <v>1.05637085808802</v>
      </c>
      <c r="P121" s="304">
        <v>1.0590412848828799</v>
      </c>
      <c r="Q121" s="304">
        <v>1.0615371946525001</v>
      </c>
      <c r="R121" s="304">
        <v>1.0644</v>
      </c>
      <c r="S121" s="305">
        <v>1.06613360517602</v>
      </c>
      <c r="T121" s="304">
        <v>1.0682737359011201</v>
      </c>
      <c r="U121" s="304">
        <v>1.0703208955337802</v>
      </c>
      <c r="V121" s="304">
        <v>1.0722757091839998</v>
      </c>
      <c r="W121" s="304">
        <v>1.0741333988125001</v>
      </c>
      <c r="X121" s="304">
        <v>1.07588514163552</v>
      </c>
      <c r="Y121" s="304">
        <v>1.0775194900752199</v>
      </c>
      <c r="Z121" s="304">
        <v>1.0790238532556802</v>
      </c>
      <c r="AA121" s="304">
        <v>1.0803860400445</v>
      </c>
      <c r="AB121" s="305">
        <v>1.0822000000000001</v>
      </c>
      <c r="AC121" s="304">
        <v>1.0826468077040203</v>
      </c>
      <c r="AD121" s="304">
        <v>1.0835377540403199</v>
      </c>
      <c r="AE121" s="304">
        <v>1.0842747718185799</v>
      </c>
      <c r="AF121" s="304">
        <v>1.0848729683439999</v>
      </c>
      <c r="AG121" s="304">
        <v>1.0853584013724999</v>
      </c>
      <c r="AH121" s="304">
        <v>1.08577005297152</v>
      </c>
      <c r="AI121" s="304">
        <v>1.08616186492642</v>
      </c>
      <c r="AJ121" s="304">
        <v>1.0866048356924805</v>
      </c>
      <c r="AK121" s="304">
        <v>1.0872965456893102</v>
      </c>
      <c r="AL121" s="305">
        <v>1.0880000000000001</v>
      </c>
      <c r="AM121" s="305">
        <f t="shared" si="2"/>
        <v>1.0880000000000001</v>
      </c>
      <c r="AN121" s="299"/>
    </row>
    <row r="122" spans="1:40" x14ac:dyDescent="0.2">
      <c r="A122" s="303">
        <v>39</v>
      </c>
      <c r="B122" s="304">
        <v>0.96589999999999998</v>
      </c>
      <c r="C122" s="304">
        <v>0.98</v>
      </c>
      <c r="D122" s="304">
        <v>0.99260559383135993</v>
      </c>
      <c r="E122" s="304">
        <v>1.0038</v>
      </c>
      <c r="F122" s="304">
        <v>1.0126072836774398</v>
      </c>
      <c r="G122" s="304">
        <v>1.0205799335221499</v>
      </c>
      <c r="H122" s="304">
        <v>1.0268999999999999</v>
      </c>
      <c r="I122" s="304">
        <v>1.0333943228721101</v>
      </c>
      <c r="J122" s="305">
        <v>1.0385519571897599</v>
      </c>
      <c r="K122" s="304">
        <v>1.04305831799439</v>
      </c>
      <c r="L122" s="304">
        <v>1.0470290792943999</v>
      </c>
      <c r="M122" s="304">
        <v>1.0507</v>
      </c>
      <c r="N122" s="304">
        <v>1.05374895524736</v>
      </c>
      <c r="O122" s="304">
        <v>1.05665426821831</v>
      </c>
      <c r="P122" s="304">
        <v>1.0593381064118399</v>
      </c>
      <c r="Q122" s="304">
        <v>1.0618461784111499</v>
      </c>
      <c r="R122" s="304">
        <v>1.0647</v>
      </c>
      <c r="S122" s="305">
        <v>1.0664629034771098</v>
      </c>
      <c r="T122" s="304">
        <v>1.0686112606473601</v>
      </c>
      <c r="U122" s="304">
        <v>1.0706655526897901</v>
      </c>
      <c r="V122" s="304">
        <v>1.0726266537023998</v>
      </c>
      <c r="W122" s="304">
        <v>1.0744901078437501</v>
      </c>
      <c r="X122" s="304">
        <v>1.0762474734313601</v>
      </c>
      <c r="Y122" s="304">
        <v>1.07788772351691</v>
      </c>
      <c r="Z122" s="304">
        <v>1.0793987029382401</v>
      </c>
      <c r="AA122" s="304">
        <v>1.0807686418481499</v>
      </c>
      <c r="AB122" s="305">
        <v>1.0826</v>
      </c>
      <c r="AC122" s="304">
        <v>1.0830497218301103</v>
      </c>
      <c r="AD122" s="304">
        <v>1.0839536622169601</v>
      </c>
      <c r="AE122" s="304">
        <v>1.0847055831171899</v>
      </c>
      <c r="AF122" s="304">
        <v>1.0853203208783999</v>
      </c>
      <c r="AG122" s="304">
        <v>1.0858233643487498</v>
      </c>
      <c r="AH122" s="304">
        <v>1.0862527637433601</v>
      </c>
      <c r="AI122" s="304">
        <v>1.08666109598751</v>
      </c>
      <c r="AJ122" s="304">
        <v>1.0871174865366404</v>
      </c>
      <c r="AK122" s="304">
        <v>1.0877633710715551</v>
      </c>
      <c r="AL122" s="305">
        <v>1.0885</v>
      </c>
      <c r="AM122" s="305">
        <f t="shared" si="2"/>
        <v>1.0885</v>
      </c>
      <c r="AN122" s="299"/>
    </row>
    <row r="123" spans="1:40" ht="13.5" thickBot="1" x14ac:dyDescent="0.25">
      <c r="A123" s="309">
        <v>40</v>
      </c>
      <c r="B123" s="310">
        <v>0.96599999999999997</v>
      </c>
      <c r="C123" s="310">
        <v>0.98</v>
      </c>
      <c r="D123" s="310">
        <v>0.99270480961119989</v>
      </c>
      <c r="E123" s="310">
        <v>1.004</v>
      </c>
      <c r="F123" s="310">
        <v>1.0127444641407999</v>
      </c>
      <c r="G123" s="310">
        <v>1.0207342384078</v>
      </c>
      <c r="H123" s="310">
        <v>1.0269999999999999</v>
      </c>
      <c r="I123" s="310">
        <v>1.0335820245202001</v>
      </c>
      <c r="J123" s="311">
        <v>1.0387563324736</v>
      </c>
      <c r="K123" s="310">
        <v>1.0432793327557999</v>
      </c>
      <c r="L123" s="310">
        <v>1.0472665445487999</v>
      </c>
      <c r="M123" s="310">
        <v>1.0509999999999999</v>
      </c>
      <c r="N123" s="310">
        <v>1.0540178590592</v>
      </c>
      <c r="O123" s="310">
        <v>1.0569376783486</v>
      </c>
      <c r="P123" s="310">
        <v>1.0596349279407999</v>
      </c>
      <c r="Q123" s="310">
        <v>1.0621551621698</v>
      </c>
      <c r="R123" s="310">
        <v>1.0649999999999999</v>
      </c>
      <c r="S123" s="311">
        <v>1.0667922017781999</v>
      </c>
      <c r="T123" s="310">
        <v>1.0689487853936002</v>
      </c>
      <c r="U123" s="310">
        <v>1.0710102098458001</v>
      </c>
      <c r="V123" s="310">
        <v>1.0729775982207999</v>
      </c>
      <c r="W123" s="310">
        <v>1.0748468168750001</v>
      </c>
      <c r="X123" s="310">
        <v>1.0766098052272</v>
      </c>
      <c r="Y123" s="310">
        <v>1.0782559569585999</v>
      </c>
      <c r="Z123" s="310">
        <v>1.0797735526208001</v>
      </c>
      <c r="AA123" s="310">
        <v>1.0811512436517998</v>
      </c>
      <c r="AB123" s="311">
        <v>1.083</v>
      </c>
      <c r="AC123" s="310">
        <v>1.0834526359562004</v>
      </c>
      <c r="AD123" s="310">
        <v>1.0843695703936</v>
      </c>
      <c r="AE123" s="310">
        <v>1.0851363944157999</v>
      </c>
      <c r="AF123" s="310">
        <v>1.0857676734127999</v>
      </c>
      <c r="AG123" s="310">
        <v>1.0862883273249999</v>
      </c>
      <c r="AH123" s="310">
        <v>1.0867354745152</v>
      </c>
      <c r="AI123" s="310">
        <v>1.0871603270486001</v>
      </c>
      <c r="AJ123" s="310">
        <v>1.0876301373808004</v>
      </c>
      <c r="AK123" s="310">
        <v>1.0882301964538001</v>
      </c>
      <c r="AL123" s="311">
        <v>1.089</v>
      </c>
      <c r="AM123" s="311">
        <f t="shared" si="2"/>
        <v>1.089</v>
      </c>
      <c r="AN123" s="299"/>
    </row>
    <row r="124" spans="1:40" ht="14.25" thickTop="1" thickBot="1" x14ac:dyDescent="0.25">
      <c r="A124" s="309">
        <f>A123+0.001</f>
        <v>40.000999999999998</v>
      </c>
      <c r="B124" s="310">
        <f>B123</f>
        <v>0.96599999999999997</v>
      </c>
      <c r="C124" s="310">
        <f t="shared" ref="C124:AL124" si="3">C123</f>
        <v>0.98</v>
      </c>
      <c r="D124" s="310">
        <f t="shared" si="3"/>
        <v>0.99270480961119989</v>
      </c>
      <c r="E124" s="310">
        <f t="shared" si="3"/>
        <v>1.004</v>
      </c>
      <c r="F124" s="310">
        <f t="shared" si="3"/>
        <v>1.0127444641407999</v>
      </c>
      <c r="G124" s="310">
        <f t="shared" si="3"/>
        <v>1.0207342384078</v>
      </c>
      <c r="H124" s="310">
        <f t="shared" si="3"/>
        <v>1.0269999999999999</v>
      </c>
      <c r="I124" s="310">
        <f t="shared" si="3"/>
        <v>1.0335820245202001</v>
      </c>
      <c r="J124" s="311">
        <f t="shared" si="3"/>
        <v>1.0387563324736</v>
      </c>
      <c r="K124" s="310">
        <f t="shared" si="3"/>
        <v>1.0432793327557999</v>
      </c>
      <c r="L124" s="310">
        <f t="shared" si="3"/>
        <v>1.0472665445487999</v>
      </c>
      <c r="M124" s="310">
        <f t="shared" si="3"/>
        <v>1.0509999999999999</v>
      </c>
      <c r="N124" s="310">
        <f t="shared" si="3"/>
        <v>1.0540178590592</v>
      </c>
      <c r="O124" s="310">
        <f t="shared" si="3"/>
        <v>1.0569376783486</v>
      </c>
      <c r="P124" s="310">
        <f t="shared" si="3"/>
        <v>1.0596349279407999</v>
      </c>
      <c r="Q124" s="310">
        <f t="shared" si="3"/>
        <v>1.0621551621698</v>
      </c>
      <c r="R124" s="310">
        <f t="shared" si="3"/>
        <v>1.0649999999999999</v>
      </c>
      <c r="S124" s="311">
        <f t="shared" si="3"/>
        <v>1.0667922017781999</v>
      </c>
      <c r="T124" s="310">
        <f t="shared" si="3"/>
        <v>1.0689487853936002</v>
      </c>
      <c r="U124" s="310">
        <f t="shared" si="3"/>
        <v>1.0710102098458001</v>
      </c>
      <c r="V124" s="310">
        <f t="shared" si="3"/>
        <v>1.0729775982207999</v>
      </c>
      <c r="W124" s="310">
        <f t="shared" si="3"/>
        <v>1.0748468168750001</v>
      </c>
      <c r="X124" s="310">
        <f t="shared" si="3"/>
        <v>1.0766098052272</v>
      </c>
      <c r="Y124" s="310">
        <f t="shared" si="3"/>
        <v>1.0782559569585999</v>
      </c>
      <c r="Z124" s="310">
        <f t="shared" si="3"/>
        <v>1.0797735526208001</v>
      </c>
      <c r="AA124" s="310">
        <f t="shared" si="3"/>
        <v>1.0811512436517998</v>
      </c>
      <c r="AB124" s="311">
        <f t="shared" si="3"/>
        <v>1.083</v>
      </c>
      <c r="AC124" s="310">
        <f t="shared" si="3"/>
        <v>1.0834526359562004</v>
      </c>
      <c r="AD124" s="310">
        <f t="shared" si="3"/>
        <v>1.0843695703936</v>
      </c>
      <c r="AE124" s="310">
        <f t="shared" si="3"/>
        <v>1.0851363944157999</v>
      </c>
      <c r="AF124" s="310">
        <f t="shared" si="3"/>
        <v>1.0857676734127999</v>
      </c>
      <c r="AG124" s="310">
        <f t="shared" si="3"/>
        <v>1.0862883273249999</v>
      </c>
      <c r="AH124" s="310">
        <f t="shared" si="3"/>
        <v>1.0867354745152</v>
      </c>
      <c r="AI124" s="310">
        <f t="shared" si="3"/>
        <v>1.0871603270486001</v>
      </c>
      <c r="AJ124" s="310">
        <f t="shared" si="3"/>
        <v>1.0876301373808004</v>
      </c>
      <c r="AK124" s="310">
        <f t="shared" si="3"/>
        <v>1.0882301964538001</v>
      </c>
      <c r="AL124" s="311">
        <f t="shared" si="3"/>
        <v>1.089</v>
      </c>
      <c r="AM124" s="311">
        <f>AL123</f>
        <v>1.089</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315"/>
      <c r="H128" s="315"/>
      <c r="I128" s="316"/>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7">
        <v>10</v>
      </c>
      <c r="B230" s="294"/>
      <c r="C230" s="295"/>
      <c r="D230" s="295"/>
      <c r="E230" s="295"/>
      <c r="F230" s="295"/>
      <c r="G230" s="295"/>
      <c r="H230" s="296"/>
      <c r="I230" s="237"/>
    </row>
    <row r="231" spans="1:12" ht="14.25" thickTop="1" thickBot="1" x14ac:dyDescent="0.25">
      <c r="A231" s="317">
        <v>10.000999999999999</v>
      </c>
      <c r="B231" s="294"/>
      <c r="C231" s="295"/>
      <c r="D231" s="295"/>
      <c r="E231" s="295"/>
      <c r="F231" s="295"/>
      <c r="G231" s="295"/>
      <c r="H231" s="296"/>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6" t="s">
        <v>142</v>
      </c>
      <c r="B234" s="697"/>
      <c r="C234" s="697"/>
      <c r="D234" s="697"/>
      <c r="E234" s="260"/>
      <c r="F234" s="260"/>
      <c r="G234" s="260"/>
      <c r="H234" s="260"/>
      <c r="I234" s="260"/>
      <c r="J234" s="260"/>
      <c r="K234" s="260"/>
      <c r="L234" s="261"/>
    </row>
    <row r="235" spans="1:12" ht="26.25" thickBot="1" x14ac:dyDescent="0.25">
      <c r="A235" s="345" t="s">
        <v>98</v>
      </c>
      <c r="B235" s="320" t="s">
        <v>99</v>
      </c>
      <c r="C235" s="298"/>
      <c r="D235" s="298"/>
      <c r="E235" s="231"/>
      <c r="F235" s="231"/>
      <c r="G235" s="231"/>
      <c r="H235" s="231"/>
      <c r="I235" s="231"/>
      <c r="J235" s="231"/>
      <c r="K235" s="231"/>
      <c r="L235" s="237"/>
    </row>
    <row r="236" spans="1:12" ht="16.5" thickTop="1" x14ac:dyDescent="0.25">
      <c r="A236" s="303">
        <v>4</v>
      </c>
      <c r="B236" s="321">
        <v>0.97646615244590595</v>
      </c>
      <c r="C236" s="298"/>
      <c r="D236" s="322" t="s">
        <v>100</v>
      </c>
      <c r="E236" s="231"/>
      <c r="F236" s="231"/>
      <c r="G236" s="231"/>
      <c r="H236" s="231"/>
      <c r="I236" s="231"/>
      <c r="J236" s="231"/>
      <c r="K236" s="231"/>
      <c r="L236" s="237"/>
    </row>
    <row r="237" spans="1:12" x14ac:dyDescent="0.2">
      <c r="A237" s="306">
        <v>5</v>
      </c>
      <c r="B237" s="323">
        <v>0.98125249783112312</v>
      </c>
      <c r="C237" s="298"/>
      <c r="D237" s="298"/>
      <c r="E237" s="231"/>
      <c r="F237" s="231"/>
      <c r="G237" s="231"/>
      <c r="H237" s="231"/>
      <c r="I237" s="231"/>
      <c r="J237" s="231"/>
      <c r="K237" s="231"/>
      <c r="L237" s="237"/>
    </row>
    <row r="238" spans="1:12" x14ac:dyDescent="0.2">
      <c r="A238" s="303">
        <v>6</v>
      </c>
      <c r="B238" s="321">
        <v>0.9856390057210993</v>
      </c>
      <c r="C238" s="298"/>
      <c r="D238" s="298"/>
      <c r="E238" s="231"/>
      <c r="F238" s="231"/>
      <c r="G238" s="231"/>
      <c r="H238" s="231"/>
      <c r="I238" s="231"/>
      <c r="J238" s="231"/>
      <c r="K238" s="231"/>
      <c r="L238" s="237"/>
    </row>
    <row r="239" spans="1:12" x14ac:dyDescent="0.2">
      <c r="A239" s="303">
        <v>7</v>
      </c>
      <c r="B239" s="321">
        <v>0.98966938696276607</v>
      </c>
      <c r="C239" s="298"/>
      <c r="D239" s="298"/>
      <c r="E239" s="231"/>
      <c r="F239" s="231"/>
      <c r="G239" s="231"/>
      <c r="H239" s="231"/>
      <c r="I239" s="231"/>
      <c r="J239" s="231"/>
      <c r="K239" s="231"/>
      <c r="L239" s="237"/>
    </row>
    <row r="240" spans="1:12" x14ac:dyDescent="0.2">
      <c r="A240" s="303">
        <v>8</v>
      </c>
      <c r="B240" s="321">
        <v>0.99338320937674429</v>
      </c>
      <c r="C240" s="298"/>
      <c r="D240" s="298"/>
      <c r="E240" s="231"/>
      <c r="F240" s="231"/>
      <c r="G240" s="231"/>
      <c r="H240" s="231"/>
      <c r="I240" s="231"/>
      <c r="J240" s="231"/>
      <c r="K240" s="231"/>
      <c r="L240" s="237"/>
    </row>
    <row r="241" spans="1:12" x14ac:dyDescent="0.2">
      <c r="A241" s="303">
        <v>9</v>
      </c>
      <c r="B241" s="321">
        <v>0.99681610877858373</v>
      </c>
      <c r="C241" s="298"/>
      <c r="D241" s="298"/>
      <c r="E241" s="231"/>
      <c r="F241" s="231"/>
      <c r="G241" s="231"/>
      <c r="H241" s="231"/>
      <c r="I241" s="231"/>
      <c r="J241" s="231"/>
      <c r="K241" s="231"/>
      <c r="L241" s="237"/>
    </row>
    <row r="242" spans="1:12" x14ac:dyDescent="0.2">
      <c r="A242" s="306">
        <v>10</v>
      </c>
      <c r="B242" s="323">
        <v>1</v>
      </c>
      <c r="C242" s="298"/>
      <c r="D242" s="298"/>
      <c r="E242" s="231"/>
      <c r="F242" s="231"/>
      <c r="G242" s="231"/>
      <c r="H242" s="231"/>
      <c r="I242" s="231"/>
      <c r="J242" s="231"/>
      <c r="K242" s="231"/>
      <c r="L242" s="237"/>
    </row>
    <row r="243" spans="1:12" x14ac:dyDescent="0.2">
      <c r="A243" s="303">
        <v>11</v>
      </c>
      <c r="B243" s="321">
        <v>1.0029632879101149</v>
      </c>
      <c r="C243" s="298"/>
      <c r="D243" s="298"/>
      <c r="E243" s="231"/>
      <c r="F243" s="231"/>
      <c r="G243" s="231"/>
      <c r="H243" s="231"/>
      <c r="I243" s="231"/>
      <c r="J243" s="231"/>
      <c r="K243" s="231"/>
      <c r="L243" s="237"/>
    </row>
    <row r="244" spans="1:12" x14ac:dyDescent="0.2">
      <c r="A244" s="303">
        <v>12</v>
      </c>
      <c r="B244" s="321">
        <v>1.0057310784366933</v>
      </c>
      <c r="C244" s="298"/>
      <c r="D244" s="298"/>
      <c r="E244" s="231"/>
      <c r="F244" s="231"/>
      <c r="G244" s="231"/>
      <c r="H244" s="231"/>
      <c r="I244" s="231"/>
      <c r="J244" s="231"/>
      <c r="K244" s="231"/>
      <c r="L244" s="237"/>
    </row>
    <row r="245" spans="1:12" x14ac:dyDescent="0.2">
      <c r="A245" s="303">
        <v>13</v>
      </c>
      <c r="B245" s="321">
        <v>1.0083253895873836</v>
      </c>
      <c r="C245" s="298"/>
      <c r="D245" s="298"/>
      <c r="E245" s="231"/>
      <c r="F245" s="231"/>
      <c r="G245" s="231"/>
      <c r="H245" s="231"/>
      <c r="I245" s="231"/>
      <c r="J245" s="231"/>
      <c r="K245" s="231"/>
      <c r="L245" s="237"/>
    </row>
    <row r="246" spans="1:12" x14ac:dyDescent="0.2">
      <c r="A246" s="303">
        <v>14</v>
      </c>
      <c r="B246" s="321">
        <v>1.0107653624709545</v>
      </c>
      <c r="C246" s="298"/>
      <c r="D246" s="298"/>
      <c r="E246" s="231"/>
      <c r="F246" s="231"/>
      <c r="G246" s="231"/>
      <c r="H246" s="231"/>
      <c r="I246" s="231"/>
      <c r="J246" s="231"/>
      <c r="K246" s="231"/>
      <c r="L246" s="237"/>
    </row>
    <row r="247" spans="1:12" x14ac:dyDescent="0.2">
      <c r="A247" s="306">
        <v>15</v>
      </c>
      <c r="B247" s="323">
        <v>1.0130674723185342</v>
      </c>
      <c r="C247" s="298"/>
      <c r="D247" s="298"/>
      <c r="E247" s="231"/>
      <c r="F247" s="231"/>
      <c r="G247" s="231"/>
      <c r="H247" s="231"/>
      <c r="I247" s="231"/>
      <c r="J247" s="231"/>
      <c r="K247" s="231"/>
      <c r="L247" s="237"/>
    </row>
    <row r="248" spans="1:12" x14ac:dyDescent="0.2">
      <c r="A248" s="303">
        <v>16</v>
      </c>
      <c r="B248" s="321">
        <v>1.01524573950485</v>
      </c>
      <c r="C248" s="298"/>
      <c r="D248" s="298"/>
      <c r="E248" s="231"/>
      <c r="F248" s="231"/>
      <c r="G248" s="231"/>
      <c r="H248" s="231"/>
      <c r="I248" s="231"/>
      <c r="J248" s="231"/>
      <c r="K248" s="231"/>
      <c r="L248" s="237"/>
    </row>
    <row r="249" spans="1:12" x14ac:dyDescent="0.2">
      <c r="A249" s="303">
        <v>17</v>
      </c>
      <c r="B249" s="321">
        <v>1.0173119405694653</v>
      </c>
      <c r="C249" s="298"/>
      <c r="D249" s="298"/>
      <c r="E249" s="231"/>
      <c r="F249" s="231"/>
      <c r="G249" s="231"/>
      <c r="H249" s="231"/>
      <c r="I249" s="231"/>
      <c r="J249" s="231"/>
      <c r="K249" s="231"/>
      <c r="L249" s="237"/>
    </row>
    <row r="250" spans="1:12" x14ac:dyDescent="0.2">
      <c r="A250" s="303">
        <v>18</v>
      </c>
      <c r="B250" s="321">
        <v>1.0192758192380187</v>
      </c>
      <c r="C250" s="298"/>
      <c r="D250" s="298"/>
      <c r="E250" s="231"/>
      <c r="F250" s="231"/>
      <c r="G250" s="231"/>
      <c r="H250" s="231"/>
      <c r="I250" s="231"/>
      <c r="J250" s="231"/>
      <c r="K250" s="231"/>
      <c r="L250" s="237"/>
    </row>
    <row r="251" spans="1:12" x14ac:dyDescent="0.2">
      <c r="A251" s="303">
        <v>19</v>
      </c>
      <c r="B251" s="321">
        <v>1.0211452974434634</v>
      </c>
      <c r="C251" s="298"/>
      <c r="D251" s="298"/>
      <c r="E251" s="231"/>
      <c r="F251" s="231"/>
      <c r="G251" s="231"/>
      <c r="H251" s="231"/>
      <c r="I251" s="231"/>
      <c r="J251" s="231"/>
      <c r="K251" s="231"/>
      <c r="L251" s="237"/>
    </row>
    <row r="252" spans="1:12" x14ac:dyDescent="0.2">
      <c r="A252" s="306">
        <v>20</v>
      </c>
      <c r="B252" s="323">
        <v>1.0229266863473048</v>
      </c>
      <c r="C252" s="298"/>
      <c r="D252" s="298"/>
      <c r="E252" s="231"/>
      <c r="F252" s="231"/>
      <c r="G252" s="231"/>
      <c r="H252" s="231"/>
      <c r="I252" s="231"/>
      <c r="J252" s="231"/>
      <c r="K252" s="231"/>
      <c r="L252" s="237"/>
    </row>
    <row r="253" spans="1:12" x14ac:dyDescent="0.2">
      <c r="A253" s="303">
        <v>21</v>
      </c>
      <c r="B253" s="321">
        <v>1.0246248973608389</v>
      </c>
      <c r="C253" s="298"/>
      <c r="D253" s="298"/>
      <c r="E253" s="231"/>
      <c r="F253" s="231"/>
      <c r="G253" s="231"/>
      <c r="H253" s="231"/>
      <c r="I253" s="231"/>
      <c r="J253" s="231"/>
      <c r="K253" s="231"/>
      <c r="L253" s="237"/>
    </row>
    <row r="254" spans="1:12" x14ac:dyDescent="0.2">
      <c r="A254" s="303">
        <v>22</v>
      </c>
      <c r="B254" s="321">
        <v>1.0262436531663925</v>
      </c>
      <c r="C254" s="298"/>
      <c r="D254" s="298"/>
      <c r="E254" s="231"/>
      <c r="F254" s="231"/>
      <c r="G254" s="231"/>
      <c r="H254" s="231"/>
      <c r="I254" s="231"/>
      <c r="J254" s="231"/>
      <c r="K254" s="231"/>
      <c r="L254" s="237"/>
    </row>
    <row r="255" spans="1:12" x14ac:dyDescent="0.2">
      <c r="A255" s="303">
        <v>23</v>
      </c>
      <c r="B255" s="321">
        <v>1.0277856987385596</v>
      </c>
      <c r="C255" s="298"/>
      <c r="D255" s="298"/>
      <c r="E255" s="231"/>
      <c r="F255" s="231"/>
      <c r="G255" s="231"/>
      <c r="H255" s="231"/>
      <c r="I255" s="231"/>
      <c r="J255" s="231"/>
      <c r="K255" s="231"/>
      <c r="L255" s="237"/>
    </row>
    <row r="256" spans="1:12" x14ac:dyDescent="0.2">
      <c r="A256" s="303">
        <v>24</v>
      </c>
      <c r="B256" s="321">
        <v>1.0292530123654415</v>
      </c>
      <c r="C256" s="298"/>
      <c r="D256" s="298"/>
      <c r="E256" s="231"/>
      <c r="F256" s="231"/>
      <c r="G256" s="231"/>
      <c r="H256" s="231"/>
      <c r="I256" s="231"/>
      <c r="J256" s="231"/>
      <c r="K256" s="231"/>
      <c r="L256" s="237"/>
    </row>
    <row r="257" spans="1:12" x14ac:dyDescent="0.2">
      <c r="A257" s="306">
        <v>25</v>
      </c>
      <c r="B257" s="323">
        <v>1.0306470166698847</v>
      </c>
      <c r="C257" s="298"/>
      <c r="D257" s="298"/>
      <c r="E257" s="231"/>
      <c r="F257" s="231"/>
      <c r="G257" s="231"/>
      <c r="H257" s="231"/>
      <c r="I257" s="231"/>
      <c r="J257" s="231"/>
      <c r="K257" s="231"/>
      <c r="L257" s="237"/>
    </row>
    <row r="258" spans="1:12" x14ac:dyDescent="0.2">
      <c r="A258" s="303">
        <v>26</v>
      </c>
      <c r="B258" s="321">
        <v>1.0319687896307197</v>
      </c>
      <c r="C258" s="298"/>
      <c r="D258" s="298"/>
      <c r="E258" s="231"/>
      <c r="F258" s="231"/>
      <c r="G258" s="231"/>
      <c r="H258" s="231"/>
      <c r="I258" s="231"/>
      <c r="J258" s="231"/>
      <c r="K258" s="231"/>
      <c r="L258" s="237"/>
    </row>
    <row r="259" spans="1:12" x14ac:dyDescent="0.2">
      <c r="A259" s="303">
        <v>27</v>
      </c>
      <c r="B259" s="321">
        <v>1.0332192756039995</v>
      </c>
      <c r="C259" s="298"/>
      <c r="D259" s="298"/>
      <c r="E259" s="231"/>
      <c r="F259" s="231"/>
      <c r="G259" s="231"/>
      <c r="H259" s="231"/>
      <c r="I259" s="231"/>
      <c r="J259" s="231"/>
      <c r="K259" s="231"/>
      <c r="L259" s="237"/>
    </row>
    <row r="260" spans="1:12" x14ac:dyDescent="0.2">
      <c r="A260" s="303">
        <v>28</v>
      </c>
      <c r="B260" s="321">
        <v>1.0343994963442384</v>
      </c>
      <c r="C260" s="298"/>
      <c r="D260" s="298"/>
      <c r="E260" s="231"/>
      <c r="F260" s="231"/>
      <c r="G260" s="231"/>
      <c r="H260" s="231"/>
      <c r="I260" s="231"/>
      <c r="J260" s="231"/>
      <c r="K260" s="231"/>
      <c r="L260" s="237"/>
    </row>
    <row r="261" spans="1:12" x14ac:dyDescent="0.2">
      <c r="A261" s="303">
        <v>29</v>
      </c>
      <c r="B261" s="321">
        <v>1.0355107620256507</v>
      </c>
      <c r="C261" s="298"/>
      <c r="D261" s="298"/>
      <c r="E261" s="231"/>
      <c r="F261" s="231"/>
      <c r="G261" s="231"/>
      <c r="H261" s="231"/>
      <c r="I261" s="231"/>
      <c r="J261" s="231"/>
      <c r="K261" s="231"/>
      <c r="L261" s="237"/>
    </row>
    <row r="262" spans="1:12" x14ac:dyDescent="0.2">
      <c r="A262" s="306">
        <v>30</v>
      </c>
      <c r="B262" s="323">
        <v>1.0365548822633877</v>
      </c>
      <c r="C262" s="298"/>
      <c r="D262" s="298"/>
      <c r="E262" s="231"/>
      <c r="F262" s="231"/>
      <c r="G262" s="231"/>
      <c r="H262" s="231"/>
      <c r="I262" s="231"/>
      <c r="J262" s="231"/>
      <c r="K262" s="231"/>
      <c r="L262" s="237"/>
    </row>
    <row r="263" spans="1:12" x14ac:dyDescent="0.2">
      <c r="A263" s="303">
        <v>31</v>
      </c>
      <c r="B263" s="321">
        <v>1.0375343771347789</v>
      </c>
      <c r="C263" s="298"/>
      <c r="D263" s="298"/>
      <c r="E263" s="231"/>
      <c r="F263" s="231"/>
      <c r="G263" s="231"/>
      <c r="H263" s="231"/>
      <c r="I263" s="231"/>
      <c r="J263" s="231"/>
      <c r="K263" s="231"/>
      <c r="L263" s="237"/>
    </row>
    <row r="264" spans="1:12" x14ac:dyDescent="0.2">
      <c r="A264" s="303">
        <v>32</v>
      </c>
      <c r="B264" s="321">
        <v>1.0384526882005685</v>
      </c>
      <c r="C264" s="298"/>
      <c r="D264" s="298"/>
      <c r="E264" s="231"/>
      <c r="F264" s="231"/>
      <c r="G264" s="231"/>
      <c r="H264" s="231"/>
      <c r="I264" s="231"/>
      <c r="J264" s="231"/>
      <c r="K264" s="231"/>
      <c r="L264" s="237"/>
    </row>
    <row r="265" spans="1:12" x14ac:dyDescent="0.2">
      <c r="A265" s="303">
        <v>33</v>
      </c>
      <c r="B265" s="321">
        <v>1.0393143895261547</v>
      </c>
      <c r="C265" s="298"/>
      <c r="D265" s="298"/>
      <c r="E265" s="231"/>
      <c r="F265" s="231"/>
      <c r="G265" s="231"/>
      <c r="H265" s="231"/>
      <c r="I265" s="231"/>
      <c r="J265" s="231"/>
      <c r="K265" s="231"/>
      <c r="L265" s="237"/>
    </row>
    <row r="266" spans="1:12" x14ac:dyDescent="0.2">
      <c r="A266" s="303">
        <v>34</v>
      </c>
      <c r="B266" s="321">
        <v>1.0401253987028289</v>
      </c>
      <c r="C266" s="298"/>
      <c r="D266" s="298"/>
      <c r="E266" s="231"/>
      <c r="F266" s="231"/>
      <c r="G266" s="231"/>
      <c r="H266" s="231"/>
      <c r="I266" s="231"/>
      <c r="J266" s="231"/>
      <c r="K266" s="231"/>
      <c r="L266" s="237"/>
    </row>
    <row r="267" spans="1:12" x14ac:dyDescent="0.2">
      <c r="A267" s="306">
        <v>35</v>
      </c>
      <c r="B267" s="323">
        <v>1.0408931878690126</v>
      </c>
      <c r="C267" s="298"/>
      <c r="D267" s="298"/>
      <c r="E267" s="231"/>
      <c r="F267" s="231"/>
      <c r="G267" s="231"/>
      <c r="H267" s="231"/>
      <c r="I267" s="231"/>
      <c r="J267" s="231"/>
      <c r="K267" s="231"/>
      <c r="L267" s="237"/>
    </row>
    <row r="268" spans="1:12" x14ac:dyDescent="0.2">
      <c r="A268" s="303">
        <v>36</v>
      </c>
      <c r="B268" s="321">
        <v>1.0416269947314982</v>
      </c>
      <c r="C268" s="298"/>
      <c r="D268" s="298"/>
      <c r="E268" s="231"/>
      <c r="F268" s="231"/>
      <c r="G268" s="231"/>
      <c r="H268" s="231"/>
      <c r="I268" s="231"/>
      <c r="J268" s="231"/>
      <c r="K268" s="231"/>
      <c r="L268" s="237"/>
    </row>
    <row r="269" spans="1:12" x14ac:dyDescent="0.2">
      <c r="A269" s="303">
        <v>37</v>
      </c>
      <c r="B269" s="321">
        <v>1.042338033586685</v>
      </c>
      <c r="C269" s="298"/>
      <c r="D269" s="298"/>
      <c r="E269" s="231"/>
      <c r="F269" s="231"/>
      <c r="G269" s="231"/>
      <c r="H269" s="231"/>
      <c r="I269" s="231"/>
      <c r="J269" s="231"/>
      <c r="K269" s="231"/>
      <c r="L269" s="237"/>
    </row>
    <row r="270" spans="1:12" x14ac:dyDescent="0.2">
      <c r="A270" s="303">
        <v>38</v>
      </c>
      <c r="B270" s="321">
        <v>1.04303970634182</v>
      </c>
      <c r="C270" s="298"/>
      <c r="D270" s="298"/>
      <c r="E270" s="231"/>
      <c r="F270" s="231"/>
      <c r="G270" s="231"/>
      <c r="H270" s="231"/>
      <c r="I270" s="231"/>
      <c r="J270" s="231"/>
      <c r="K270" s="231"/>
      <c r="L270" s="237"/>
    </row>
    <row r="271" spans="1:12" x14ac:dyDescent="0.2">
      <c r="A271" s="303">
        <v>39</v>
      </c>
      <c r="B271" s="321">
        <v>1.0437478135362359</v>
      </c>
      <c r="C271" s="298"/>
      <c r="D271" s="298"/>
      <c r="E271" s="231"/>
      <c r="F271" s="231"/>
      <c r="G271" s="231"/>
      <c r="H271" s="231"/>
      <c r="I271" s="231"/>
      <c r="J271" s="231"/>
      <c r="K271" s="231"/>
      <c r="L271" s="237"/>
    </row>
    <row r="272" spans="1:12" x14ac:dyDescent="0.2">
      <c r="A272" s="324">
        <v>40</v>
      </c>
      <c r="B272" s="325">
        <v>1.0444807653625889</v>
      </c>
      <c r="C272" s="298"/>
      <c r="D272" s="298"/>
      <c r="E272" s="231"/>
      <c r="F272" s="231"/>
      <c r="G272" s="231"/>
      <c r="H272" s="231"/>
      <c r="I272" s="231"/>
      <c r="J272" s="231"/>
      <c r="K272" s="231"/>
      <c r="L272" s="237"/>
    </row>
    <row r="273" spans="1:12" x14ac:dyDescent="0.2">
      <c r="A273" s="324">
        <v>41</v>
      </c>
      <c r="B273" s="325">
        <v>1.045033553912379</v>
      </c>
      <c r="C273" s="298"/>
      <c r="D273" s="298"/>
      <c r="E273" s="231"/>
      <c r="F273" s="231"/>
      <c r="G273" s="231"/>
      <c r="H273" s="231"/>
      <c r="I273" s="231"/>
      <c r="J273" s="231"/>
      <c r="K273" s="231"/>
      <c r="L273" s="237"/>
    </row>
    <row r="274" spans="1:12" x14ac:dyDescent="0.2">
      <c r="A274" s="324">
        <v>42</v>
      </c>
      <c r="B274" s="325">
        <v>1.045525632984218</v>
      </c>
      <c r="C274" s="298"/>
      <c r="D274" s="298"/>
      <c r="E274" s="231"/>
      <c r="F274" s="231"/>
      <c r="G274" s="231"/>
      <c r="H274" s="231"/>
      <c r="I274" s="231"/>
      <c r="J274" s="231"/>
      <c r="K274" s="231"/>
      <c r="L274" s="237"/>
    </row>
    <row r="275" spans="1:12" x14ac:dyDescent="0.2">
      <c r="A275" s="324">
        <v>43</v>
      </c>
      <c r="B275" s="325">
        <v>1.0460925344896017</v>
      </c>
      <c r="C275" s="298"/>
      <c r="D275" s="298"/>
      <c r="E275" s="231"/>
      <c r="F275" s="231"/>
      <c r="G275" s="231"/>
      <c r="H275" s="231"/>
      <c r="I275" s="231"/>
      <c r="J275" s="231"/>
      <c r="K275" s="231"/>
      <c r="L275" s="237"/>
    </row>
    <row r="276" spans="1:12" x14ac:dyDescent="0.2">
      <c r="A276" s="324">
        <v>44</v>
      </c>
      <c r="B276" s="325">
        <v>1.0466344977378783</v>
      </c>
      <c r="C276" s="298"/>
      <c r="D276" s="298"/>
      <c r="E276" s="231"/>
      <c r="F276" s="231"/>
      <c r="G276" s="231"/>
      <c r="H276" s="231"/>
      <c r="I276" s="231"/>
      <c r="J276" s="231"/>
      <c r="K276" s="231"/>
      <c r="L276" s="237"/>
    </row>
    <row r="277" spans="1:12" x14ac:dyDescent="0.2">
      <c r="A277" s="324">
        <v>45</v>
      </c>
      <c r="B277" s="325">
        <v>1.0471515106655469</v>
      </c>
      <c r="C277" s="298"/>
      <c r="D277" s="298"/>
      <c r="E277" s="231"/>
      <c r="F277" s="231"/>
      <c r="G277" s="231"/>
      <c r="H277" s="231"/>
      <c r="I277" s="231"/>
      <c r="J277" s="231"/>
      <c r="K277" s="231"/>
      <c r="L277" s="237"/>
    </row>
    <row r="278" spans="1:12" x14ac:dyDescent="0.2">
      <c r="A278" s="324">
        <v>46</v>
      </c>
      <c r="B278" s="325">
        <v>1.0476432808077338</v>
      </c>
      <c r="C278" s="298"/>
      <c r="D278" s="298"/>
      <c r="E278" s="231"/>
      <c r="F278" s="231"/>
      <c r="G278" s="231"/>
      <c r="H278" s="231"/>
      <c r="I278" s="231"/>
      <c r="J278" s="231"/>
      <c r="K278" s="231"/>
      <c r="L278" s="237"/>
    </row>
    <row r="279" spans="1:12" x14ac:dyDescent="0.2">
      <c r="A279" s="324">
        <v>47</v>
      </c>
      <c r="B279" s="325">
        <v>1.0481092352981931</v>
      </c>
      <c r="C279" s="298"/>
      <c r="D279" s="298"/>
      <c r="E279" s="231"/>
      <c r="F279" s="231"/>
      <c r="G279" s="231"/>
      <c r="H279" s="231"/>
      <c r="I279" s="231"/>
      <c r="J279" s="231"/>
      <c r="K279" s="231"/>
      <c r="L279" s="237"/>
    </row>
    <row r="280" spans="1:12" x14ac:dyDescent="0.2">
      <c r="A280" s="324">
        <v>48</v>
      </c>
      <c r="B280" s="325">
        <v>1.0485485208693048</v>
      </c>
      <c r="C280" s="298"/>
      <c r="D280" s="298"/>
      <c r="E280" s="231"/>
      <c r="F280" s="231"/>
      <c r="G280" s="231"/>
      <c r="H280" s="231"/>
      <c r="I280" s="231"/>
      <c r="J280" s="231"/>
      <c r="K280" s="231"/>
      <c r="L280" s="237"/>
    </row>
    <row r="281" spans="1:12" x14ac:dyDescent="0.2">
      <c r="A281" s="324">
        <v>49</v>
      </c>
      <c r="B281" s="325">
        <v>1.0489600038520781</v>
      </c>
      <c r="C281" s="298"/>
      <c r="D281" s="298"/>
      <c r="E281" s="231"/>
      <c r="F281" s="231"/>
      <c r="G281" s="231"/>
      <c r="H281" s="231"/>
      <c r="I281" s="231"/>
      <c r="J281" s="231"/>
      <c r="K281" s="231"/>
      <c r="L281" s="237"/>
    </row>
    <row r="282" spans="1:12" x14ac:dyDescent="0.2">
      <c r="A282" s="324">
        <v>50</v>
      </c>
      <c r="B282" s="325">
        <v>1.0493422701761477</v>
      </c>
      <c r="C282" s="298"/>
      <c r="D282" s="298"/>
      <c r="E282" s="231"/>
      <c r="F282" s="231"/>
      <c r="G282" s="231"/>
      <c r="H282" s="231"/>
      <c r="I282" s="231"/>
      <c r="J282" s="231"/>
      <c r="K282" s="231"/>
      <c r="L282" s="237"/>
    </row>
    <row r="283" spans="1:12" x14ac:dyDescent="0.2">
      <c r="A283" s="324">
        <v>51</v>
      </c>
      <c r="B283" s="325">
        <v>1.049693625369776</v>
      </c>
      <c r="C283" s="298"/>
      <c r="D283" s="298"/>
      <c r="E283" s="231"/>
      <c r="F283" s="231"/>
      <c r="G283" s="231"/>
      <c r="H283" s="231"/>
      <c r="I283" s="231"/>
      <c r="J283" s="231"/>
      <c r="K283" s="231"/>
      <c r="L283" s="237"/>
    </row>
    <row r="284" spans="1:12" x14ac:dyDescent="0.2">
      <c r="A284" s="324">
        <v>52</v>
      </c>
      <c r="B284" s="325">
        <v>1.0500120945598534</v>
      </c>
      <c r="C284" s="298"/>
      <c r="D284" s="298"/>
      <c r="E284" s="231"/>
      <c r="F284" s="231"/>
      <c r="G284" s="231"/>
      <c r="H284" s="231"/>
      <c r="I284" s="231"/>
      <c r="J284" s="231"/>
      <c r="K284" s="231"/>
      <c r="L284" s="237"/>
    </row>
    <row r="285" spans="1:12" x14ac:dyDescent="0.2">
      <c r="A285" s="324">
        <v>53</v>
      </c>
      <c r="B285" s="325">
        <v>1.0502954224718968</v>
      </c>
      <c r="C285" s="298"/>
      <c r="D285" s="298"/>
      <c r="E285" s="231"/>
      <c r="F285" s="231"/>
      <c r="G285" s="231"/>
      <c r="H285" s="231"/>
      <c r="I285" s="231"/>
      <c r="J285" s="231"/>
      <c r="K285" s="231"/>
      <c r="L285" s="237"/>
    </row>
    <row r="286" spans="1:12" x14ac:dyDescent="0.2">
      <c r="A286" s="324">
        <v>54</v>
      </c>
      <c r="B286" s="325">
        <v>1.0505410734300507</v>
      </c>
      <c r="C286" s="298"/>
      <c r="D286" s="298"/>
      <c r="E286" s="231"/>
      <c r="F286" s="231"/>
      <c r="G286" s="231"/>
      <c r="H286" s="231"/>
      <c r="I286" s="231"/>
      <c r="J286" s="231"/>
      <c r="K286" s="231"/>
      <c r="L286" s="237"/>
    </row>
    <row r="287" spans="1:12" x14ac:dyDescent="0.2">
      <c r="A287" s="324">
        <v>55</v>
      </c>
      <c r="B287" s="325">
        <v>1.0507462313570861</v>
      </c>
      <c r="C287" s="298"/>
      <c r="D287" s="298"/>
      <c r="E287" s="231"/>
      <c r="F287" s="231"/>
      <c r="G287" s="231"/>
      <c r="H287" s="231"/>
      <c r="I287" s="231"/>
      <c r="J287" s="231"/>
      <c r="K287" s="231"/>
      <c r="L287" s="237"/>
    </row>
    <row r="288" spans="1:12" x14ac:dyDescent="0.2">
      <c r="A288" s="324">
        <v>56</v>
      </c>
      <c r="B288" s="325">
        <v>1.0509077997744025</v>
      </c>
      <c r="C288" s="298"/>
      <c r="D288" s="298"/>
      <c r="E288" s="231"/>
      <c r="F288" s="231"/>
      <c r="G288" s="231"/>
      <c r="H288" s="231"/>
      <c r="I288" s="231"/>
      <c r="J288" s="231"/>
      <c r="K288" s="231"/>
      <c r="L288" s="237"/>
    </row>
    <row r="289" spans="1:40" x14ac:dyDescent="0.2">
      <c r="A289" s="324">
        <v>57</v>
      </c>
      <c r="B289" s="325">
        <v>1.0510224018020256</v>
      </c>
      <c r="C289" s="298"/>
      <c r="D289" s="298"/>
      <c r="E289" s="231"/>
      <c r="F289" s="231"/>
      <c r="G289" s="231"/>
      <c r="H289" s="231"/>
      <c r="I289" s="231"/>
      <c r="J289" s="231"/>
      <c r="K289" s="231"/>
      <c r="L289" s="237"/>
    </row>
    <row r="290" spans="1:40" x14ac:dyDescent="0.2">
      <c r="A290" s="324">
        <v>58</v>
      </c>
      <c r="B290" s="325">
        <v>1.0510863801586088</v>
      </c>
      <c r="C290" s="298"/>
      <c r="D290" s="298"/>
      <c r="E290" s="231"/>
      <c r="F290" s="231"/>
      <c r="G290" s="231"/>
      <c r="H290" s="231"/>
      <c r="I290" s="231"/>
      <c r="J290" s="231"/>
      <c r="K290" s="231"/>
      <c r="L290" s="237"/>
    </row>
    <row r="291" spans="1:40" x14ac:dyDescent="0.2">
      <c r="A291" s="324">
        <v>59</v>
      </c>
      <c r="B291" s="325">
        <v>1.0510957971614321</v>
      </c>
      <c r="C291" s="298"/>
      <c r="D291" s="298"/>
      <c r="E291" s="231"/>
      <c r="F291" s="231"/>
      <c r="G291" s="231"/>
      <c r="H291" s="231"/>
      <c r="I291" s="231"/>
      <c r="J291" s="231"/>
      <c r="K291" s="231"/>
      <c r="L291" s="237"/>
    </row>
    <row r="292" spans="1:40" ht="13.5" thickBot="1" x14ac:dyDescent="0.25">
      <c r="A292" s="326">
        <v>60</v>
      </c>
      <c r="B292" s="327">
        <v>1.0513050897883618</v>
      </c>
      <c r="C292" s="298"/>
      <c r="D292" s="298"/>
      <c r="E292" s="231"/>
      <c r="F292" s="231"/>
      <c r="G292" s="231"/>
      <c r="H292" s="231"/>
      <c r="I292" s="231"/>
      <c r="J292" s="231"/>
      <c r="K292" s="231"/>
      <c r="L292" s="237"/>
    </row>
    <row r="293" spans="1:40" ht="13.5" thickBot="1" x14ac:dyDescent="0.25">
      <c r="A293" s="326">
        <v>60.000999999999998</v>
      </c>
      <c r="B293" s="327">
        <f>B292</f>
        <v>1.0513050897883618</v>
      </c>
      <c r="C293" s="298"/>
      <c r="D293" s="29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297"/>
      <c r="B297" s="699" t="s">
        <v>28</v>
      </c>
      <c r="C297" s="700"/>
      <c r="D297" s="700"/>
      <c r="E297" s="700"/>
      <c r="F297" s="700"/>
      <c r="G297" s="700"/>
      <c r="H297" s="700"/>
      <c r="I297" s="700"/>
      <c r="J297" s="700"/>
      <c r="K297" s="298"/>
      <c r="L297" s="298"/>
      <c r="M297" s="298"/>
      <c r="N297" s="298"/>
      <c r="O297" s="298"/>
      <c r="P297" s="298"/>
      <c r="Q297" s="298"/>
      <c r="R297" s="298"/>
      <c r="S297" s="298"/>
      <c r="T297" s="298"/>
      <c r="U297" s="298"/>
      <c r="V297" s="298"/>
      <c r="W297" s="298"/>
      <c r="X297" s="298"/>
      <c r="Y297" s="298"/>
      <c r="Z297" s="298"/>
      <c r="AA297" s="298"/>
      <c r="AB297" s="298"/>
      <c r="AC297" s="298"/>
      <c r="AD297" s="298"/>
      <c r="AE297" s="298"/>
      <c r="AF297" s="298"/>
      <c r="AG297" s="298"/>
      <c r="AH297" s="298"/>
      <c r="AI297" s="298"/>
      <c r="AJ297" s="298"/>
      <c r="AK297" s="298"/>
      <c r="AL297" s="298"/>
      <c r="AM297" s="298"/>
      <c r="AN297" s="299"/>
    </row>
    <row r="298" spans="1:40" ht="14.25" thickTop="1" thickBot="1" x14ac:dyDescent="0.25">
      <c r="A298" s="300"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99"/>
    </row>
    <row r="299" spans="1:40" ht="13.5" thickTop="1" x14ac:dyDescent="0.2">
      <c r="A299" s="303">
        <v>4</v>
      </c>
      <c r="B299" s="304">
        <v>0.95545478794345162</v>
      </c>
      <c r="C299" s="304">
        <v>0.96131902874999997</v>
      </c>
      <c r="D299" s="304">
        <v>0.96617764737263268</v>
      </c>
      <c r="E299" s="304">
        <v>0.97008964363000005</v>
      </c>
      <c r="F299" s="304">
        <v>0.97353961056281679</v>
      </c>
      <c r="G299" s="304">
        <v>0.97595289579</v>
      </c>
      <c r="H299" s="304">
        <v>0.97807415310749535</v>
      </c>
      <c r="I299" s="304">
        <v>0.97976669883</v>
      </c>
      <c r="J299" s="305">
        <v>0.98100826887169912</v>
      </c>
      <c r="K299" s="304">
        <v>0.98220991098999999</v>
      </c>
      <c r="L299" s="304">
        <v>0.98308549103999998</v>
      </c>
      <c r="M299" s="304">
        <v>0.98351560416110961</v>
      </c>
      <c r="N299" s="304">
        <v>0.98440162048000002</v>
      </c>
      <c r="O299" s="304">
        <v>0.98492084042999994</v>
      </c>
      <c r="P299" s="304">
        <v>0.98538794544000008</v>
      </c>
      <c r="Q299" s="304">
        <v>0.98582517978999995</v>
      </c>
      <c r="R299" s="304">
        <v>0.98671645772205918</v>
      </c>
      <c r="S299" s="305">
        <v>0.98667087963000011</v>
      </c>
      <c r="T299" s="304">
        <v>0.98709751408000002</v>
      </c>
      <c r="U299" s="304">
        <v>0.98753182539000006</v>
      </c>
      <c r="V299" s="304">
        <v>0.98797336704000005</v>
      </c>
      <c r="W299" s="304">
        <v>0.98831688450253397</v>
      </c>
      <c r="X299" s="304">
        <v>0.98886334128000009</v>
      </c>
      <c r="Y299" s="304">
        <v>0.98929968123000001</v>
      </c>
      <c r="Z299" s="304">
        <v>0.98972027584</v>
      </c>
      <c r="AA299" s="304">
        <v>0.99011710779000006</v>
      </c>
      <c r="AB299" s="305">
        <v>0.9903974393171513</v>
      </c>
      <c r="AC299" s="304">
        <v>0.99080952043000003</v>
      </c>
      <c r="AD299" s="304">
        <v>0.99109298688000003</v>
      </c>
      <c r="AE299" s="304">
        <v>0.9913296717900002</v>
      </c>
      <c r="AF299" s="304">
        <v>0.99151910703999979</v>
      </c>
      <c r="AG299" s="304">
        <v>0.99194451853827692</v>
      </c>
      <c r="AH299" s="304">
        <v>0.99177158208000005</v>
      </c>
      <c r="AI299" s="304">
        <v>0.99185272602999996</v>
      </c>
      <c r="AJ299" s="304">
        <v>0.99192403823999986</v>
      </c>
      <c r="AK299" s="304">
        <v>0.99200771978999969</v>
      </c>
      <c r="AL299" s="305">
        <v>0.9923712990130702</v>
      </c>
      <c r="AM299" s="305">
        <f>AL299</f>
        <v>0.9923712990130702</v>
      </c>
      <c r="AN299" s="299"/>
    </row>
    <row r="300" spans="1:40" x14ac:dyDescent="0.2">
      <c r="A300" s="306">
        <v>5</v>
      </c>
      <c r="B300" s="307">
        <v>0.95908242197919447</v>
      </c>
      <c r="C300" s="307">
        <v>0.96552543749999997</v>
      </c>
      <c r="D300" s="307">
        <v>0.97081888503600955</v>
      </c>
      <c r="E300" s="307">
        <v>0.97523236835000005</v>
      </c>
      <c r="F300" s="307">
        <v>0.97903440917578022</v>
      </c>
      <c r="G300" s="307">
        <v>0.98174211591999994</v>
      </c>
      <c r="H300" s="307">
        <v>0.98410242731395037</v>
      </c>
      <c r="I300" s="307">
        <v>0.98601284949000001</v>
      </c>
      <c r="J300" s="308">
        <v>0.98754334489197126</v>
      </c>
      <c r="K300" s="307">
        <v>0.98879654185999999</v>
      </c>
      <c r="L300" s="307">
        <v>0.98981506032</v>
      </c>
      <c r="M300" s="307">
        <v>0.99029074419845298</v>
      </c>
      <c r="N300" s="307">
        <v>0.99138411584000008</v>
      </c>
      <c r="O300" s="307">
        <v>0.99201875819999996</v>
      </c>
      <c r="P300" s="307">
        <v>0.99259603456000001</v>
      </c>
      <c r="Q300" s="307">
        <v>0.99313881496999989</v>
      </c>
      <c r="R300" s="307">
        <v>0.99418511603094162</v>
      </c>
      <c r="S300" s="308">
        <v>0.99418124494000004</v>
      </c>
      <c r="T300" s="307">
        <v>0.99469768400000003</v>
      </c>
      <c r="U300" s="307">
        <v>0.99521465451000002</v>
      </c>
      <c r="V300" s="307">
        <v>0.99573042111999999</v>
      </c>
      <c r="W300" s="307">
        <v>0.99602560682848762</v>
      </c>
      <c r="X300" s="307">
        <v>0.99673838303999995</v>
      </c>
      <c r="Y300" s="307">
        <v>0.99721626205000002</v>
      </c>
      <c r="Z300" s="307">
        <v>0.99766575295999993</v>
      </c>
      <c r="AA300" s="307">
        <v>0.99807862002000003</v>
      </c>
      <c r="AB300" s="308">
        <v>0.99847959455854896</v>
      </c>
      <c r="AC300" s="307">
        <v>0.99876662638999991</v>
      </c>
      <c r="AD300" s="307">
        <v>0.99903255359999998</v>
      </c>
      <c r="AE300" s="307">
        <v>0.9992448811600001</v>
      </c>
      <c r="AF300" s="307">
        <v>0.99940697791999977</v>
      </c>
      <c r="AG300" s="307">
        <v>0.9997332622032542</v>
      </c>
      <c r="AH300" s="307">
        <v>0.99961714623999987</v>
      </c>
      <c r="AI300" s="307">
        <v>0.99969731989999988</v>
      </c>
      <c r="AJ300" s="307">
        <v>0.9997929153599997</v>
      </c>
      <c r="AK300" s="307">
        <v>0.99993701106999966</v>
      </c>
      <c r="AL300" s="308">
        <v>1.0004001066951187</v>
      </c>
      <c r="AM300" s="308">
        <f t="shared" ref="AM300:AM335" si="4">AL300</f>
        <v>1.0004001066951187</v>
      </c>
      <c r="AN300" s="299"/>
    </row>
    <row r="301" spans="1:40" x14ac:dyDescent="0.2">
      <c r="A301" s="303">
        <v>6</v>
      </c>
      <c r="B301" s="304">
        <v>0.96271005601493731</v>
      </c>
      <c r="C301" s="304">
        <v>0.96973184624999997</v>
      </c>
      <c r="D301" s="304">
        <v>0.97546012269938653</v>
      </c>
      <c r="E301" s="304">
        <v>0.98037509307000004</v>
      </c>
      <c r="F301" s="304">
        <v>0.98452920778874364</v>
      </c>
      <c r="G301" s="304">
        <v>0.98753133604999999</v>
      </c>
      <c r="H301" s="304">
        <v>0.99013070152040539</v>
      </c>
      <c r="I301" s="304">
        <v>0.99225900015000001</v>
      </c>
      <c r="J301" s="305">
        <v>0.9940784209122433</v>
      </c>
      <c r="K301" s="304">
        <v>0.99538317272999999</v>
      </c>
      <c r="L301" s="304">
        <v>0.99654462960000001</v>
      </c>
      <c r="M301" s="304">
        <v>0.99706588423579623</v>
      </c>
      <c r="N301" s="304">
        <v>0.99836661120000003</v>
      </c>
      <c r="O301" s="304">
        <v>0.99911667596999987</v>
      </c>
      <c r="P301" s="304">
        <v>0.99980412367999993</v>
      </c>
      <c r="Q301" s="304">
        <v>1.0004524501499998</v>
      </c>
      <c r="R301" s="304">
        <v>1.0016537743398239</v>
      </c>
      <c r="S301" s="305">
        <v>1.00169161025</v>
      </c>
      <c r="T301" s="304">
        <v>1.00229785392</v>
      </c>
      <c r="U301" s="304">
        <v>1.00289748363</v>
      </c>
      <c r="V301" s="304">
        <v>1.0034874752</v>
      </c>
      <c r="W301" s="304">
        <v>1.0037343291544412</v>
      </c>
      <c r="X301" s="304">
        <v>1.0046134247999998</v>
      </c>
      <c r="Y301" s="304">
        <v>1.0051328428699999</v>
      </c>
      <c r="Z301" s="304">
        <v>1.00561123008</v>
      </c>
      <c r="AA301" s="304">
        <v>1.0060401322499999</v>
      </c>
      <c r="AB301" s="305">
        <v>1.0065617497999466</v>
      </c>
      <c r="AC301" s="304">
        <v>1.0067237323499998</v>
      </c>
      <c r="AD301" s="304">
        <v>1.0069721203199999</v>
      </c>
      <c r="AE301" s="304">
        <v>1.00716009053</v>
      </c>
      <c r="AF301" s="304">
        <v>1.0072948487999998</v>
      </c>
      <c r="AG301" s="304">
        <v>1.0075220058682315</v>
      </c>
      <c r="AH301" s="304">
        <v>1.0074627103999996</v>
      </c>
      <c r="AI301" s="304">
        <v>1.0075419137699999</v>
      </c>
      <c r="AJ301" s="304">
        <v>1.0076617924799995</v>
      </c>
      <c r="AK301" s="304">
        <v>1.0078663023499996</v>
      </c>
      <c r="AL301" s="305">
        <v>1.0084289143771672</v>
      </c>
      <c r="AM301" s="305">
        <f t="shared" si="4"/>
        <v>1.0084289143771672</v>
      </c>
      <c r="AN301" s="299"/>
    </row>
    <row r="302" spans="1:40" x14ac:dyDescent="0.2">
      <c r="A302" s="303">
        <v>7</v>
      </c>
      <c r="B302" s="304">
        <v>0.96428380901573751</v>
      </c>
      <c r="C302" s="304">
        <v>0.97167303250000003</v>
      </c>
      <c r="D302" s="304">
        <v>0.97780741531074955</v>
      </c>
      <c r="E302" s="304">
        <v>0.98286750001000001</v>
      </c>
      <c r="F302" s="304">
        <v>0.98727660709522536</v>
      </c>
      <c r="G302" s="304">
        <v>0.99049278056000001</v>
      </c>
      <c r="H302" s="304">
        <v>0.99330488130168049</v>
      </c>
      <c r="I302" s="304">
        <v>0.99559237206999995</v>
      </c>
      <c r="J302" s="305">
        <v>0.99735929581221661</v>
      </c>
      <c r="K302" s="304">
        <v>0.99898946781999998</v>
      </c>
      <c r="L302" s="304">
        <v>1.0002525841600001</v>
      </c>
      <c r="M302" s="304">
        <v>1.0009335822886103</v>
      </c>
      <c r="N302" s="304">
        <v>1.00221746752</v>
      </c>
      <c r="O302" s="304">
        <v>1.0030136107600001</v>
      </c>
      <c r="P302" s="304">
        <v>1.0037338995199998</v>
      </c>
      <c r="Q302" s="304">
        <v>1.00440480451</v>
      </c>
      <c r="R302" s="304">
        <v>1.0057081888503601</v>
      </c>
      <c r="S302" s="305">
        <v>1.00567052522</v>
      </c>
      <c r="T302" s="304">
        <v>1.00628674576</v>
      </c>
      <c r="U302" s="304">
        <v>1.0068979149700001</v>
      </c>
      <c r="V302" s="304">
        <v>1.0075035353600001</v>
      </c>
      <c r="W302" s="304">
        <v>1.0077087223259535</v>
      </c>
      <c r="X302" s="304">
        <v>1.0086813539199999</v>
      </c>
      <c r="Y302" s="304">
        <v>1.0092400555099998</v>
      </c>
      <c r="Z302" s="304">
        <v>1.0097677379199999</v>
      </c>
      <c r="AA302" s="304">
        <v>1.01025597046</v>
      </c>
      <c r="AB302" s="305">
        <v>1.0108295545478794</v>
      </c>
      <c r="AC302" s="304">
        <v>1.0110846123699999</v>
      </c>
      <c r="AD302" s="304">
        <v>1.0114146937599999</v>
      </c>
      <c r="AE302" s="304">
        <v>1.01168619212</v>
      </c>
      <c r="AF302" s="304">
        <v>1.01190177856</v>
      </c>
      <c r="AG302" s="304">
        <v>1.0122432648706321</v>
      </c>
      <c r="AH302" s="304">
        <v>1.0121991843199998</v>
      </c>
      <c r="AI302" s="304">
        <v>1.0123119142600001</v>
      </c>
      <c r="AJ302" s="304">
        <v>1.0124320763199999</v>
      </c>
      <c r="AK302" s="304">
        <v>1.0130435994049998</v>
      </c>
      <c r="AL302" s="305">
        <v>1.0130701520405441</v>
      </c>
      <c r="AM302" s="305">
        <f t="shared" si="4"/>
        <v>1.0130701520405441</v>
      </c>
      <c r="AN302" s="299"/>
    </row>
    <row r="303" spans="1:40" x14ac:dyDescent="0.2">
      <c r="A303" s="303">
        <v>8</v>
      </c>
      <c r="B303" s="304">
        <v>0.96585756201653772</v>
      </c>
      <c r="C303" s="304">
        <v>0.97361421874999998</v>
      </c>
      <c r="D303" s="304">
        <v>0.98015470792211257</v>
      </c>
      <c r="E303" s="304">
        <v>0.98535990694999998</v>
      </c>
      <c r="F303" s="304">
        <v>0.99002400640170707</v>
      </c>
      <c r="G303" s="304">
        <v>0.99345422507000003</v>
      </c>
      <c r="H303" s="304">
        <v>0.99647906108295548</v>
      </c>
      <c r="I303" s="304">
        <v>0.99892574399</v>
      </c>
      <c r="J303" s="305">
        <v>1.0006401707121899</v>
      </c>
      <c r="K303" s="304">
        <v>1.00259576291</v>
      </c>
      <c r="L303" s="304">
        <v>1.0039605387199999</v>
      </c>
      <c r="M303" s="304">
        <v>1.0048012803414244</v>
      </c>
      <c r="N303" s="304">
        <v>1.0060683238400001</v>
      </c>
      <c r="O303" s="304">
        <v>1.00691054555</v>
      </c>
      <c r="P303" s="304">
        <v>1.0076636753599999</v>
      </c>
      <c r="Q303" s="304">
        <v>1.00835715887</v>
      </c>
      <c r="R303" s="304">
        <v>1.0097626033608962</v>
      </c>
      <c r="S303" s="305">
        <v>1.00964944019</v>
      </c>
      <c r="T303" s="304">
        <v>1.0102756375999999</v>
      </c>
      <c r="U303" s="304">
        <v>1.0108983463100001</v>
      </c>
      <c r="V303" s="304">
        <v>1.01151959552</v>
      </c>
      <c r="W303" s="304">
        <v>1.0116831154974659</v>
      </c>
      <c r="X303" s="304">
        <v>1.01274928304</v>
      </c>
      <c r="Y303" s="304">
        <v>1.01334726815</v>
      </c>
      <c r="Z303" s="304">
        <v>1.01392424576</v>
      </c>
      <c r="AA303" s="304">
        <v>1.0144718086700002</v>
      </c>
      <c r="AB303" s="305">
        <v>1.0150973592958121</v>
      </c>
      <c r="AC303" s="304">
        <v>1.01544549239</v>
      </c>
      <c r="AD303" s="304">
        <v>1.0158572671999999</v>
      </c>
      <c r="AE303" s="304">
        <v>1.01621229371</v>
      </c>
      <c r="AF303" s="304">
        <v>1.0165087083200002</v>
      </c>
      <c r="AG303" s="304">
        <v>1.0169645238730327</v>
      </c>
      <c r="AH303" s="304">
        <v>1.01693565824</v>
      </c>
      <c r="AI303" s="304">
        <v>1.0170819147500003</v>
      </c>
      <c r="AJ303" s="304">
        <v>1.0172023601600002</v>
      </c>
      <c r="AK303" s="304">
        <v>1.0182208964599999</v>
      </c>
      <c r="AL303" s="305">
        <v>1.0177113897039209</v>
      </c>
      <c r="AM303" s="305">
        <f t="shared" si="4"/>
        <v>1.0177113897039209</v>
      </c>
      <c r="AN303" s="299"/>
    </row>
    <row r="304" spans="1:40" x14ac:dyDescent="0.2">
      <c r="A304" s="303">
        <v>9</v>
      </c>
      <c r="B304" s="304">
        <v>0.96700368497753897</v>
      </c>
      <c r="C304" s="304">
        <v>0.97483488062500001</v>
      </c>
      <c r="D304" s="304">
        <v>0.98140791307330555</v>
      </c>
      <c r="E304" s="304">
        <v>0.98681398259499997</v>
      </c>
      <c r="F304" s="304">
        <v>0.99162425245394781</v>
      </c>
      <c r="G304" s="304">
        <v>0.99516422900500001</v>
      </c>
      <c r="H304" s="304">
        <v>0.99823953054147774</v>
      </c>
      <c r="I304" s="304">
        <v>1.0008810071350001</v>
      </c>
      <c r="J304" s="305">
        <v>1.0028008792101284</v>
      </c>
      <c r="K304" s="304">
        <v>1.0047657343449998</v>
      </c>
      <c r="L304" s="304">
        <v>1.0062232742799999</v>
      </c>
      <c r="M304" s="304">
        <v>1.0071221510541948</v>
      </c>
      <c r="N304" s="304">
        <v>1.00848618496</v>
      </c>
      <c r="O304" s="304">
        <v>1.009391668645</v>
      </c>
      <c r="P304" s="304">
        <v>1.0101997337199999</v>
      </c>
      <c r="Q304" s="304">
        <v>1.0109410800549998</v>
      </c>
      <c r="R304" s="304">
        <v>1.012323683242548</v>
      </c>
      <c r="S304" s="305">
        <v>1.0123137867850001</v>
      </c>
      <c r="T304" s="304">
        <v>1.0129757429199999</v>
      </c>
      <c r="U304" s="304">
        <v>1.0136333885950002</v>
      </c>
      <c r="V304" s="304">
        <v>1.0142902700800001</v>
      </c>
      <c r="W304" s="304">
        <v>1.0145109986364838</v>
      </c>
      <c r="X304" s="304">
        <v>1.0155985063599999</v>
      </c>
      <c r="Y304" s="304">
        <v>1.016241359695</v>
      </c>
      <c r="Z304" s="304">
        <v>1.0168676627199997</v>
      </c>
      <c r="AA304" s="304">
        <v>1.0174690181049999</v>
      </c>
      <c r="AB304" s="305">
        <v>1.0181920855377908</v>
      </c>
      <c r="AC304" s="304">
        <v>1.018561087435</v>
      </c>
      <c r="AD304" s="304">
        <v>1.01903462272</v>
      </c>
      <c r="AE304" s="304">
        <v>1.019450069845</v>
      </c>
      <c r="AF304" s="304">
        <v>1.0198022978800001</v>
      </c>
      <c r="AG304" s="304">
        <v>1.0203260519493205</v>
      </c>
      <c r="AH304" s="304">
        <v>1.0203095737599999</v>
      </c>
      <c r="AI304" s="304">
        <v>1.0204691857450001</v>
      </c>
      <c r="AJ304" s="304">
        <v>1.0205759237200001</v>
      </c>
      <c r="AK304" s="304">
        <v>1.0210942541499999</v>
      </c>
      <c r="AL304" s="305">
        <v>1.0210462625002745</v>
      </c>
      <c r="AM304" s="305">
        <f t="shared" si="4"/>
        <v>1.0210462625002745</v>
      </c>
      <c r="AN304" s="299"/>
    </row>
    <row r="305" spans="1:40" x14ac:dyDescent="0.2">
      <c r="A305" s="306">
        <v>10</v>
      </c>
      <c r="B305" s="307">
        <v>0.96814980793854033</v>
      </c>
      <c r="C305" s="307">
        <v>0.97605554249999993</v>
      </c>
      <c r="D305" s="307">
        <v>0.98266111822449853</v>
      </c>
      <c r="E305" s="307">
        <v>0.98826805823999997</v>
      </c>
      <c r="F305" s="307">
        <v>0.99322449850618866</v>
      </c>
      <c r="G305" s="307">
        <v>0.99687423293999999</v>
      </c>
      <c r="H305" s="307">
        <v>1</v>
      </c>
      <c r="I305" s="307">
        <v>1.00283627028</v>
      </c>
      <c r="J305" s="308">
        <v>1.0049615877080667</v>
      </c>
      <c r="K305" s="307">
        <v>1.0069357057799999</v>
      </c>
      <c r="L305" s="307">
        <v>1.0084860098399999</v>
      </c>
      <c r="M305" s="307">
        <v>1.0094430217669654</v>
      </c>
      <c r="N305" s="307">
        <v>1.0109040460799998</v>
      </c>
      <c r="O305" s="307">
        <v>1.0118727917399999</v>
      </c>
      <c r="P305" s="307">
        <v>1.01273579208</v>
      </c>
      <c r="Q305" s="307">
        <v>1.0135250012399999</v>
      </c>
      <c r="R305" s="307">
        <v>1.0148847631241997</v>
      </c>
      <c r="S305" s="308">
        <v>1.0149781333799999</v>
      </c>
      <c r="T305" s="307">
        <v>1.0156758482399999</v>
      </c>
      <c r="U305" s="307">
        <v>1.0163684308800001</v>
      </c>
      <c r="V305" s="307">
        <v>1.0170609446399999</v>
      </c>
      <c r="W305" s="307">
        <v>1.0173388817755016</v>
      </c>
      <c r="X305" s="307">
        <v>1.0184477296800001</v>
      </c>
      <c r="Y305" s="307">
        <v>1.0191354512399999</v>
      </c>
      <c r="Z305" s="307">
        <v>1.0198110796799997</v>
      </c>
      <c r="AA305" s="307">
        <v>1.0204662275399998</v>
      </c>
      <c r="AB305" s="308">
        <v>1.0212868117797695</v>
      </c>
      <c r="AC305" s="307">
        <v>1.0216766824799999</v>
      </c>
      <c r="AD305" s="307">
        <v>1.0222119782399999</v>
      </c>
      <c r="AE305" s="307">
        <v>1.0226878459800002</v>
      </c>
      <c r="AF305" s="307">
        <v>1.0230958874399998</v>
      </c>
      <c r="AG305" s="307">
        <v>1.0236875800256082</v>
      </c>
      <c r="AH305" s="307">
        <v>1.0236834892799997</v>
      </c>
      <c r="AI305" s="307">
        <v>1.0238564567399999</v>
      </c>
      <c r="AJ305" s="307">
        <v>1.0239494872799997</v>
      </c>
      <c r="AK305" s="307">
        <v>1.0239676118399998</v>
      </c>
      <c r="AL305" s="308">
        <v>1.0243811352966283</v>
      </c>
      <c r="AM305" s="308">
        <f t="shared" si="4"/>
        <v>1.0243811352966283</v>
      </c>
      <c r="AN305" s="299"/>
    </row>
    <row r="306" spans="1:40" x14ac:dyDescent="0.2">
      <c r="A306" s="303">
        <v>11</v>
      </c>
      <c r="B306" s="304">
        <v>0.96900006244154424</v>
      </c>
      <c r="C306" s="304">
        <v>0.97704385562499996</v>
      </c>
      <c r="D306" s="304">
        <v>0.98387304033528233</v>
      </c>
      <c r="E306" s="304">
        <v>0.98954578174499996</v>
      </c>
      <c r="F306" s="304">
        <v>0.99448152960253233</v>
      </c>
      <c r="G306" s="304">
        <v>0.99839950638499997</v>
      </c>
      <c r="H306" s="304">
        <v>1.0017045757204497</v>
      </c>
      <c r="I306" s="304">
        <v>1.0045470269050001</v>
      </c>
      <c r="J306" s="305">
        <v>1.0067688671507893</v>
      </c>
      <c r="K306" s="304">
        <v>1.0087641723449998</v>
      </c>
      <c r="L306" s="304">
        <v>1.01034936556</v>
      </c>
      <c r="M306" s="304">
        <v>1.011433277782753</v>
      </c>
      <c r="N306" s="304">
        <v>1.0127971468799999</v>
      </c>
      <c r="O306" s="304">
        <v>1.0137651757449999</v>
      </c>
      <c r="P306" s="304">
        <v>1.0146205053199999</v>
      </c>
      <c r="Q306" s="304">
        <v>1.015397894985</v>
      </c>
      <c r="R306" s="304">
        <v>1.0165512080682522</v>
      </c>
      <c r="S306" s="305">
        <v>1.0168264161049998</v>
      </c>
      <c r="T306" s="304">
        <v>1.0175169241199999</v>
      </c>
      <c r="U306" s="304">
        <v>1.0182091345449999</v>
      </c>
      <c r="V306" s="304">
        <v>1.0189103321599999</v>
      </c>
      <c r="W306" s="304">
        <v>1.0193230391405605</v>
      </c>
      <c r="X306" s="304">
        <v>1.02034846708</v>
      </c>
      <c r="Y306" s="304">
        <v>1.0210809467449999</v>
      </c>
      <c r="Z306" s="304">
        <v>1.0218143875199999</v>
      </c>
      <c r="AA306" s="304">
        <v>1.0225397145849999</v>
      </c>
      <c r="AB306" s="305">
        <v>1.0232945538150964</v>
      </c>
      <c r="AC306" s="304">
        <v>1.0239204823049999</v>
      </c>
      <c r="AD306" s="304">
        <v>1.0245498611200001</v>
      </c>
      <c r="AE306" s="304">
        <v>1.0251198917450002</v>
      </c>
      <c r="AF306" s="304">
        <v>1.0256162547599998</v>
      </c>
      <c r="AG306" s="304">
        <v>1.0260663436803052</v>
      </c>
      <c r="AH306" s="304">
        <v>1.0258417446399999</v>
      </c>
      <c r="AI306" s="304">
        <v>1.0258336451749999</v>
      </c>
      <c r="AJ306" s="304">
        <v>1.0258055980399998</v>
      </c>
      <c r="AK306" s="304">
        <v>1.02608559419</v>
      </c>
      <c r="AL306" s="305">
        <v>1.0263598533245513</v>
      </c>
      <c r="AM306" s="305">
        <f t="shared" si="4"/>
        <v>1.0263598533245513</v>
      </c>
      <c r="AN306" s="299"/>
    </row>
    <row r="307" spans="1:40" x14ac:dyDescent="0.2">
      <c r="A307" s="303">
        <v>12</v>
      </c>
      <c r="B307" s="304">
        <v>0.96985031694454804</v>
      </c>
      <c r="C307" s="304">
        <v>0.97803216874999999</v>
      </c>
      <c r="D307" s="304">
        <v>0.98508496244606614</v>
      </c>
      <c r="E307" s="304">
        <v>0.99082350524999996</v>
      </c>
      <c r="F307" s="304">
        <v>0.99573856069887601</v>
      </c>
      <c r="G307" s="304">
        <v>0.99992477982999994</v>
      </c>
      <c r="H307" s="304">
        <v>1.0034091514408991</v>
      </c>
      <c r="I307" s="304">
        <v>1.0062577835299999</v>
      </c>
      <c r="J307" s="305">
        <v>1.0085761465935119</v>
      </c>
      <c r="K307" s="304">
        <v>1.01059263891</v>
      </c>
      <c r="L307" s="304">
        <v>1.0122127212800001</v>
      </c>
      <c r="M307" s="304">
        <v>1.0134235337985404</v>
      </c>
      <c r="N307" s="304">
        <v>1.0146902476799999</v>
      </c>
      <c r="O307" s="304">
        <v>1.0156575597499999</v>
      </c>
      <c r="P307" s="304">
        <v>1.0165052185599999</v>
      </c>
      <c r="Q307" s="304">
        <v>1.0172707887299999</v>
      </c>
      <c r="R307" s="304">
        <v>1.0182176530123048</v>
      </c>
      <c r="S307" s="305">
        <v>1.0186746988299999</v>
      </c>
      <c r="T307" s="304">
        <v>1.019358</v>
      </c>
      <c r="U307" s="304">
        <v>1.0200498382099998</v>
      </c>
      <c r="V307" s="304">
        <v>1.02075971968</v>
      </c>
      <c r="W307" s="304">
        <v>1.0213071965056197</v>
      </c>
      <c r="X307" s="304">
        <v>1.02224920448</v>
      </c>
      <c r="Y307" s="304">
        <v>1.0230264422499999</v>
      </c>
      <c r="Z307" s="304">
        <v>1.02381769536</v>
      </c>
      <c r="AA307" s="304">
        <v>1.02461320163</v>
      </c>
      <c r="AB307" s="305">
        <v>1.0253022958504234</v>
      </c>
      <c r="AC307" s="304">
        <v>1.0261642821300001</v>
      </c>
      <c r="AD307" s="304">
        <v>1.0268877440000002</v>
      </c>
      <c r="AE307" s="304">
        <v>1.0275519375100002</v>
      </c>
      <c r="AF307" s="304">
        <v>1.0281366220799999</v>
      </c>
      <c r="AG307" s="304">
        <v>1.0284451073350025</v>
      </c>
      <c r="AH307" s="304">
        <v>1.028</v>
      </c>
      <c r="AI307" s="304">
        <v>1.0278108336099998</v>
      </c>
      <c r="AJ307" s="304">
        <v>1.0276617088</v>
      </c>
      <c r="AK307" s="304">
        <v>1.0282035765400002</v>
      </c>
      <c r="AL307" s="305">
        <v>1.0283385713524742</v>
      </c>
      <c r="AM307" s="305">
        <f t="shared" si="4"/>
        <v>1.0283385713524742</v>
      </c>
      <c r="AN307" s="299"/>
    </row>
    <row r="308" spans="1:40" x14ac:dyDescent="0.2">
      <c r="A308" s="303">
        <v>13</v>
      </c>
      <c r="B308" s="304">
        <v>0.97018509336513492</v>
      </c>
      <c r="C308" s="304">
        <v>0.97834787458333328</v>
      </c>
      <c r="D308" s="304">
        <v>0.98535004884867039</v>
      </c>
      <c r="E308" s="304">
        <v>0.99118291722999996</v>
      </c>
      <c r="F308" s="304">
        <v>0.99618220045455053</v>
      </c>
      <c r="G308" s="304">
        <v>1.0003693430233334</v>
      </c>
      <c r="H308" s="304">
        <v>1.0039600367378088</v>
      </c>
      <c r="I308" s="304">
        <v>1.0068155001233332</v>
      </c>
      <c r="J308" s="305">
        <v>1.0091630121933444</v>
      </c>
      <c r="K308" s="304">
        <v>1.01127961445</v>
      </c>
      <c r="L308" s="304">
        <v>1.0129670835733333</v>
      </c>
      <c r="M308" s="304">
        <v>1.0141884371387826</v>
      </c>
      <c r="N308" s="304">
        <v>1.0155792294399999</v>
      </c>
      <c r="O308" s="304">
        <v>1.0166118216633333</v>
      </c>
      <c r="P308" s="304">
        <v>1.0175222845333332</v>
      </c>
      <c r="Q308" s="304">
        <v>1.0183474767899998</v>
      </c>
      <c r="R308" s="304">
        <v>1.0194447610022357</v>
      </c>
      <c r="S308" s="305">
        <v>1.0198588184233333</v>
      </c>
      <c r="T308" s="304">
        <v>1.0205890788800001</v>
      </c>
      <c r="U308" s="304">
        <v>1.0213229972833333</v>
      </c>
      <c r="V308" s="304">
        <v>1.0220699451733333</v>
      </c>
      <c r="W308" s="304">
        <v>1.0225701003132095</v>
      </c>
      <c r="X308" s="304">
        <v>1.0236185795733335</v>
      </c>
      <c r="Y308" s="304">
        <v>1.0244182327633333</v>
      </c>
      <c r="Z308" s="304">
        <v>1.0252275552000001</v>
      </c>
      <c r="AA308" s="304">
        <v>1.0260372612233333</v>
      </c>
      <c r="AB308" s="305">
        <v>1.0267964438945989</v>
      </c>
      <c r="AC308" s="304">
        <v>1.0276076753900001</v>
      </c>
      <c r="AD308" s="304">
        <v>1.0283378658133333</v>
      </c>
      <c r="AE308" s="304">
        <v>1.0290081107833335</v>
      </c>
      <c r="AF308" s="304">
        <v>1.0295992974399999</v>
      </c>
      <c r="AG308" s="304">
        <v>1.0299217737447899</v>
      </c>
      <c r="AH308" s="304">
        <v>1.02980943552</v>
      </c>
      <c r="AI308" s="304">
        <v>1.0295401779133331</v>
      </c>
      <c r="AJ308" s="304">
        <v>1.0294463303999999</v>
      </c>
      <c r="AK308" s="304">
        <v>1.0297545343333334</v>
      </c>
      <c r="AL308" s="305">
        <v>1.0299750748487935</v>
      </c>
      <c r="AM308" s="305">
        <f t="shared" si="4"/>
        <v>1.0299750748487935</v>
      </c>
      <c r="AN308" s="299"/>
    </row>
    <row r="309" spans="1:40" x14ac:dyDescent="0.2">
      <c r="A309" s="303">
        <v>14</v>
      </c>
      <c r="B309" s="304">
        <v>0.97051986978572169</v>
      </c>
      <c r="C309" s="304">
        <v>0.97866358041666668</v>
      </c>
      <c r="D309" s="304">
        <v>0.98561513525127464</v>
      </c>
      <c r="E309" s="304">
        <v>0.99154232920999996</v>
      </c>
      <c r="F309" s="304">
        <v>0.99662584021022493</v>
      </c>
      <c r="G309" s="304">
        <v>1.0008139062166665</v>
      </c>
      <c r="H309" s="304">
        <v>1.0045109220347186</v>
      </c>
      <c r="I309" s="304">
        <v>1.0073732167166667</v>
      </c>
      <c r="J309" s="305">
        <v>1.0097498777931768</v>
      </c>
      <c r="K309" s="304">
        <v>1.0119665899899999</v>
      </c>
      <c r="L309" s="304">
        <v>1.0137214458666668</v>
      </c>
      <c r="M309" s="304">
        <v>1.0149533404790247</v>
      </c>
      <c r="N309" s="304">
        <v>1.0164682112000001</v>
      </c>
      <c r="O309" s="304">
        <v>1.0175660835766667</v>
      </c>
      <c r="P309" s="304">
        <v>1.0185393505066667</v>
      </c>
      <c r="Q309" s="304">
        <v>1.01942416485</v>
      </c>
      <c r="R309" s="304">
        <v>1.0206718689921663</v>
      </c>
      <c r="S309" s="305">
        <v>1.0210429380166666</v>
      </c>
      <c r="T309" s="304">
        <v>1.0218201577599999</v>
      </c>
      <c r="U309" s="304">
        <v>1.0225961563566666</v>
      </c>
      <c r="V309" s="304">
        <v>1.0233801706666668</v>
      </c>
      <c r="W309" s="304">
        <v>1.023833004120799</v>
      </c>
      <c r="X309" s="304">
        <v>1.0249879546666667</v>
      </c>
      <c r="Y309" s="304">
        <v>1.0258100232766667</v>
      </c>
      <c r="Z309" s="304">
        <v>1.0266374150399999</v>
      </c>
      <c r="AA309" s="304">
        <v>1.0274613208166667</v>
      </c>
      <c r="AB309" s="305">
        <v>1.0282905919387741</v>
      </c>
      <c r="AC309" s="304">
        <v>1.0290510686500001</v>
      </c>
      <c r="AD309" s="304">
        <v>1.0297879876266667</v>
      </c>
      <c r="AE309" s="304">
        <v>1.0304642840566667</v>
      </c>
      <c r="AF309" s="304">
        <v>1.0310619727999999</v>
      </c>
      <c r="AG309" s="304">
        <v>1.0313984401545775</v>
      </c>
      <c r="AH309" s="304">
        <v>1.0316188710399998</v>
      </c>
      <c r="AI309" s="304">
        <v>1.0312695222166666</v>
      </c>
      <c r="AJ309" s="304">
        <v>1.031230952</v>
      </c>
      <c r="AK309" s="304">
        <v>1.0313054921266667</v>
      </c>
      <c r="AL309" s="305">
        <v>1.031611578345113</v>
      </c>
      <c r="AM309" s="305">
        <f t="shared" si="4"/>
        <v>1.031611578345113</v>
      </c>
      <c r="AN309" s="299"/>
    </row>
    <row r="310" spans="1:40" x14ac:dyDescent="0.2">
      <c r="A310" s="306">
        <v>15</v>
      </c>
      <c r="B310" s="307">
        <v>0.97085464620630857</v>
      </c>
      <c r="C310" s="307">
        <v>0.97897928624999997</v>
      </c>
      <c r="D310" s="307">
        <v>0.9858802216538789</v>
      </c>
      <c r="E310" s="307">
        <v>0.99190174118999996</v>
      </c>
      <c r="F310" s="307">
        <v>0.99706947996589945</v>
      </c>
      <c r="G310" s="307">
        <v>1.00125846941</v>
      </c>
      <c r="H310" s="307">
        <v>1.0050618073316282</v>
      </c>
      <c r="I310" s="307">
        <v>1.0079309333099999</v>
      </c>
      <c r="J310" s="308">
        <v>1.0103367433930093</v>
      </c>
      <c r="K310" s="307">
        <v>1.01265356553</v>
      </c>
      <c r="L310" s="307">
        <v>1.01447580816</v>
      </c>
      <c r="M310" s="307">
        <v>1.0157182438192669</v>
      </c>
      <c r="N310" s="307">
        <v>1.01735719296</v>
      </c>
      <c r="O310" s="307">
        <v>1.01852034549</v>
      </c>
      <c r="P310" s="307">
        <v>1.0195564164799999</v>
      </c>
      <c r="Q310" s="307">
        <v>1.0205008529099999</v>
      </c>
      <c r="R310" s="307">
        <v>1.0218989769820972</v>
      </c>
      <c r="S310" s="308">
        <v>1.0222270576099999</v>
      </c>
      <c r="T310" s="307">
        <v>1.02305123664</v>
      </c>
      <c r="U310" s="307">
        <v>1.02386931543</v>
      </c>
      <c r="V310" s="307">
        <v>1.02469039616</v>
      </c>
      <c r="W310" s="307">
        <v>1.0250959079283888</v>
      </c>
      <c r="X310" s="307">
        <v>1.0263573297600002</v>
      </c>
      <c r="Y310" s="307">
        <v>1.0272018137900001</v>
      </c>
      <c r="Z310" s="307">
        <v>1.02804727488</v>
      </c>
      <c r="AA310" s="307">
        <v>1.02888538041</v>
      </c>
      <c r="AB310" s="308">
        <v>1.0297847399829496</v>
      </c>
      <c r="AC310" s="307">
        <v>1.03049446191</v>
      </c>
      <c r="AD310" s="307">
        <v>1.0312381094399998</v>
      </c>
      <c r="AE310" s="307">
        <v>1.03192045733</v>
      </c>
      <c r="AF310" s="307">
        <v>1.0325246481599999</v>
      </c>
      <c r="AG310" s="307">
        <v>1.0328751065643649</v>
      </c>
      <c r="AH310" s="307">
        <v>1.0334283065599998</v>
      </c>
      <c r="AI310" s="307">
        <v>1.0329988665199998</v>
      </c>
      <c r="AJ310" s="307">
        <v>1.0330155736</v>
      </c>
      <c r="AK310" s="307">
        <v>1.0328564499199999</v>
      </c>
      <c r="AL310" s="308">
        <v>1.0332480818414322</v>
      </c>
      <c r="AM310" s="308">
        <f t="shared" si="4"/>
        <v>1.0332480818414322</v>
      </c>
      <c r="AN310" s="299"/>
    </row>
    <row r="311" spans="1:40" x14ac:dyDescent="0.2">
      <c r="A311" s="303">
        <v>16</v>
      </c>
      <c r="B311" s="304">
        <v>0.97117228367257846</v>
      </c>
      <c r="C311" s="304">
        <v>0.97942174679999994</v>
      </c>
      <c r="D311" s="304">
        <v>0.98643350944825636</v>
      </c>
      <c r="E311" s="304">
        <v>0.99251297871199995</v>
      </c>
      <c r="F311" s="304">
        <v>0.99775152768574127</v>
      </c>
      <c r="G311" s="304">
        <v>1.0019794904479999</v>
      </c>
      <c r="H311" s="304">
        <v>1.0058084139373669</v>
      </c>
      <c r="I311" s="304">
        <v>1.0087234522799999</v>
      </c>
      <c r="J311" s="305">
        <v>1.0111370456925002</v>
      </c>
      <c r="K311" s="304">
        <v>1.0134952016479999</v>
      </c>
      <c r="L311" s="304">
        <v>1.0153373954880001</v>
      </c>
      <c r="M311" s="304">
        <v>1.0166148914148827</v>
      </c>
      <c r="N311" s="304">
        <v>1.01825492624</v>
      </c>
      <c r="O311" s="304">
        <v>1.0194358108320001</v>
      </c>
      <c r="P311" s="304">
        <v>1.0204900906879999</v>
      </c>
      <c r="Q311" s="304">
        <v>1.0214535247279999</v>
      </c>
      <c r="R311" s="304">
        <v>1.0228707086897766</v>
      </c>
      <c r="S311" s="305">
        <v>1.0232205883999999</v>
      </c>
      <c r="T311" s="304">
        <v>1.024066551392</v>
      </c>
      <c r="U311" s="304">
        <v>1.0249070807280001</v>
      </c>
      <c r="V311" s="304">
        <v>1.025750987168</v>
      </c>
      <c r="W311" s="304">
        <v>1.0261958031509835</v>
      </c>
      <c r="X311" s="304">
        <v>1.0274631897600002</v>
      </c>
      <c r="Y311" s="304">
        <v>1.028329240952</v>
      </c>
      <c r="Z311" s="304">
        <v>1.0291949247680001</v>
      </c>
      <c r="AA311" s="304">
        <v>1.0300514218079999</v>
      </c>
      <c r="AB311" s="305">
        <v>1.0309596079876389</v>
      </c>
      <c r="AC311" s="304">
        <v>1.03168991132</v>
      </c>
      <c r="AD311" s="304">
        <v>1.032443716512</v>
      </c>
      <c r="AE311" s="304">
        <v>1.033132705808</v>
      </c>
      <c r="AF311" s="304">
        <v>1.0337397476479999</v>
      </c>
      <c r="AG311" s="304">
        <v>1.0341248280690389</v>
      </c>
      <c r="AH311" s="304">
        <v>1.0346371140799999</v>
      </c>
      <c r="AI311" s="304">
        <v>1.0341985055019998</v>
      </c>
      <c r="AJ311" s="304">
        <v>1.034202235168</v>
      </c>
      <c r="AK311" s="304">
        <v>1.034026671698</v>
      </c>
      <c r="AL311" s="305">
        <v>1.0344445291158089</v>
      </c>
      <c r="AM311" s="305">
        <f t="shared" si="4"/>
        <v>1.0344445291158089</v>
      </c>
      <c r="AN311" s="299"/>
    </row>
    <row r="312" spans="1:40" x14ac:dyDescent="0.2">
      <c r="A312" s="303">
        <v>17</v>
      </c>
      <c r="B312" s="304">
        <v>0.97148992113884836</v>
      </c>
      <c r="C312" s="304">
        <v>0.97986420735000002</v>
      </c>
      <c r="D312" s="304">
        <v>0.98698679724263383</v>
      </c>
      <c r="E312" s="304">
        <v>0.99312421623399993</v>
      </c>
      <c r="F312" s="304">
        <v>0.99843357540558308</v>
      </c>
      <c r="G312" s="304">
        <v>1.0027005114859999</v>
      </c>
      <c r="H312" s="304">
        <v>1.0065550205431057</v>
      </c>
      <c r="I312" s="304">
        <v>1.0095159712499999</v>
      </c>
      <c r="J312" s="305">
        <v>1.0119373479919913</v>
      </c>
      <c r="K312" s="304">
        <v>1.014336837766</v>
      </c>
      <c r="L312" s="304">
        <v>1.0161989828160001</v>
      </c>
      <c r="M312" s="304">
        <v>1.0175115390104983</v>
      </c>
      <c r="N312" s="304">
        <v>1.01915265952</v>
      </c>
      <c r="O312" s="304">
        <v>1.0203512761740001</v>
      </c>
      <c r="P312" s="304">
        <v>1.0214237648960001</v>
      </c>
      <c r="Q312" s="304">
        <v>1.0224061965460001</v>
      </c>
      <c r="R312" s="304">
        <v>1.0238424403974562</v>
      </c>
      <c r="S312" s="305">
        <v>1.0242141191899998</v>
      </c>
      <c r="T312" s="304">
        <v>1.025081866144</v>
      </c>
      <c r="U312" s="304">
        <v>1.0259448460260001</v>
      </c>
      <c r="V312" s="304">
        <v>1.0268115781759999</v>
      </c>
      <c r="W312" s="304">
        <v>1.0272956983735781</v>
      </c>
      <c r="X312" s="304">
        <v>1.0285690497600002</v>
      </c>
      <c r="Y312" s="304">
        <v>1.0294566681140001</v>
      </c>
      <c r="Z312" s="304">
        <v>1.030342574656</v>
      </c>
      <c r="AA312" s="304">
        <v>1.0312174632060001</v>
      </c>
      <c r="AB312" s="305">
        <v>1.0321344759923283</v>
      </c>
      <c r="AC312" s="304">
        <v>1.0328853607300001</v>
      </c>
      <c r="AD312" s="304">
        <v>1.0336493235839999</v>
      </c>
      <c r="AE312" s="304">
        <v>1.0343449542859999</v>
      </c>
      <c r="AF312" s="304">
        <v>1.0349548471359999</v>
      </c>
      <c r="AG312" s="304">
        <v>1.035374549573713</v>
      </c>
      <c r="AH312" s="304">
        <v>1.0358459216</v>
      </c>
      <c r="AI312" s="304">
        <v>1.0353981444839999</v>
      </c>
      <c r="AJ312" s="304">
        <v>1.0353888967360001</v>
      </c>
      <c r="AK312" s="304">
        <v>1.0351968934759999</v>
      </c>
      <c r="AL312" s="305">
        <v>1.0356409763901853</v>
      </c>
      <c r="AM312" s="305">
        <f t="shared" si="4"/>
        <v>1.0356409763901853</v>
      </c>
      <c r="AN312" s="299"/>
    </row>
    <row r="313" spans="1:40" x14ac:dyDescent="0.2">
      <c r="A313" s="303">
        <v>18</v>
      </c>
      <c r="B313" s="304">
        <v>0.97180755860511814</v>
      </c>
      <c r="C313" s="304">
        <v>0.98030666789999998</v>
      </c>
      <c r="D313" s="304">
        <v>0.98754008503701129</v>
      </c>
      <c r="E313" s="304">
        <v>0.99373545375600003</v>
      </c>
      <c r="F313" s="304">
        <v>0.99911562312542479</v>
      </c>
      <c r="G313" s="304">
        <v>1.0034215325240001</v>
      </c>
      <c r="H313" s="304">
        <v>1.0073016271488444</v>
      </c>
      <c r="I313" s="304">
        <v>1.0103084902199999</v>
      </c>
      <c r="J313" s="305">
        <v>1.0127376502914822</v>
      </c>
      <c r="K313" s="304">
        <v>1.015178473884</v>
      </c>
      <c r="L313" s="304">
        <v>1.0170605701439999</v>
      </c>
      <c r="M313" s="304">
        <v>1.0184081866061141</v>
      </c>
      <c r="N313" s="304">
        <v>1.0200503928</v>
      </c>
      <c r="O313" s="304">
        <v>1.0212667415159999</v>
      </c>
      <c r="P313" s="304">
        <v>1.022357439104</v>
      </c>
      <c r="Q313" s="304">
        <v>1.023358868364</v>
      </c>
      <c r="R313" s="304">
        <v>1.0248141721051356</v>
      </c>
      <c r="S313" s="305">
        <v>1.02520764998</v>
      </c>
      <c r="T313" s="304">
        <v>1.026097180896</v>
      </c>
      <c r="U313" s="304">
        <v>1.0269826113239999</v>
      </c>
      <c r="V313" s="304">
        <v>1.027872169184</v>
      </c>
      <c r="W313" s="304">
        <v>1.0283955935961731</v>
      </c>
      <c r="X313" s="304">
        <v>1.02967490976</v>
      </c>
      <c r="Y313" s="304">
        <v>1.0305840952759999</v>
      </c>
      <c r="Z313" s="304">
        <v>1.0314902245440001</v>
      </c>
      <c r="AA313" s="304">
        <v>1.032383504604</v>
      </c>
      <c r="AB313" s="305">
        <v>1.0333093439970176</v>
      </c>
      <c r="AC313" s="304">
        <v>1.0340808101400001</v>
      </c>
      <c r="AD313" s="304">
        <v>1.034854930656</v>
      </c>
      <c r="AE313" s="304">
        <v>1.0355572027640001</v>
      </c>
      <c r="AF313" s="304">
        <v>1.0361699466240002</v>
      </c>
      <c r="AG313" s="304">
        <v>1.0366242710783871</v>
      </c>
      <c r="AH313" s="304">
        <v>1.0370547291200001</v>
      </c>
      <c r="AI313" s="304">
        <v>1.0365977834659998</v>
      </c>
      <c r="AJ313" s="304">
        <v>1.0365755583040004</v>
      </c>
      <c r="AK313" s="304">
        <v>1.0363671152539999</v>
      </c>
      <c r="AL313" s="305">
        <v>1.0368374236645619</v>
      </c>
      <c r="AM313" s="305">
        <f t="shared" si="4"/>
        <v>1.0368374236645619</v>
      </c>
      <c r="AN313" s="299"/>
    </row>
    <row r="314" spans="1:40" x14ac:dyDescent="0.2">
      <c r="A314" s="303">
        <v>19</v>
      </c>
      <c r="B314" s="304">
        <v>0.97212519607138803</v>
      </c>
      <c r="C314" s="304">
        <v>0.98074912845000006</v>
      </c>
      <c r="D314" s="304">
        <v>0.98809337283138876</v>
      </c>
      <c r="E314" s="304">
        <v>0.99434669127800002</v>
      </c>
      <c r="F314" s="304">
        <v>0.99979767084526661</v>
      </c>
      <c r="G314" s="304">
        <v>1.0041425535620001</v>
      </c>
      <c r="H314" s="304">
        <v>1.0080482337545833</v>
      </c>
      <c r="I314" s="304">
        <v>1.0111010091899999</v>
      </c>
      <c r="J314" s="305">
        <v>1.0135379525909733</v>
      </c>
      <c r="K314" s="304">
        <v>1.0160201100020001</v>
      </c>
      <c r="L314" s="304">
        <v>1.0179221574719999</v>
      </c>
      <c r="M314" s="304">
        <v>1.0193048342017297</v>
      </c>
      <c r="N314" s="304">
        <v>1.02094812608</v>
      </c>
      <c r="O314" s="304">
        <v>1.022182206858</v>
      </c>
      <c r="P314" s="304">
        <v>1.0232911133120002</v>
      </c>
      <c r="Q314" s="304">
        <v>1.0243115401820002</v>
      </c>
      <c r="R314" s="304">
        <v>1.0257859038128152</v>
      </c>
      <c r="S314" s="305">
        <v>1.02620118077</v>
      </c>
      <c r="T314" s="304">
        <v>1.027112495648</v>
      </c>
      <c r="U314" s="304">
        <v>1.028020376622</v>
      </c>
      <c r="V314" s="304">
        <v>1.028932760192</v>
      </c>
      <c r="W314" s="304">
        <v>1.0294954888187677</v>
      </c>
      <c r="X314" s="304">
        <v>1.03078076976</v>
      </c>
      <c r="Y314" s="304">
        <v>1.031711522438</v>
      </c>
      <c r="Z314" s="304">
        <v>1.0326378744319999</v>
      </c>
      <c r="AA314" s="304">
        <v>1.0335495460020001</v>
      </c>
      <c r="AB314" s="305">
        <v>1.034484212001707</v>
      </c>
      <c r="AC314" s="304">
        <v>1.0352762595500002</v>
      </c>
      <c r="AD314" s="304">
        <v>1.0360605377279999</v>
      </c>
      <c r="AE314" s="304">
        <v>1.036769451242</v>
      </c>
      <c r="AF314" s="304">
        <v>1.0373850461120002</v>
      </c>
      <c r="AG314" s="304">
        <v>1.0378739925830611</v>
      </c>
      <c r="AH314" s="304">
        <v>1.0382635366400002</v>
      </c>
      <c r="AI314" s="304">
        <v>1.037797422448</v>
      </c>
      <c r="AJ314" s="304">
        <v>1.0377622198720005</v>
      </c>
      <c r="AK314" s="304">
        <v>1.0375373370319998</v>
      </c>
      <c r="AL314" s="305">
        <v>1.0380338709389383</v>
      </c>
      <c r="AM314" s="305">
        <f t="shared" si="4"/>
        <v>1.0380338709389383</v>
      </c>
      <c r="AN314" s="299"/>
    </row>
    <row r="315" spans="1:40" x14ac:dyDescent="0.2">
      <c r="A315" s="306">
        <v>20</v>
      </c>
      <c r="B315" s="307">
        <v>0.97244283353765792</v>
      </c>
      <c r="C315" s="307">
        <v>0.98119158900000003</v>
      </c>
      <c r="D315" s="307">
        <v>0.98864666062576623</v>
      </c>
      <c r="E315" s="307">
        <v>0.9949579288</v>
      </c>
      <c r="F315" s="307">
        <v>1.0004797185651084</v>
      </c>
      <c r="G315" s="307">
        <v>1.0048635746000001</v>
      </c>
      <c r="H315" s="307">
        <v>1.008794840360322</v>
      </c>
      <c r="I315" s="307">
        <v>1.0118935281599999</v>
      </c>
      <c r="J315" s="308">
        <v>1.0143382548904643</v>
      </c>
      <c r="K315" s="307">
        <v>1.01686174612</v>
      </c>
      <c r="L315" s="307">
        <v>1.0187837447999999</v>
      </c>
      <c r="M315" s="307">
        <v>1.0202014817973455</v>
      </c>
      <c r="N315" s="307">
        <v>1.0218458593599999</v>
      </c>
      <c r="O315" s="307">
        <v>1.0230976722</v>
      </c>
      <c r="P315" s="307">
        <v>1.0242247875200001</v>
      </c>
      <c r="Q315" s="307">
        <v>1.0252642120000002</v>
      </c>
      <c r="R315" s="307">
        <v>1.0267576355204946</v>
      </c>
      <c r="S315" s="308">
        <v>1.02719471156</v>
      </c>
      <c r="T315" s="307">
        <v>1.0281278104</v>
      </c>
      <c r="U315" s="307">
        <v>1.02905814192</v>
      </c>
      <c r="V315" s="307">
        <v>1.0299933511999999</v>
      </c>
      <c r="W315" s="307">
        <v>1.0305953840413624</v>
      </c>
      <c r="X315" s="307">
        <v>1.03188662976</v>
      </c>
      <c r="Y315" s="307">
        <v>1.0328389495999999</v>
      </c>
      <c r="Z315" s="307">
        <v>1.03378552432</v>
      </c>
      <c r="AA315" s="307">
        <v>1.0347155874</v>
      </c>
      <c r="AB315" s="308">
        <v>1.0356590800063963</v>
      </c>
      <c r="AC315" s="307">
        <v>1.0364717089600002</v>
      </c>
      <c r="AD315" s="307">
        <v>1.0372661448</v>
      </c>
      <c r="AE315" s="307">
        <v>1.03798169972</v>
      </c>
      <c r="AF315" s="307">
        <v>1.0386001456000002</v>
      </c>
      <c r="AG315" s="307">
        <v>1.0391237140877352</v>
      </c>
      <c r="AH315" s="307">
        <v>1.0394723441600002</v>
      </c>
      <c r="AI315" s="307">
        <v>1.0389970614299999</v>
      </c>
      <c r="AJ315" s="307">
        <v>1.0389488814400005</v>
      </c>
      <c r="AK315" s="307">
        <v>1.0387075588099999</v>
      </c>
      <c r="AL315" s="308">
        <v>1.0392303182133149</v>
      </c>
      <c r="AM315" s="308">
        <f t="shared" si="4"/>
        <v>1.0392303182133149</v>
      </c>
      <c r="AN315" s="299"/>
    </row>
    <row r="316" spans="1:40" x14ac:dyDescent="0.2">
      <c r="A316" s="303">
        <v>21</v>
      </c>
      <c r="B316" s="304">
        <v>0.97254943766323754</v>
      </c>
      <c r="C316" s="304">
        <v>0.98132503069999999</v>
      </c>
      <c r="D316" s="304">
        <v>0.98878524598901973</v>
      </c>
      <c r="E316" s="304">
        <v>0.99515804904000005</v>
      </c>
      <c r="F316" s="304">
        <v>1.0007142476413837</v>
      </c>
      <c r="G316" s="304">
        <v>1.0051154286440001</v>
      </c>
      <c r="H316" s="304">
        <v>1.0090506902617131</v>
      </c>
      <c r="I316" s="304">
        <v>1.012189126472</v>
      </c>
      <c r="J316" s="305">
        <v>1.0147113693299932</v>
      </c>
      <c r="K316" s="304">
        <v>1.017197688924</v>
      </c>
      <c r="L316" s="304">
        <v>1.0191394612639999</v>
      </c>
      <c r="M316" s="304">
        <v>1.0205532754117583</v>
      </c>
      <c r="N316" s="304">
        <v>1.022241140352</v>
      </c>
      <c r="O316" s="304">
        <v>1.02351280226</v>
      </c>
      <c r="P316" s="304">
        <v>1.0246597276640002</v>
      </c>
      <c r="Q316" s="304">
        <v>1.0257187857840002</v>
      </c>
      <c r="R316" s="304">
        <v>1.0272053728479291</v>
      </c>
      <c r="S316" s="305">
        <v>1.027687253132</v>
      </c>
      <c r="T316" s="304">
        <v>1.0286382247199999</v>
      </c>
      <c r="U316" s="304">
        <v>1.0295853523039999</v>
      </c>
      <c r="V316" s="304">
        <v>1.0305360247039999</v>
      </c>
      <c r="W316" s="304">
        <v>1.0311817067320506</v>
      </c>
      <c r="X316" s="304">
        <v>1.032455267312</v>
      </c>
      <c r="Y316" s="304">
        <v>1.0334176710799998</v>
      </c>
      <c r="Z316" s="304">
        <v>1.034372185344</v>
      </c>
      <c r="AA316" s="304">
        <v>1.0353079505239999</v>
      </c>
      <c r="AB316" s="305">
        <v>1.0362454026970844</v>
      </c>
      <c r="AC316" s="304">
        <v>1.0370687353920001</v>
      </c>
      <c r="AD316" s="304">
        <v>1.03786232384</v>
      </c>
      <c r="AE316" s="304">
        <v>1.038575199284</v>
      </c>
      <c r="AF316" s="304">
        <v>1.0391894857440003</v>
      </c>
      <c r="AG316" s="304">
        <v>1.0397100367784233</v>
      </c>
      <c r="AH316" s="304">
        <v>1.0400509598720002</v>
      </c>
      <c r="AI316" s="304">
        <v>1.03957047593</v>
      </c>
      <c r="AJ316" s="304">
        <v>1.0395183649440005</v>
      </c>
      <c r="AK316" s="304">
        <v>1.0394559092719999</v>
      </c>
      <c r="AL316" s="305">
        <v>1.039805980491445</v>
      </c>
      <c r="AM316" s="305">
        <f t="shared" si="4"/>
        <v>1.039805980491445</v>
      </c>
      <c r="AN316" s="299"/>
    </row>
    <row r="317" spans="1:40" x14ac:dyDescent="0.2">
      <c r="A317" s="303">
        <v>22</v>
      </c>
      <c r="B317" s="304">
        <v>0.97265604178881726</v>
      </c>
      <c r="C317" s="304">
        <v>0.98145847240000006</v>
      </c>
      <c r="D317" s="304">
        <v>0.98892383135227335</v>
      </c>
      <c r="E317" s="304">
        <v>0.99535816927999998</v>
      </c>
      <c r="F317" s="304">
        <v>1.000948776717659</v>
      </c>
      <c r="G317" s="304">
        <v>1.005367282688</v>
      </c>
      <c r="H317" s="304">
        <v>1.0093065401631043</v>
      </c>
      <c r="I317" s="304">
        <v>1.0124847247839999</v>
      </c>
      <c r="J317" s="305">
        <v>1.0150844837695219</v>
      </c>
      <c r="K317" s="304">
        <v>1.0175336317279999</v>
      </c>
      <c r="L317" s="304">
        <v>1.0194951777279999</v>
      </c>
      <c r="M317" s="304">
        <v>1.0209050690261712</v>
      </c>
      <c r="N317" s="304">
        <v>1.022636421344</v>
      </c>
      <c r="O317" s="304">
        <v>1.0239279323199999</v>
      </c>
      <c r="P317" s="304">
        <v>1.0250946678080002</v>
      </c>
      <c r="Q317" s="304">
        <v>1.026173359568</v>
      </c>
      <c r="R317" s="304">
        <v>1.0276531101753636</v>
      </c>
      <c r="S317" s="305">
        <v>1.0281797947039999</v>
      </c>
      <c r="T317" s="304">
        <v>1.02914863904</v>
      </c>
      <c r="U317" s="304">
        <v>1.0301125626879999</v>
      </c>
      <c r="V317" s="304">
        <v>1.031078698208</v>
      </c>
      <c r="W317" s="304">
        <v>1.0317680294227387</v>
      </c>
      <c r="X317" s="304">
        <v>1.033023904864</v>
      </c>
      <c r="Y317" s="304">
        <v>1.03399639256</v>
      </c>
      <c r="Z317" s="304">
        <v>1.034958846368</v>
      </c>
      <c r="AA317" s="304">
        <v>1.0359003136480001</v>
      </c>
      <c r="AB317" s="305">
        <v>1.0368317253877726</v>
      </c>
      <c r="AC317" s="304">
        <v>1.0376657618239999</v>
      </c>
      <c r="AD317" s="304">
        <v>1.03845850288</v>
      </c>
      <c r="AE317" s="304">
        <v>1.039168698848</v>
      </c>
      <c r="AF317" s="304">
        <v>1.0397788258880003</v>
      </c>
      <c r="AG317" s="304">
        <v>1.0402963594691115</v>
      </c>
      <c r="AH317" s="304">
        <v>1.0406295755840003</v>
      </c>
      <c r="AI317" s="304">
        <v>1.04014389043</v>
      </c>
      <c r="AJ317" s="304">
        <v>1.0400878484480003</v>
      </c>
      <c r="AK317" s="304">
        <v>1.040204259734</v>
      </c>
      <c r="AL317" s="305">
        <v>1.0403816427695751</v>
      </c>
      <c r="AM317" s="305">
        <f t="shared" si="4"/>
        <v>1.0403816427695751</v>
      </c>
      <c r="AN317" s="299"/>
    </row>
    <row r="318" spans="1:40" x14ac:dyDescent="0.2">
      <c r="A318" s="303">
        <v>23</v>
      </c>
      <c r="B318" s="304">
        <v>0.97276264591439687</v>
      </c>
      <c r="C318" s="304">
        <v>0.98159191410000002</v>
      </c>
      <c r="D318" s="304">
        <v>0.98906241671552686</v>
      </c>
      <c r="E318" s="304">
        <v>0.99555828952000003</v>
      </c>
      <c r="F318" s="304">
        <v>1.0011833057939341</v>
      </c>
      <c r="G318" s="304">
        <v>1.005619136732</v>
      </c>
      <c r="H318" s="304">
        <v>1.0095623900644954</v>
      </c>
      <c r="I318" s="304">
        <v>1.012780323096</v>
      </c>
      <c r="J318" s="305">
        <v>1.0154575982090508</v>
      </c>
      <c r="K318" s="304">
        <v>1.0178695745320001</v>
      </c>
      <c r="L318" s="304">
        <v>1.0198508941919999</v>
      </c>
      <c r="M318" s="304">
        <v>1.0212568626405842</v>
      </c>
      <c r="N318" s="304">
        <v>1.023031702336</v>
      </c>
      <c r="O318" s="304">
        <v>1.0243430623800001</v>
      </c>
      <c r="P318" s="304">
        <v>1.025529607952</v>
      </c>
      <c r="Q318" s="304">
        <v>1.0266279333520001</v>
      </c>
      <c r="R318" s="304">
        <v>1.0281008475027984</v>
      </c>
      <c r="S318" s="305">
        <v>1.028672336276</v>
      </c>
      <c r="T318" s="304">
        <v>1.0296590533599999</v>
      </c>
      <c r="U318" s="304">
        <v>1.0306397730720001</v>
      </c>
      <c r="V318" s="304">
        <v>1.031621371712</v>
      </c>
      <c r="W318" s="304">
        <v>1.0323543521134269</v>
      </c>
      <c r="X318" s="304">
        <v>1.033592542416</v>
      </c>
      <c r="Y318" s="304">
        <v>1.0345751140399999</v>
      </c>
      <c r="Z318" s="304">
        <v>1.0355455073920001</v>
      </c>
      <c r="AA318" s="304">
        <v>1.036492676772</v>
      </c>
      <c r="AB318" s="305">
        <v>1.0374180480784605</v>
      </c>
      <c r="AC318" s="304">
        <v>1.038262788256</v>
      </c>
      <c r="AD318" s="304">
        <v>1.0390546819200002</v>
      </c>
      <c r="AE318" s="304">
        <v>1.0397621984119998</v>
      </c>
      <c r="AF318" s="304">
        <v>1.0403681660320001</v>
      </c>
      <c r="AG318" s="304">
        <v>1.0408826821597996</v>
      </c>
      <c r="AH318" s="304">
        <v>1.0412081912960001</v>
      </c>
      <c r="AI318" s="304">
        <v>1.0407173049299998</v>
      </c>
      <c r="AJ318" s="304">
        <v>1.0406573319520003</v>
      </c>
      <c r="AK318" s="304">
        <v>1.0409526101959998</v>
      </c>
      <c r="AL318" s="305">
        <v>1.0409573050477055</v>
      </c>
      <c r="AM318" s="305">
        <f t="shared" si="4"/>
        <v>1.0409573050477055</v>
      </c>
      <c r="AN318" s="299"/>
    </row>
    <row r="319" spans="1:40" x14ac:dyDescent="0.2">
      <c r="A319" s="303">
        <v>24</v>
      </c>
      <c r="B319" s="304">
        <v>0.9728692500399766</v>
      </c>
      <c r="C319" s="304">
        <v>0.98172535580000009</v>
      </c>
      <c r="D319" s="304">
        <v>0.98920100207878048</v>
      </c>
      <c r="E319" s="304">
        <v>0.99575840975999996</v>
      </c>
      <c r="F319" s="304">
        <v>1.0014178348702094</v>
      </c>
      <c r="G319" s="304">
        <v>1.005870990776</v>
      </c>
      <c r="H319" s="304">
        <v>1.0098182399658866</v>
      </c>
      <c r="I319" s="304">
        <v>1.0130759214079998</v>
      </c>
      <c r="J319" s="305">
        <v>1.0158307126485795</v>
      </c>
      <c r="K319" s="304">
        <v>1.0182055173360001</v>
      </c>
      <c r="L319" s="304">
        <v>1.0202066106559999</v>
      </c>
      <c r="M319" s="304">
        <v>1.0216086562549971</v>
      </c>
      <c r="N319" s="304">
        <v>1.0234269833280001</v>
      </c>
      <c r="O319" s="304">
        <v>1.02475819244</v>
      </c>
      <c r="P319" s="304">
        <v>1.025964548096</v>
      </c>
      <c r="Q319" s="304">
        <v>1.0270825071359999</v>
      </c>
      <c r="R319" s="304">
        <v>1.0285485848302329</v>
      </c>
      <c r="S319" s="305">
        <v>1.0291648778479998</v>
      </c>
      <c r="T319" s="304">
        <v>1.03016946768</v>
      </c>
      <c r="U319" s="304">
        <v>1.031166983456</v>
      </c>
      <c r="V319" s="304">
        <v>1.0321640452160001</v>
      </c>
      <c r="W319" s="304">
        <v>1.032940674804115</v>
      </c>
      <c r="X319" s="304">
        <v>1.0341611799679999</v>
      </c>
      <c r="Y319" s="304">
        <v>1.0351538355200001</v>
      </c>
      <c r="Z319" s="304">
        <v>1.0361321684160001</v>
      </c>
      <c r="AA319" s="304">
        <v>1.0370850398960001</v>
      </c>
      <c r="AB319" s="305">
        <v>1.0380043707691486</v>
      </c>
      <c r="AC319" s="304">
        <v>1.0388598146879999</v>
      </c>
      <c r="AD319" s="304">
        <v>1.0396508609600001</v>
      </c>
      <c r="AE319" s="304">
        <v>1.0403556979759998</v>
      </c>
      <c r="AF319" s="304">
        <v>1.0409575061760001</v>
      </c>
      <c r="AG319" s="304">
        <v>1.0414690048504878</v>
      </c>
      <c r="AH319" s="304">
        <v>1.0417868070080001</v>
      </c>
      <c r="AI319" s="304">
        <v>1.0412907194299998</v>
      </c>
      <c r="AJ319" s="304">
        <v>1.041226815456</v>
      </c>
      <c r="AK319" s="304">
        <v>1.0417009606579999</v>
      </c>
      <c r="AL319" s="305">
        <v>1.0415329673258356</v>
      </c>
      <c r="AM319" s="305">
        <f t="shared" si="4"/>
        <v>1.0415329673258356</v>
      </c>
      <c r="AN319" s="299"/>
    </row>
    <row r="320" spans="1:40" x14ac:dyDescent="0.2">
      <c r="A320" s="306">
        <v>25</v>
      </c>
      <c r="B320" s="307">
        <v>0.97297585416555621</v>
      </c>
      <c r="C320" s="307">
        <v>0.98185879750000005</v>
      </c>
      <c r="D320" s="307">
        <v>0.98933958744203399</v>
      </c>
      <c r="E320" s="307">
        <v>0.99595853000000001</v>
      </c>
      <c r="F320" s="307">
        <v>1.0016523639464847</v>
      </c>
      <c r="G320" s="307">
        <v>1.0061228448199999</v>
      </c>
      <c r="H320" s="307">
        <v>1.0100740898672778</v>
      </c>
      <c r="I320" s="307">
        <v>1.0133715197199999</v>
      </c>
      <c r="J320" s="308">
        <v>1.0162038270881084</v>
      </c>
      <c r="K320" s="307">
        <v>1.01854146014</v>
      </c>
      <c r="L320" s="307">
        <v>1.0205623271199999</v>
      </c>
      <c r="M320" s="307">
        <v>1.0219604498694099</v>
      </c>
      <c r="N320" s="307">
        <v>1.0238222643200001</v>
      </c>
      <c r="O320" s="307">
        <v>1.0251733224999999</v>
      </c>
      <c r="P320" s="307">
        <v>1.02639948824</v>
      </c>
      <c r="Q320" s="307">
        <v>1.02753708092</v>
      </c>
      <c r="R320" s="307">
        <v>1.0289963221576675</v>
      </c>
      <c r="S320" s="308">
        <v>1.0296574194199999</v>
      </c>
      <c r="T320" s="307">
        <v>1.0306798819999998</v>
      </c>
      <c r="U320" s="307">
        <v>1.0316941938399999</v>
      </c>
      <c r="V320" s="307">
        <v>1.0327067187200001</v>
      </c>
      <c r="W320" s="307">
        <v>1.0335269974948031</v>
      </c>
      <c r="X320" s="307">
        <v>1.0347298175199999</v>
      </c>
      <c r="Y320" s="307">
        <v>1.035732557</v>
      </c>
      <c r="Z320" s="307">
        <v>1.03671882944</v>
      </c>
      <c r="AA320" s="307">
        <v>1.03767740302</v>
      </c>
      <c r="AB320" s="308">
        <v>1.0385906934598368</v>
      </c>
      <c r="AC320" s="307">
        <v>1.0394568411199998</v>
      </c>
      <c r="AD320" s="307">
        <v>1.0402470400000001</v>
      </c>
      <c r="AE320" s="307">
        <v>1.0409491975399998</v>
      </c>
      <c r="AF320" s="307">
        <v>1.0415468463200002</v>
      </c>
      <c r="AG320" s="307">
        <v>1.0420553275411759</v>
      </c>
      <c r="AH320" s="307">
        <v>1.0423654227200001</v>
      </c>
      <c r="AI320" s="307">
        <v>1.0418641339299999</v>
      </c>
      <c r="AJ320" s="307">
        <v>1.04179629896</v>
      </c>
      <c r="AK320" s="307">
        <v>1.0424493111199999</v>
      </c>
      <c r="AL320" s="308">
        <v>1.0421086296039657</v>
      </c>
      <c r="AM320" s="308">
        <f t="shared" si="4"/>
        <v>1.0421086296039657</v>
      </c>
      <c r="AN320" s="299"/>
    </row>
    <row r="321" spans="1:40" x14ac:dyDescent="0.2">
      <c r="A321" s="303">
        <v>26</v>
      </c>
      <c r="B321" s="304">
        <v>0.97304962458417754</v>
      </c>
      <c r="C321" s="304">
        <v>0.98195398099999998</v>
      </c>
      <c r="D321" s="304">
        <v>0.98948851609927169</v>
      </c>
      <c r="E321" s="304">
        <v>0.99606447730799996</v>
      </c>
      <c r="F321" s="304">
        <v>1.0017483758570491</v>
      </c>
      <c r="G321" s="304">
        <v>1.0062505819199998</v>
      </c>
      <c r="H321" s="304">
        <v>1.0102130196281223</v>
      </c>
      <c r="I321" s="304">
        <v>1.01352855554</v>
      </c>
      <c r="J321" s="305">
        <v>1.0163536150343848</v>
      </c>
      <c r="K321" s="304">
        <v>1.018731348792</v>
      </c>
      <c r="L321" s="304">
        <v>1.0207686874399999</v>
      </c>
      <c r="M321" s="304">
        <v>1.0221957188890241</v>
      </c>
      <c r="N321" s="304">
        <v>1.0240591161600001</v>
      </c>
      <c r="O321" s="304">
        <v>1.0254232299679999</v>
      </c>
      <c r="P321" s="304">
        <v>1.0266603978719999</v>
      </c>
      <c r="Q321" s="304">
        <v>1.02780654426</v>
      </c>
      <c r="R321" s="304">
        <v>1.0292851268166554</v>
      </c>
      <c r="S321" s="305">
        <v>1.0299353254799999</v>
      </c>
      <c r="T321" s="304">
        <v>1.0309571736479999</v>
      </c>
      <c r="U321" s="304">
        <v>1.0319674330519999</v>
      </c>
      <c r="V321" s="304">
        <v>1.03297241088</v>
      </c>
      <c r="W321" s="304">
        <v>1.0337839607210797</v>
      </c>
      <c r="X321" s="304">
        <v>1.0349701819999999</v>
      </c>
      <c r="Y321" s="304">
        <v>1.0359555302279999</v>
      </c>
      <c r="Z321" s="304">
        <v>1.0369217128320001</v>
      </c>
      <c r="AA321" s="304">
        <v>1.0378579958</v>
      </c>
      <c r="AB321" s="305">
        <v>1.038741197480312</v>
      </c>
      <c r="AC321" s="304">
        <v>1.0395889342199998</v>
      </c>
      <c r="AD321" s="304">
        <v>1.040354638208</v>
      </c>
      <c r="AE321" s="304">
        <v>1.0410335457119999</v>
      </c>
      <c r="AF321" s="304">
        <v>1.0416104575200003</v>
      </c>
      <c r="AG321" s="304">
        <v>1.0421313075601824</v>
      </c>
      <c r="AH321" s="304">
        <v>1.0424010806400001</v>
      </c>
      <c r="AI321" s="304">
        <v>1.0420347344319998</v>
      </c>
      <c r="AJ321" s="304">
        <v>1.0419924088479999</v>
      </c>
      <c r="AK321" s="304">
        <v>1.04250440454</v>
      </c>
      <c r="AL321" s="305">
        <v>1.042227259797897</v>
      </c>
      <c r="AM321" s="305">
        <f t="shared" si="4"/>
        <v>1.042227259797897</v>
      </c>
      <c r="AN321" s="299"/>
    </row>
    <row r="322" spans="1:40" x14ac:dyDescent="0.2">
      <c r="A322" s="303">
        <v>27</v>
      </c>
      <c r="B322" s="304">
        <v>0.97312339500279887</v>
      </c>
      <c r="C322" s="304">
        <v>0.98204916450000002</v>
      </c>
      <c r="D322" s="304">
        <v>0.98963744475650939</v>
      </c>
      <c r="E322" s="304">
        <v>0.99617042461599992</v>
      </c>
      <c r="F322" s="304">
        <v>1.0018443877676135</v>
      </c>
      <c r="G322" s="304">
        <v>1.00637831902</v>
      </c>
      <c r="H322" s="304">
        <v>1.0103519493889668</v>
      </c>
      <c r="I322" s="304">
        <v>1.01368559136</v>
      </c>
      <c r="J322" s="305">
        <v>1.0165034029806612</v>
      </c>
      <c r="K322" s="304">
        <v>1.018921237444</v>
      </c>
      <c r="L322" s="304">
        <v>1.0209750477599999</v>
      </c>
      <c r="M322" s="304">
        <v>1.0224309879086382</v>
      </c>
      <c r="N322" s="304">
        <v>1.0242959680000001</v>
      </c>
      <c r="O322" s="304">
        <v>1.025673137436</v>
      </c>
      <c r="P322" s="304">
        <v>1.026921307504</v>
      </c>
      <c r="Q322" s="304">
        <v>1.0280760076</v>
      </c>
      <c r="R322" s="304">
        <v>1.0295739314756434</v>
      </c>
      <c r="S322" s="305">
        <v>1.0302132315399999</v>
      </c>
      <c r="T322" s="304">
        <v>1.0312344652959999</v>
      </c>
      <c r="U322" s="304">
        <v>1.0322406722640001</v>
      </c>
      <c r="V322" s="304">
        <v>1.03323810304</v>
      </c>
      <c r="W322" s="304">
        <v>1.0340409239473562</v>
      </c>
      <c r="X322" s="304">
        <v>1.0352105464799999</v>
      </c>
      <c r="Y322" s="304">
        <v>1.036178503456</v>
      </c>
      <c r="Z322" s="304">
        <v>1.0371245962240001</v>
      </c>
      <c r="AA322" s="304">
        <v>1.0380385885800001</v>
      </c>
      <c r="AB322" s="305">
        <v>1.0388917015007875</v>
      </c>
      <c r="AC322" s="304">
        <v>1.0397210273199999</v>
      </c>
      <c r="AD322" s="304">
        <v>1.0404622364160001</v>
      </c>
      <c r="AE322" s="304">
        <v>1.041117893884</v>
      </c>
      <c r="AF322" s="304">
        <v>1.0416740687200003</v>
      </c>
      <c r="AG322" s="304">
        <v>1.042207287579189</v>
      </c>
      <c r="AH322" s="304">
        <v>1.0424367385600002</v>
      </c>
      <c r="AI322" s="304">
        <v>1.0422053349339999</v>
      </c>
      <c r="AJ322" s="304">
        <v>1.042188518736</v>
      </c>
      <c r="AK322" s="304">
        <v>1.0425594979600001</v>
      </c>
      <c r="AL322" s="305">
        <v>1.0423458899918281</v>
      </c>
      <c r="AM322" s="305">
        <f t="shared" si="4"/>
        <v>1.0423458899918281</v>
      </c>
      <c r="AN322" s="299"/>
    </row>
    <row r="323" spans="1:40" x14ac:dyDescent="0.2">
      <c r="A323" s="303">
        <v>28</v>
      </c>
      <c r="B323" s="304">
        <v>0.97319716542142032</v>
      </c>
      <c r="C323" s="304">
        <v>0.98214434799999994</v>
      </c>
      <c r="D323" s="304">
        <v>0.9897863734137472</v>
      </c>
      <c r="E323" s="304">
        <v>0.99627637192399998</v>
      </c>
      <c r="F323" s="304">
        <v>1.0019403996781782</v>
      </c>
      <c r="G323" s="304">
        <v>1.0065060561199999</v>
      </c>
      <c r="H323" s="304">
        <v>1.0104908791498111</v>
      </c>
      <c r="I323" s="304">
        <v>1.0138426271799998</v>
      </c>
      <c r="J323" s="305">
        <v>1.0166531909269376</v>
      </c>
      <c r="K323" s="304">
        <v>1.019111126096</v>
      </c>
      <c r="L323" s="304">
        <v>1.0211814080799999</v>
      </c>
      <c r="M323" s="304">
        <v>1.0226662569282523</v>
      </c>
      <c r="N323" s="304">
        <v>1.0245328198399999</v>
      </c>
      <c r="O323" s="304">
        <v>1.025923044904</v>
      </c>
      <c r="P323" s="304">
        <v>1.0271822171359999</v>
      </c>
      <c r="Q323" s="304">
        <v>1.02834547094</v>
      </c>
      <c r="R323" s="304">
        <v>1.0298627361346311</v>
      </c>
      <c r="S323" s="305">
        <v>1.0304911375999999</v>
      </c>
      <c r="T323" s="304">
        <v>1.031511756944</v>
      </c>
      <c r="U323" s="304">
        <v>1.032513911476</v>
      </c>
      <c r="V323" s="304">
        <v>1.0335037952000001</v>
      </c>
      <c r="W323" s="304">
        <v>1.034297887173633</v>
      </c>
      <c r="X323" s="304">
        <v>1.0354509109600001</v>
      </c>
      <c r="Y323" s="304">
        <v>1.036401476684</v>
      </c>
      <c r="Z323" s="304">
        <v>1.0373274796159999</v>
      </c>
      <c r="AA323" s="304">
        <v>1.0382191813600001</v>
      </c>
      <c r="AB323" s="305">
        <v>1.0390422055212627</v>
      </c>
      <c r="AC323" s="304">
        <v>1.0398531204199999</v>
      </c>
      <c r="AD323" s="304">
        <v>1.040569834624</v>
      </c>
      <c r="AE323" s="304">
        <v>1.0412022420560001</v>
      </c>
      <c r="AF323" s="304">
        <v>1.0417376799200002</v>
      </c>
      <c r="AG323" s="304">
        <v>1.0422832675981955</v>
      </c>
      <c r="AH323" s="304">
        <v>1.04247239648</v>
      </c>
      <c r="AI323" s="304">
        <v>1.0423759354359998</v>
      </c>
      <c r="AJ323" s="304">
        <v>1.0423846286239999</v>
      </c>
      <c r="AK323" s="304">
        <v>1.04261459138</v>
      </c>
      <c r="AL323" s="305">
        <v>1.0424645201857594</v>
      </c>
      <c r="AM323" s="305">
        <f t="shared" si="4"/>
        <v>1.0424645201857594</v>
      </c>
      <c r="AN323" s="299"/>
    </row>
    <row r="324" spans="1:40" x14ac:dyDescent="0.2">
      <c r="A324" s="303">
        <v>29</v>
      </c>
      <c r="B324" s="304">
        <v>0.97327093584004165</v>
      </c>
      <c r="C324" s="304">
        <v>0.98223953149999998</v>
      </c>
      <c r="D324" s="304">
        <v>0.9899353020709849</v>
      </c>
      <c r="E324" s="304">
        <v>0.99638231923199994</v>
      </c>
      <c r="F324" s="304">
        <v>1.0020364115887426</v>
      </c>
      <c r="G324" s="304">
        <v>1.00663379322</v>
      </c>
      <c r="H324" s="304">
        <v>1.0106298089106558</v>
      </c>
      <c r="I324" s="304">
        <v>1.0139996630000001</v>
      </c>
      <c r="J324" s="305">
        <v>1.0168029788732142</v>
      </c>
      <c r="K324" s="304">
        <v>1.0193010147480002</v>
      </c>
      <c r="L324" s="304">
        <v>1.0213877684000001</v>
      </c>
      <c r="M324" s="304">
        <v>1.0229015259478667</v>
      </c>
      <c r="N324" s="304">
        <v>1.0247696716800001</v>
      </c>
      <c r="O324" s="304">
        <v>1.0261729523720002</v>
      </c>
      <c r="P324" s="304">
        <v>1.0274431267680002</v>
      </c>
      <c r="Q324" s="304">
        <v>1.0286149342800002</v>
      </c>
      <c r="R324" s="304">
        <v>1.0301515407936193</v>
      </c>
      <c r="S324" s="305">
        <v>1.0307690436600001</v>
      </c>
      <c r="T324" s="304">
        <v>1.0317890485920003</v>
      </c>
      <c r="U324" s="304">
        <v>1.0327871506880004</v>
      </c>
      <c r="V324" s="304">
        <v>1.0337694873600003</v>
      </c>
      <c r="W324" s="304">
        <v>1.0345548503999098</v>
      </c>
      <c r="X324" s="304">
        <v>1.0356912754400003</v>
      </c>
      <c r="Y324" s="304">
        <v>1.0366244499120003</v>
      </c>
      <c r="Z324" s="304">
        <v>1.0375303630080002</v>
      </c>
      <c r="AA324" s="304">
        <v>1.0383997741400004</v>
      </c>
      <c r="AB324" s="305">
        <v>1.0391927095417381</v>
      </c>
      <c r="AC324" s="304">
        <v>1.0399852135200001</v>
      </c>
      <c r="AD324" s="304">
        <v>1.0406774328320001</v>
      </c>
      <c r="AE324" s="304">
        <v>1.0412865902280002</v>
      </c>
      <c r="AF324" s="304">
        <v>1.0418012911200003</v>
      </c>
      <c r="AG324" s="304">
        <v>1.0423592476172019</v>
      </c>
      <c r="AH324" s="304">
        <v>1.0425080544000001</v>
      </c>
      <c r="AI324" s="304">
        <v>1.0425465359379997</v>
      </c>
      <c r="AJ324" s="304">
        <v>1.0425807385119998</v>
      </c>
      <c r="AK324" s="304">
        <v>1.0426696848000001</v>
      </c>
      <c r="AL324" s="305">
        <v>1.0425831503796905</v>
      </c>
      <c r="AM324" s="305">
        <f t="shared" si="4"/>
        <v>1.0425831503796905</v>
      </c>
      <c r="AN324" s="299"/>
    </row>
    <row r="325" spans="1:40" x14ac:dyDescent="0.2">
      <c r="A325" s="306">
        <v>30</v>
      </c>
      <c r="B325" s="307">
        <v>0.97334470625866298</v>
      </c>
      <c r="C325" s="307">
        <v>0.98233471499999991</v>
      </c>
      <c r="D325" s="307">
        <v>0.9900842307282226</v>
      </c>
      <c r="E325" s="307">
        <v>0.99648826653999989</v>
      </c>
      <c r="F325" s="307">
        <v>1.002132423499307</v>
      </c>
      <c r="G325" s="307">
        <v>1.0067615303199999</v>
      </c>
      <c r="H325" s="307">
        <v>1.0107687386715001</v>
      </c>
      <c r="I325" s="307">
        <v>1.0141566988199999</v>
      </c>
      <c r="J325" s="308">
        <v>1.0169527668194904</v>
      </c>
      <c r="K325" s="307">
        <v>1.0194909033999999</v>
      </c>
      <c r="L325" s="307">
        <v>1.0215941287199999</v>
      </c>
      <c r="M325" s="307">
        <v>1.0231367949674806</v>
      </c>
      <c r="N325" s="307">
        <v>1.0250065235199999</v>
      </c>
      <c r="O325" s="307">
        <v>1.02642285984</v>
      </c>
      <c r="P325" s="307">
        <v>1.0277040363999999</v>
      </c>
      <c r="Q325" s="307">
        <v>1.0288843976199999</v>
      </c>
      <c r="R325" s="307">
        <v>1.030440345452607</v>
      </c>
      <c r="S325" s="308">
        <v>1.0310469497199999</v>
      </c>
      <c r="T325" s="307">
        <v>1.0320663402400001</v>
      </c>
      <c r="U325" s="307">
        <v>1.0330603899000002</v>
      </c>
      <c r="V325" s="307">
        <v>1.03403517952</v>
      </c>
      <c r="W325" s="307">
        <v>1.0348118136261861</v>
      </c>
      <c r="X325" s="307">
        <v>1.03593163992</v>
      </c>
      <c r="Y325" s="307">
        <v>1.03684742314</v>
      </c>
      <c r="Z325" s="307">
        <v>1.0377332464</v>
      </c>
      <c r="AA325" s="307">
        <v>1.0385803669200002</v>
      </c>
      <c r="AB325" s="308">
        <v>1.0393432135622134</v>
      </c>
      <c r="AC325" s="307">
        <v>1.04011730662</v>
      </c>
      <c r="AD325" s="307">
        <v>1.04078503104</v>
      </c>
      <c r="AE325" s="307">
        <v>1.0413709384000003</v>
      </c>
      <c r="AF325" s="307">
        <v>1.0418649023200004</v>
      </c>
      <c r="AG325" s="307">
        <v>1.0424352276362086</v>
      </c>
      <c r="AH325" s="307">
        <v>1.0425437123200001</v>
      </c>
      <c r="AI325" s="307">
        <v>1.0427171364399999</v>
      </c>
      <c r="AJ325" s="307">
        <v>1.0427768484</v>
      </c>
      <c r="AK325" s="307">
        <v>1.0427247782200002</v>
      </c>
      <c r="AL325" s="308">
        <v>1.0427017805736218</v>
      </c>
      <c r="AM325" s="308">
        <f t="shared" si="4"/>
        <v>1.0427017805736218</v>
      </c>
      <c r="AN325" s="299"/>
    </row>
    <row r="326" spans="1:40" x14ac:dyDescent="0.2">
      <c r="A326" s="303">
        <v>31</v>
      </c>
      <c r="B326" s="304">
        <v>0.97334470625866298</v>
      </c>
      <c r="C326" s="304">
        <v>0.98228604599999991</v>
      </c>
      <c r="D326" s="304">
        <v>0.99000959590574689</v>
      </c>
      <c r="E326" s="304">
        <v>0.9963975760999999</v>
      </c>
      <c r="F326" s="304">
        <v>1.0020577886768312</v>
      </c>
      <c r="G326" s="304">
        <v>1.0066738657199998</v>
      </c>
      <c r="H326" s="304">
        <v>1.0106621174965347</v>
      </c>
      <c r="I326" s="304">
        <v>1.014090106764</v>
      </c>
      <c r="J326" s="305">
        <v>1.0168568077620217</v>
      </c>
      <c r="K326" s="304">
        <v>1.0194456421759999</v>
      </c>
      <c r="L326" s="304">
        <v>1.02155623452</v>
      </c>
      <c r="M326" s="304">
        <v>1.0231794434374666</v>
      </c>
      <c r="N326" s="304">
        <v>1.0249735927039998</v>
      </c>
      <c r="O326" s="304">
        <v>1.02638727924</v>
      </c>
      <c r="P326" s="304">
        <v>1.0276626842159999</v>
      </c>
      <c r="Q326" s="304">
        <v>1.0288346562199999</v>
      </c>
      <c r="R326" s="304">
        <v>1.0303763727476278</v>
      </c>
      <c r="S326" s="305">
        <v>1.0309753969439999</v>
      </c>
      <c r="T326" s="304">
        <v>1.03198304156</v>
      </c>
      <c r="U326" s="304">
        <v>1.0329659899560002</v>
      </c>
      <c r="V326" s="304">
        <v>1.0339312243200001</v>
      </c>
      <c r="W326" s="304">
        <v>1.0346305576287451</v>
      </c>
      <c r="X326" s="304">
        <v>1.0358164929840001</v>
      </c>
      <c r="Y326" s="304">
        <v>1.0367319823800001</v>
      </c>
      <c r="Z326" s="304">
        <v>1.0376216528960001</v>
      </c>
      <c r="AA326" s="304">
        <v>1.0384769323200003</v>
      </c>
      <c r="AB326" s="305">
        <v>1.0393538756797098</v>
      </c>
      <c r="AC326" s="304">
        <v>1.0400423543240001</v>
      </c>
      <c r="AD326" s="304">
        <v>1.0407291552</v>
      </c>
      <c r="AE326" s="304">
        <v>1.0413358665360002</v>
      </c>
      <c r="AF326" s="304">
        <v>1.0418506737200004</v>
      </c>
      <c r="AG326" s="304">
        <v>1.0424245655187121</v>
      </c>
      <c r="AH326" s="304">
        <v>1.0425619544640001</v>
      </c>
      <c r="AI326" s="304">
        <v>1.0427409135199999</v>
      </c>
      <c r="AJ326" s="304">
        <v>1.042793924376</v>
      </c>
      <c r="AK326" s="304">
        <v>1.0427182420200003</v>
      </c>
      <c r="AL326" s="305">
        <v>1.0427124426911183</v>
      </c>
      <c r="AM326" s="305">
        <f t="shared" si="4"/>
        <v>1.0427124426911183</v>
      </c>
      <c r="AN326" s="299"/>
    </row>
    <row r="327" spans="1:40" x14ac:dyDescent="0.2">
      <c r="A327" s="303">
        <v>32</v>
      </c>
      <c r="B327" s="304">
        <v>0.97334470625866298</v>
      </c>
      <c r="C327" s="304">
        <v>0.98223737699999991</v>
      </c>
      <c r="D327" s="304">
        <v>0.98993496108327117</v>
      </c>
      <c r="E327" s="304">
        <v>0.99630688565999992</v>
      </c>
      <c r="F327" s="304">
        <v>1.0019831538543555</v>
      </c>
      <c r="G327" s="304">
        <v>1.00658620112</v>
      </c>
      <c r="H327" s="304">
        <v>1.0105554963215695</v>
      </c>
      <c r="I327" s="304">
        <v>1.0140235147079999</v>
      </c>
      <c r="J327" s="305">
        <v>1.0167608487045527</v>
      </c>
      <c r="K327" s="304">
        <v>1.019400380952</v>
      </c>
      <c r="L327" s="304">
        <v>1.0215183403199999</v>
      </c>
      <c r="M327" s="304">
        <v>1.0232220919074528</v>
      </c>
      <c r="N327" s="304">
        <v>1.0249406618879999</v>
      </c>
      <c r="O327" s="304">
        <v>1.0263516986400001</v>
      </c>
      <c r="P327" s="304">
        <v>1.027621332032</v>
      </c>
      <c r="Q327" s="304">
        <v>1.0287849148199999</v>
      </c>
      <c r="R327" s="304">
        <v>1.0303124000426485</v>
      </c>
      <c r="S327" s="305">
        <v>1.0309038441679998</v>
      </c>
      <c r="T327" s="304">
        <v>1.0318997428800001</v>
      </c>
      <c r="U327" s="304">
        <v>1.032871590012</v>
      </c>
      <c r="V327" s="304">
        <v>1.0338272691200001</v>
      </c>
      <c r="W327" s="304">
        <v>1.0344493016313039</v>
      </c>
      <c r="X327" s="304">
        <v>1.035701346048</v>
      </c>
      <c r="Y327" s="304">
        <v>1.0366165416199999</v>
      </c>
      <c r="Z327" s="304">
        <v>1.0375100593920001</v>
      </c>
      <c r="AA327" s="304">
        <v>1.0383734977200001</v>
      </c>
      <c r="AB327" s="305">
        <v>1.0393645377972065</v>
      </c>
      <c r="AC327" s="304">
        <v>1.0399674020280001</v>
      </c>
      <c r="AD327" s="304">
        <v>1.04067327936</v>
      </c>
      <c r="AE327" s="304">
        <v>1.0413007946720001</v>
      </c>
      <c r="AF327" s="304">
        <v>1.0418364451200004</v>
      </c>
      <c r="AG327" s="304">
        <v>1.0424139034012154</v>
      </c>
      <c r="AH327" s="304">
        <v>1.0425801966080002</v>
      </c>
      <c r="AI327" s="304">
        <v>1.0427646905999999</v>
      </c>
      <c r="AJ327" s="304">
        <v>1.0428110003520001</v>
      </c>
      <c r="AK327" s="304">
        <v>1.0427117058200002</v>
      </c>
      <c r="AL327" s="305">
        <v>1.042723104808615</v>
      </c>
      <c r="AM327" s="305">
        <f t="shared" si="4"/>
        <v>1.042723104808615</v>
      </c>
      <c r="AN327" s="299"/>
    </row>
    <row r="328" spans="1:40" x14ac:dyDescent="0.2">
      <c r="A328" s="303">
        <v>33</v>
      </c>
      <c r="B328" s="304">
        <v>0.97334470625866298</v>
      </c>
      <c r="C328" s="304">
        <v>0.98218870800000002</v>
      </c>
      <c r="D328" s="304">
        <v>0.98986032626079534</v>
      </c>
      <c r="E328" s="304">
        <v>0.99621619521999993</v>
      </c>
      <c r="F328" s="304">
        <v>1.0019085190318797</v>
      </c>
      <c r="G328" s="304">
        <v>1.0064985365199999</v>
      </c>
      <c r="H328" s="304">
        <v>1.0104488751466041</v>
      </c>
      <c r="I328" s="304">
        <v>1.013956922652</v>
      </c>
      <c r="J328" s="305">
        <v>1.016664889647084</v>
      </c>
      <c r="K328" s="304">
        <v>1.019355119728</v>
      </c>
      <c r="L328" s="304">
        <v>1.02148044612</v>
      </c>
      <c r="M328" s="304">
        <v>1.0232647403774389</v>
      </c>
      <c r="N328" s="304">
        <v>1.0249077310719998</v>
      </c>
      <c r="O328" s="304">
        <v>1.02631611804</v>
      </c>
      <c r="P328" s="304">
        <v>1.0275799798479999</v>
      </c>
      <c r="Q328" s="304">
        <v>1.0287351734200001</v>
      </c>
      <c r="R328" s="304">
        <v>1.0302484273376693</v>
      </c>
      <c r="S328" s="305">
        <v>1.0308322913920001</v>
      </c>
      <c r="T328" s="304">
        <v>1.0318164442</v>
      </c>
      <c r="U328" s="304">
        <v>1.0327771900680001</v>
      </c>
      <c r="V328" s="304">
        <v>1.0337233139199999</v>
      </c>
      <c r="W328" s="304">
        <v>1.0342680456338629</v>
      </c>
      <c r="X328" s="304">
        <v>1.0355861991120001</v>
      </c>
      <c r="Y328" s="304">
        <v>1.03650110086</v>
      </c>
      <c r="Z328" s="304">
        <v>1.037398465888</v>
      </c>
      <c r="AA328" s="304">
        <v>1.0382700631200001</v>
      </c>
      <c r="AB328" s="305">
        <v>1.039375199914703</v>
      </c>
      <c r="AC328" s="304">
        <v>1.0398924497320001</v>
      </c>
      <c r="AD328" s="304">
        <v>1.0406174035200002</v>
      </c>
      <c r="AE328" s="304">
        <v>1.0412657228080002</v>
      </c>
      <c r="AF328" s="304">
        <v>1.0418222165200002</v>
      </c>
      <c r="AG328" s="304">
        <v>1.042403241283719</v>
      </c>
      <c r="AH328" s="304">
        <v>1.0425984387520002</v>
      </c>
      <c r="AI328" s="304">
        <v>1.0427884676799999</v>
      </c>
      <c r="AJ328" s="304">
        <v>1.042828076328</v>
      </c>
      <c r="AK328" s="304">
        <v>1.0427051696200003</v>
      </c>
      <c r="AL328" s="305">
        <v>1.0427337669261114</v>
      </c>
      <c r="AM328" s="305">
        <f t="shared" si="4"/>
        <v>1.0427337669261114</v>
      </c>
      <c r="AN328" s="299"/>
    </row>
    <row r="329" spans="1:40" x14ac:dyDescent="0.2">
      <c r="A329" s="303">
        <v>34</v>
      </c>
      <c r="B329" s="304">
        <v>0.97334470625866298</v>
      </c>
      <c r="C329" s="304">
        <v>0.98214003900000002</v>
      </c>
      <c r="D329" s="304">
        <v>0.98978569143831963</v>
      </c>
      <c r="E329" s="304">
        <v>0.99612550477999995</v>
      </c>
      <c r="F329" s="304">
        <v>1.0018338842094041</v>
      </c>
      <c r="G329" s="304">
        <v>1.00641087192</v>
      </c>
      <c r="H329" s="304">
        <v>1.0103422539716389</v>
      </c>
      <c r="I329" s="304">
        <v>1.0138903305959999</v>
      </c>
      <c r="J329" s="305">
        <v>1.0165689305896151</v>
      </c>
      <c r="K329" s="304">
        <v>1.0193098585040001</v>
      </c>
      <c r="L329" s="304">
        <v>1.0214425519199999</v>
      </c>
      <c r="M329" s="304">
        <v>1.0233073888474251</v>
      </c>
      <c r="N329" s="304">
        <v>1.024874800256</v>
      </c>
      <c r="O329" s="304">
        <v>1.0262805374400001</v>
      </c>
      <c r="P329" s="304">
        <v>1.0275386276639999</v>
      </c>
      <c r="Q329" s="304">
        <v>1.0286854320200001</v>
      </c>
      <c r="R329" s="304">
        <v>1.0301844546326899</v>
      </c>
      <c r="S329" s="305">
        <v>1.030760738616</v>
      </c>
      <c r="T329" s="304">
        <v>1.0317331455200001</v>
      </c>
      <c r="U329" s="304">
        <v>1.0326827901239999</v>
      </c>
      <c r="V329" s="304">
        <v>1.03361935872</v>
      </c>
      <c r="W329" s="304">
        <v>1.0340867896364216</v>
      </c>
      <c r="X329" s="304">
        <v>1.035471052176</v>
      </c>
      <c r="Y329" s="304">
        <v>1.0363856600999999</v>
      </c>
      <c r="Z329" s="304">
        <v>1.0372868723840001</v>
      </c>
      <c r="AA329" s="304">
        <v>1.03816662852</v>
      </c>
      <c r="AB329" s="305">
        <v>1.0393858620321996</v>
      </c>
      <c r="AC329" s="304">
        <v>1.0398174974360002</v>
      </c>
      <c r="AD329" s="304">
        <v>1.0405615276800002</v>
      </c>
      <c r="AE329" s="304">
        <v>1.0412306509440001</v>
      </c>
      <c r="AF329" s="304">
        <v>1.0418079879200002</v>
      </c>
      <c r="AG329" s="304">
        <v>1.0423925791662223</v>
      </c>
      <c r="AH329" s="304">
        <v>1.0426166808960002</v>
      </c>
      <c r="AI329" s="304">
        <v>1.0428122447599999</v>
      </c>
      <c r="AJ329" s="304">
        <v>1.0428451523040001</v>
      </c>
      <c r="AK329" s="304">
        <v>1.0426986334200001</v>
      </c>
      <c r="AL329" s="305">
        <v>1.0427444290436081</v>
      </c>
      <c r="AM329" s="305">
        <f t="shared" si="4"/>
        <v>1.0427444290436081</v>
      </c>
      <c r="AN329" s="299"/>
    </row>
    <row r="330" spans="1:40" x14ac:dyDescent="0.2">
      <c r="A330" s="306">
        <v>35</v>
      </c>
      <c r="B330" s="307">
        <v>0.97334470625866298</v>
      </c>
      <c r="C330" s="307">
        <v>0.98209137000000002</v>
      </c>
      <c r="D330" s="307">
        <v>0.98971105661584391</v>
      </c>
      <c r="E330" s="307">
        <v>0.99603481433999996</v>
      </c>
      <c r="F330" s="307">
        <v>1.0017592493869283</v>
      </c>
      <c r="G330" s="307">
        <v>1.0063232073199999</v>
      </c>
      <c r="H330" s="307">
        <v>1.0102356327966735</v>
      </c>
      <c r="I330" s="307">
        <v>1.01382373854</v>
      </c>
      <c r="J330" s="308">
        <v>1.0164729715321463</v>
      </c>
      <c r="K330" s="307">
        <v>1.0192645972800001</v>
      </c>
      <c r="L330" s="307">
        <v>1.02140465772</v>
      </c>
      <c r="M330" s="307">
        <v>1.0233500373174111</v>
      </c>
      <c r="N330" s="307">
        <v>1.0248418694399999</v>
      </c>
      <c r="O330" s="307">
        <v>1.0262449568400001</v>
      </c>
      <c r="P330" s="307">
        <v>1.02749727548</v>
      </c>
      <c r="Q330" s="307">
        <v>1.02863569062</v>
      </c>
      <c r="R330" s="307">
        <v>1.0301204819277108</v>
      </c>
      <c r="S330" s="308">
        <v>1.03068918584</v>
      </c>
      <c r="T330" s="307">
        <v>1.0316498468399999</v>
      </c>
      <c r="U330" s="307">
        <v>1.0325883901799999</v>
      </c>
      <c r="V330" s="307">
        <v>1.03351540352</v>
      </c>
      <c r="W330" s="307">
        <v>1.0339055336389806</v>
      </c>
      <c r="X330" s="307">
        <v>1.0353559052400001</v>
      </c>
      <c r="Y330" s="307">
        <v>1.03627021934</v>
      </c>
      <c r="Z330" s="307">
        <v>1.0371752788800002</v>
      </c>
      <c r="AA330" s="307">
        <v>1.03806319392</v>
      </c>
      <c r="AB330" s="308">
        <v>1.0393965241496961</v>
      </c>
      <c r="AC330" s="307">
        <v>1.0397425451400002</v>
      </c>
      <c r="AD330" s="307">
        <v>1.0405056518400002</v>
      </c>
      <c r="AE330" s="307">
        <v>1.04119557908</v>
      </c>
      <c r="AF330" s="307">
        <v>1.0417937593200002</v>
      </c>
      <c r="AG330" s="307">
        <v>1.0423819170487258</v>
      </c>
      <c r="AH330" s="307">
        <v>1.0426349230400003</v>
      </c>
      <c r="AI330" s="307">
        <v>1.0428360218399999</v>
      </c>
      <c r="AJ330" s="307">
        <v>1.0428622282800002</v>
      </c>
      <c r="AK330" s="307">
        <v>1.0426920972200002</v>
      </c>
      <c r="AL330" s="308">
        <v>1.0427550911611045</v>
      </c>
      <c r="AM330" s="308">
        <f t="shared" si="4"/>
        <v>1.0427550911611045</v>
      </c>
      <c r="AN330" s="299"/>
    </row>
    <row r="331" spans="1:40" x14ac:dyDescent="0.2">
      <c r="A331" s="303">
        <v>36</v>
      </c>
      <c r="B331" s="304">
        <v>0.9733539498306919</v>
      </c>
      <c r="C331" s="304">
        <v>0.98208178499999998</v>
      </c>
      <c r="D331" s="304">
        <v>0.98961452331752453</v>
      </c>
      <c r="E331" s="304">
        <v>0.99601721845199997</v>
      </c>
      <c r="F331" s="304">
        <v>1.0017700081588254</v>
      </c>
      <c r="G331" s="304">
        <v>1.00627552</v>
      </c>
      <c r="H331" s="304">
        <v>1.0102041837289402</v>
      </c>
      <c r="I331" s="304">
        <v>1.01374213566</v>
      </c>
      <c r="J331" s="305">
        <v>1.0163991952281699</v>
      </c>
      <c r="K331" s="304">
        <v>1.019156834136</v>
      </c>
      <c r="L331" s="304">
        <v>1.0212887820000001</v>
      </c>
      <c r="M331" s="304">
        <v>1.0231593131685985</v>
      </c>
      <c r="N331" s="304">
        <v>1.0247212367999998</v>
      </c>
      <c r="O331" s="304">
        <v>1.026127569072</v>
      </c>
      <c r="P331" s="304">
        <v>1.0273864843360001</v>
      </c>
      <c r="Q331" s="304">
        <v>1.0285343583</v>
      </c>
      <c r="R331" s="304">
        <v>1.0300261034539695</v>
      </c>
      <c r="S331" s="305">
        <v>1.0306128696400001</v>
      </c>
      <c r="T331" s="304">
        <v>1.0315876804319999</v>
      </c>
      <c r="U331" s="304">
        <v>1.0325404884359999</v>
      </c>
      <c r="V331" s="304">
        <v>1.0334811664000001</v>
      </c>
      <c r="W331" s="304">
        <v>1.0338782279247882</v>
      </c>
      <c r="X331" s="304">
        <v>1.0353446536800002</v>
      </c>
      <c r="Y331" s="304">
        <v>1.036267276492</v>
      </c>
      <c r="Z331" s="304">
        <v>1.0371780879360002</v>
      </c>
      <c r="AA331" s="304">
        <v>1.0380691038000001</v>
      </c>
      <c r="AB331" s="305">
        <v>1.0392846239609945</v>
      </c>
      <c r="AC331" s="304">
        <v>1.0397474884200002</v>
      </c>
      <c r="AD331" s="304">
        <v>1.0405076027520002</v>
      </c>
      <c r="AE331" s="304">
        <v>1.041194104336</v>
      </c>
      <c r="AF331" s="304">
        <v>1.0417897980000002</v>
      </c>
      <c r="AG331" s="304">
        <v>1.0422277528974495</v>
      </c>
      <c r="AH331" s="304">
        <v>1.0425153710080002</v>
      </c>
      <c r="AI331" s="304">
        <v>1.042711396798</v>
      </c>
      <c r="AJ331" s="304">
        <v>1.0427412188000003</v>
      </c>
      <c r="AK331" s="304">
        <v>1.0425869081020003</v>
      </c>
      <c r="AL331" s="305">
        <v>1.0425903092585715</v>
      </c>
      <c r="AM331" s="305">
        <f t="shared" si="4"/>
        <v>1.0425903092585715</v>
      </c>
      <c r="AN331" s="299"/>
    </row>
    <row r="332" spans="1:40" x14ac:dyDescent="0.2">
      <c r="A332" s="303">
        <v>37</v>
      </c>
      <c r="B332" s="304">
        <v>0.97336319340272082</v>
      </c>
      <c r="C332" s="304">
        <v>0.98207219999999995</v>
      </c>
      <c r="D332" s="304">
        <v>0.98951799001920504</v>
      </c>
      <c r="E332" s="304">
        <v>0.99599962256399999</v>
      </c>
      <c r="F332" s="304">
        <v>1.0017807669307226</v>
      </c>
      <c r="G332" s="304">
        <v>1.00622783268</v>
      </c>
      <c r="H332" s="304">
        <v>1.0101727346612068</v>
      </c>
      <c r="I332" s="304">
        <v>1.0136605327799999</v>
      </c>
      <c r="J332" s="305">
        <v>1.0163254189241937</v>
      </c>
      <c r="K332" s="304">
        <v>1.0190490709919999</v>
      </c>
      <c r="L332" s="304">
        <v>1.0211729062799999</v>
      </c>
      <c r="M332" s="304">
        <v>1.0229685890197859</v>
      </c>
      <c r="N332" s="304">
        <v>1.02460060416</v>
      </c>
      <c r="O332" s="304">
        <v>1.0260101813039999</v>
      </c>
      <c r="P332" s="304">
        <v>1.027275693192</v>
      </c>
      <c r="Q332" s="304">
        <v>1.0284330259800001</v>
      </c>
      <c r="R332" s="304">
        <v>1.029931724980228</v>
      </c>
      <c r="S332" s="305">
        <v>1.0305365534399999</v>
      </c>
      <c r="T332" s="304">
        <v>1.0315255140239998</v>
      </c>
      <c r="U332" s="304">
        <v>1.0324925866919998</v>
      </c>
      <c r="V332" s="304">
        <v>1.0334469292799999</v>
      </c>
      <c r="W332" s="304">
        <v>1.0338509222105956</v>
      </c>
      <c r="X332" s="304">
        <v>1.03533340212</v>
      </c>
      <c r="Y332" s="304">
        <v>1.0362643336440001</v>
      </c>
      <c r="Z332" s="304">
        <v>1.037180896992</v>
      </c>
      <c r="AA332" s="304">
        <v>1.0380750136800001</v>
      </c>
      <c r="AB332" s="305">
        <v>1.039172723772293</v>
      </c>
      <c r="AC332" s="304">
        <v>1.0397524317</v>
      </c>
      <c r="AD332" s="304">
        <v>1.0405095536640001</v>
      </c>
      <c r="AE332" s="304">
        <v>1.041192629592</v>
      </c>
      <c r="AF332" s="304">
        <v>1.0417858366800001</v>
      </c>
      <c r="AG332" s="304">
        <v>1.0420735887461734</v>
      </c>
      <c r="AH332" s="304">
        <v>1.0423958189760003</v>
      </c>
      <c r="AI332" s="304">
        <v>1.042586771756</v>
      </c>
      <c r="AJ332" s="304">
        <v>1.0426202093200001</v>
      </c>
      <c r="AK332" s="304">
        <v>1.0424817189840001</v>
      </c>
      <c r="AL332" s="305">
        <v>1.0424255273560386</v>
      </c>
      <c r="AM332" s="305">
        <f t="shared" si="4"/>
        <v>1.0424255273560386</v>
      </c>
      <c r="AN332" s="299"/>
    </row>
    <row r="333" spans="1:40" x14ac:dyDescent="0.2">
      <c r="A333" s="303">
        <v>38</v>
      </c>
      <c r="B333" s="304">
        <v>0.97337243697474984</v>
      </c>
      <c r="C333" s="304">
        <v>0.98206261500000003</v>
      </c>
      <c r="D333" s="304">
        <v>0.98942145672088566</v>
      </c>
      <c r="E333" s="304">
        <v>0.995982026676</v>
      </c>
      <c r="F333" s="304">
        <v>1.0017915257026195</v>
      </c>
      <c r="G333" s="304">
        <v>1.0061801453599999</v>
      </c>
      <c r="H333" s="304">
        <v>1.0101412855934735</v>
      </c>
      <c r="I333" s="304">
        <v>1.0135789299</v>
      </c>
      <c r="J333" s="305">
        <v>1.0162516426202173</v>
      </c>
      <c r="K333" s="304">
        <v>1.0189413078480001</v>
      </c>
      <c r="L333" s="304">
        <v>1.02105703056</v>
      </c>
      <c r="M333" s="304">
        <v>1.0227778648709736</v>
      </c>
      <c r="N333" s="304">
        <v>1.0244799715199999</v>
      </c>
      <c r="O333" s="304">
        <v>1.025892793536</v>
      </c>
      <c r="P333" s="304">
        <v>1.027164902048</v>
      </c>
      <c r="Q333" s="304">
        <v>1.02833169366</v>
      </c>
      <c r="R333" s="304">
        <v>1.0298373465064867</v>
      </c>
      <c r="S333" s="305">
        <v>1.03046023724</v>
      </c>
      <c r="T333" s="304">
        <v>1.031463347616</v>
      </c>
      <c r="U333" s="304">
        <v>1.032444684948</v>
      </c>
      <c r="V333" s="304">
        <v>1.03341269216</v>
      </c>
      <c r="W333" s="304">
        <v>1.0338236164964032</v>
      </c>
      <c r="X333" s="304">
        <v>1.0353221505600001</v>
      </c>
      <c r="Y333" s="304">
        <v>1.0362613907959999</v>
      </c>
      <c r="Z333" s="304">
        <v>1.037183706048</v>
      </c>
      <c r="AA333" s="304">
        <v>1.0380809235599999</v>
      </c>
      <c r="AB333" s="305">
        <v>1.0390608235835914</v>
      </c>
      <c r="AC333" s="304">
        <v>1.03975737498</v>
      </c>
      <c r="AD333" s="304">
        <v>1.0405115045760001</v>
      </c>
      <c r="AE333" s="304">
        <v>1.0411911548479997</v>
      </c>
      <c r="AF333" s="304">
        <v>1.0417818753599999</v>
      </c>
      <c r="AG333" s="304">
        <v>1.0419194245948971</v>
      </c>
      <c r="AH333" s="304">
        <v>1.0422762669440002</v>
      </c>
      <c r="AI333" s="304">
        <v>1.0424621467140001</v>
      </c>
      <c r="AJ333" s="304">
        <v>1.0424991998400002</v>
      </c>
      <c r="AK333" s="304">
        <v>1.0423765298660002</v>
      </c>
      <c r="AL333" s="305">
        <v>1.0422607454535056</v>
      </c>
      <c r="AM333" s="305">
        <f t="shared" si="4"/>
        <v>1.0422607454535056</v>
      </c>
      <c r="AN333" s="299"/>
    </row>
    <row r="334" spans="1:40" x14ac:dyDescent="0.2">
      <c r="A334" s="303">
        <v>39</v>
      </c>
      <c r="B334" s="304">
        <v>0.97338168054677876</v>
      </c>
      <c r="C334" s="304">
        <v>0.98205302999999999</v>
      </c>
      <c r="D334" s="304">
        <v>0.98932492342256617</v>
      </c>
      <c r="E334" s="304">
        <v>0.99596443078800001</v>
      </c>
      <c r="F334" s="304">
        <v>1.0018022844745167</v>
      </c>
      <c r="G334" s="304">
        <v>1.00613245804</v>
      </c>
      <c r="H334" s="304">
        <v>1.0101098365257402</v>
      </c>
      <c r="I334" s="304">
        <v>1.0134973270199998</v>
      </c>
      <c r="J334" s="305">
        <v>1.0161778663162411</v>
      </c>
      <c r="K334" s="304">
        <v>1.018833544704</v>
      </c>
      <c r="L334" s="304">
        <v>1.0209411548399998</v>
      </c>
      <c r="M334" s="304">
        <v>1.0225871407221609</v>
      </c>
      <c r="N334" s="304">
        <v>1.0243593388800001</v>
      </c>
      <c r="O334" s="304">
        <v>1.025775405768</v>
      </c>
      <c r="P334" s="304">
        <v>1.0270541109039999</v>
      </c>
      <c r="Q334" s="304">
        <v>1.0282303613400001</v>
      </c>
      <c r="R334" s="304">
        <v>1.0297429680327452</v>
      </c>
      <c r="S334" s="305">
        <v>1.0303839210399999</v>
      </c>
      <c r="T334" s="304">
        <v>1.031401181208</v>
      </c>
      <c r="U334" s="304">
        <v>1.032396783204</v>
      </c>
      <c r="V334" s="304">
        <v>1.0333784550399998</v>
      </c>
      <c r="W334" s="304">
        <v>1.0337963107822106</v>
      </c>
      <c r="X334" s="304">
        <v>1.035310899</v>
      </c>
      <c r="Y334" s="304">
        <v>1.0362584479479999</v>
      </c>
      <c r="Z334" s="304">
        <v>1.0371865151039998</v>
      </c>
      <c r="AA334" s="304">
        <v>1.03808683344</v>
      </c>
      <c r="AB334" s="305">
        <v>1.0389489233948899</v>
      </c>
      <c r="AC334" s="304">
        <v>1.0397623182599998</v>
      </c>
      <c r="AD334" s="304">
        <v>1.040513455488</v>
      </c>
      <c r="AE334" s="304">
        <v>1.0411896801039997</v>
      </c>
      <c r="AF334" s="304">
        <v>1.0417779140399999</v>
      </c>
      <c r="AG334" s="304">
        <v>1.0417652604436209</v>
      </c>
      <c r="AH334" s="304">
        <v>1.0421567149120003</v>
      </c>
      <c r="AI334" s="304">
        <v>1.0423375216720001</v>
      </c>
      <c r="AJ334" s="304">
        <v>1.04237819036</v>
      </c>
      <c r="AK334" s="304">
        <v>1.042271340748</v>
      </c>
      <c r="AL334" s="305">
        <v>1.0420959635509726</v>
      </c>
      <c r="AM334" s="305">
        <f t="shared" si="4"/>
        <v>1.0420959635509726</v>
      </c>
      <c r="AN334" s="299"/>
    </row>
    <row r="335" spans="1:40" ht="13.5" thickBot="1" x14ac:dyDescent="0.25">
      <c r="A335" s="309">
        <v>40</v>
      </c>
      <c r="B335" s="310">
        <v>0.97339092411880768</v>
      </c>
      <c r="C335" s="310">
        <v>0.98204344499999996</v>
      </c>
      <c r="D335" s="310">
        <v>0.98922839012424679</v>
      </c>
      <c r="E335" s="310">
        <v>0.99594683490000002</v>
      </c>
      <c r="F335" s="310">
        <v>1.0018130432464138</v>
      </c>
      <c r="G335" s="310">
        <v>1.00608477072</v>
      </c>
      <c r="H335" s="310">
        <v>1.0100783874580068</v>
      </c>
      <c r="I335" s="310">
        <v>1.0134157241399999</v>
      </c>
      <c r="J335" s="311">
        <v>1.0161040900122646</v>
      </c>
      <c r="K335" s="310">
        <v>1.0187257815599999</v>
      </c>
      <c r="L335" s="310">
        <v>1.0208252791199999</v>
      </c>
      <c r="M335" s="310">
        <v>1.0223964165733483</v>
      </c>
      <c r="N335" s="310">
        <v>1.02423870624</v>
      </c>
      <c r="O335" s="310">
        <v>1.0256580179999999</v>
      </c>
      <c r="P335" s="310">
        <v>1.02694331976</v>
      </c>
      <c r="Q335" s="310">
        <v>1.02812902902</v>
      </c>
      <c r="R335" s="310">
        <v>1.029648589559004</v>
      </c>
      <c r="S335" s="311">
        <v>1.0303076048399999</v>
      </c>
      <c r="T335" s="310">
        <v>1.0313390147999999</v>
      </c>
      <c r="U335" s="310">
        <v>1.0323488814599999</v>
      </c>
      <c r="V335" s="310">
        <v>1.0333442179199999</v>
      </c>
      <c r="W335" s="310">
        <v>1.0337690050680182</v>
      </c>
      <c r="X335" s="310">
        <v>1.03529964744</v>
      </c>
      <c r="Y335" s="310">
        <v>1.0362555051</v>
      </c>
      <c r="Z335" s="310">
        <v>1.0371893241599999</v>
      </c>
      <c r="AA335" s="310">
        <v>1.03809274332</v>
      </c>
      <c r="AB335" s="311">
        <v>1.0388370232061883</v>
      </c>
      <c r="AC335" s="310">
        <v>1.0397672615399998</v>
      </c>
      <c r="AD335" s="310">
        <v>1.0405154064</v>
      </c>
      <c r="AE335" s="310">
        <v>1.0411882053599997</v>
      </c>
      <c r="AF335" s="310">
        <v>1.0417739527199998</v>
      </c>
      <c r="AG335" s="310">
        <v>1.0416110962923446</v>
      </c>
      <c r="AH335" s="310">
        <v>1.0420371628800003</v>
      </c>
      <c r="AI335" s="310">
        <v>1.0422128966300002</v>
      </c>
      <c r="AJ335" s="310">
        <v>1.0422571808800001</v>
      </c>
      <c r="AK335" s="310">
        <v>1.04216615163</v>
      </c>
      <c r="AL335" s="311">
        <v>1.0419311816484396</v>
      </c>
      <c r="AM335" s="311">
        <f t="shared" si="4"/>
        <v>1.0419311816484396</v>
      </c>
      <c r="AN335" s="299"/>
    </row>
    <row r="336" spans="1:40" ht="14.25" thickTop="1" thickBot="1" x14ac:dyDescent="0.25">
      <c r="A336" s="309">
        <f>A335+0.001</f>
        <v>40.000999999999998</v>
      </c>
      <c r="B336" s="310">
        <f>B335</f>
        <v>0.97339092411880768</v>
      </c>
      <c r="C336" s="310">
        <f t="shared" ref="C336:AL336" si="5">C335</f>
        <v>0.98204344499999996</v>
      </c>
      <c r="D336" s="310">
        <f t="shared" si="5"/>
        <v>0.98922839012424679</v>
      </c>
      <c r="E336" s="310">
        <f t="shared" si="5"/>
        <v>0.99594683490000002</v>
      </c>
      <c r="F336" s="310">
        <f t="shared" si="5"/>
        <v>1.0018130432464138</v>
      </c>
      <c r="G336" s="310">
        <f t="shared" si="5"/>
        <v>1.00608477072</v>
      </c>
      <c r="H336" s="310">
        <f t="shared" si="5"/>
        <v>1.0100783874580068</v>
      </c>
      <c r="I336" s="310">
        <f t="shared" si="5"/>
        <v>1.0134157241399999</v>
      </c>
      <c r="J336" s="311">
        <f t="shared" si="5"/>
        <v>1.0161040900122646</v>
      </c>
      <c r="K336" s="310">
        <f t="shared" si="5"/>
        <v>1.0187257815599999</v>
      </c>
      <c r="L336" s="310">
        <f t="shared" si="5"/>
        <v>1.0208252791199999</v>
      </c>
      <c r="M336" s="310">
        <f t="shared" si="5"/>
        <v>1.0223964165733483</v>
      </c>
      <c r="N336" s="310">
        <f t="shared" si="5"/>
        <v>1.02423870624</v>
      </c>
      <c r="O336" s="310">
        <f t="shared" si="5"/>
        <v>1.0256580179999999</v>
      </c>
      <c r="P336" s="310">
        <f t="shared" si="5"/>
        <v>1.02694331976</v>
      </c>
      <c r="Q336" s="310">
        <f t="shared" si="5"/>
        <v>1.02812902902</v>
      </c>
      <c r="R336" s="310">
        <f t="shared" si="5"/>
        <v>1.029648589559004</v>
      </c>
      <c r="S336" s="311">
        <f t="shared" si="5"/>
        <v>1.0303076048399999</v>
      </c>
      <c r="T336" s="310">
        <f t="shared" si="5"/>
        <v>1.0313390147999999</v>
      </c>
      <c r="U336" s="310">
        <f t="shared" si="5"/>
        <v>1.0323488814599999</v>
      </c>
      <c r="V336" s="310">
        <f t="shared" si="5"/>
        <v>1.0333442179199999</v>
      </c>
      <c r="W336" s="310">
        <f t="shared" si="5"/>
        <v>1.0337690050680182</v>
      </c>
      <c r="X336" s="310">
        <f t="shared" si="5"/>
        <v>1.03529964744</v>
      </c>
      <c r="Y336" s="310">
        <f t="shared" si="5"/>
        <v>1.0362555051</v>
      </c>
      <c r="Z336" s="310">
        <f t="shared" si="5"/>
        <v>1.0371893241599999</v>
      </c>
      <c r="AA336" s="310">
        <f t="shared" si="5"/>
        <v>1.03809274332</v>
      </c>
      <c r="AB336" s="311">
        <f t="shared" si="5"/>
        <v>1.0388370232061883</v>
      </c>
      <c r="AC336" s="310">
        <f t="shared" si="5"/>
        <v>1.0397672615399998</v>
      </c>
      <c r="AD336" s="310">
        <f t="shared" si="5"/>
        <v>1.0405154064</v>
      </c>
      <c r="AE336" s="310">
        <f t="shared" si="5"/>
        <v>1.0411882053599997</v>
      </c>
      <c r="AF336" s="310">
        <f t="shared" si="5"/>
        <v>1.0417739527199998</v>
      </c>
      <c r="AG336" s="310">
        <f t="shared" si="5"/>
        <v>1.0416110962923446</v>
      </c>
      <c r="AH336" s="310">
        <f t="shared" si="5"/>
        <v>1.0420371628800003</v>
      </c>
      <c r="AI336" s="310">
        <f t="shared" si="5"/>
        <v>1.0422128966300002</v>
      </c>
      <c r="AJ336" s="310">
        <f t="shared" si="5"/>
        <v>1.0422571808800001</v>
      </c>
      <c r="AK336" s="310">
        <f t="shared" si="5"/>
        <v>1.04216615163</v>
      </c>
      <c r="AL336" s="311">
        <f t="shared" si="5"/>
        <v>1.0419311816484396</v>
      </c>
      <c r="AM336" s="311">
        <f>AL335</f>
        <v>1.0419311816484396</v>
      </c>
      <c r="AN336" s="299"/>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A128:F128"/>
    <mergeCell ref="A234:D234"/>
    <mergeCell ref="A296:D296"/>
    <mergeCell ref="B297:J297"/>
    <mergeCell ref="A27:D27"/>
    <mergeCell ref="B85:J85"/>
    <mergeCell ref="A84:D84"/>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election activeCell="F4" sqref="F4"/>
    </sheetView>
  </sheetViews>
  <sheetFormatPr defaultColWidth="5.28515625" defaultRowHeight="12.75" x14ac:dyDescent="0.2"/>
  <cols>
    <col min="1" max="1" width="13.7109375"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F1" s="3" t="s">
        <v>9</v>
      </c>
      <c r="G1" s="3" t="s">
        <v>57</v>
      </c>
      <c r="H1" s="3"/>
      <c r="I1" s="3"/>
      <c r="K1" s="3"/>
      <c r="L1" s="3" t="s">
        <v>142</v>
      </c>
      <c r="M1" s="3"/>
      <c r="N1" s="3"/>
      <c r="O1" s="3"/>
      <c r="P1" s="2" t="s">
        <v>91</v>
      </c>
      <c r="Q1" s="3"/>
    </row>
    <row r="2" spans="1:17" ht="13.5" thickBot="1" x14ac:dyDescent="0.25"/>
    <row r="3" spans="1:17" ht="21.75" thickTop="1" thickBot="1" x14ac:dyDescent="0.25">
      <c r="A3" s="696" t="s">
        <v>194</v>
      </c>
      <c r="B3" s="697"/>
      <c r="C3" s="697"/>
      <c r="D3" s="698"/>
    </row>
    <row r="4" spans="1:17" ht="13.5" thickBot="1" x14ac:dyDescent="0.25">
      <c r="A4" s="234"/>
      <c r="B4" s="235" t="s">
        <v>198</v>
      </c>
      <c r="C4" s="236" t="s">
        <v>197</v>
      </c>
      <c r="D4" s="237"/>
    </row>
    <row r="5" spans="1:17" x14ac:dyDescent="0.2">
      <c r="A5" s="238" t="s">
        <v>196</v>
      </c>
      <c r="B5" s="239">
        <v>-2</v>
      </c>
      <c r="C5" s="240">
        <v>20</v>
      </c>
      <c r="D5" s="237"/>
    </row>
    <row r="6" spans="1:17" x14ac:dyDescent="0.2">
      <c r="A6" s="238" t="s">
        <v>199</v>
      </c>
      <c r="B6" s="241">
        <v>-2</v>
      </c>
      <c r="C6" s="242">
        <v>20</v>
      </c>
      <c r="D6" s="237"/>
    </row>
    <row r="7" spans="1:17" x14ac:dyDescent="0.2">
      <c r="A7" s="238" t="s">
        <v>200</v>
      </c>
      <c r="B7" s="241">
        <v>-10</v>
      </c>
      <c r="C7" s="242">
        <v>20</v>
      </c>
      <c r="D7" s="237"/>
    </row>
    <row r="8" spans="1:17" x14ac:dyDescent="0.2">
      <c r="A8" s="238" t="s">
        <v>201</v>
      </c>
      <c r="B8" s="241">
        <v>-10</v>
      </c>
      <c r="C8" s="242">
        <v>20</v>
      </c>
      <c r="D8" s="237"/>
    </row>
    <row r="9" spans="1:17" x14ac:dyDescent="0.2">
      <c r="A9" s="238" t="s">
        <v>292</v>
      </c>
      <c r="B9" s="241">
        <v>4</v>
      </c>
      <c r="C9" s="242">
        <v>40</v>
      </c>
      <c r="D9" s="237"/>
    </row>
    <row r="10" spans="1:17" x14ac:dyDescent="0.2">
      <c r="A10" s="238" t="s">
        <v>293</v>
      </c>
      <c r="B10" s="241">
        <v>4</v>
      </c>
      <c r="C10" s="242">
        <v>40</v>
      </c>
      <c r="D10" s="237"/>
    </row>
    <row r="11" spans="1:17" x14ac:dyDescent="0.2">
      <c r="A11" s="238" t="s">
        <v>31</v>
      </c>
      <c r="B11" s="241">
        <v>4</v>
      </c>
      <c r="C11" s="242">
        <v>60</v>
      </c>
      <c r="D11" s="237"/>
    </row>
    <row r="12" spans="1:17" ht="13.5" thickBot="1" x14ac:dyDescent="0.25">
      <c r="A12" s="243" t="s">
        <v>24</v>
      </c>
      <c r="B12" s="343">
        <v>0</v>
      </c>
      <c r="C12" s="344">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6.5" customHeight="1" thickTop="1" thickBot="1" x14ac:dyDescent="0.25">
      <c r="A19" s="696" t="s">
        <v>345</v>
      </c>
      <c r="B19" s="697"/>
      <c r="C19" s="697"/>
      <c r="D19" s="698"/>
    </row>
    <row r="20" spans="1:60" ht="17.45" customHeight="1" thickBot="1" x14ac:dyDescent="0.25">
      <c r="A20" s="252"/>
      <c r="B20" s="253" t="s">
        <v>247</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0.98</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703"/>
      <c r="C27" s="703"/>
      <c r="D27" s="703"/>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6" t="s">
        <v>31</v>
      </c>
      <c r="BH28" s="237"/>
    </row>
    <row r="29" spans="1:60" s="272" customFormat="1" ht="14.25" thickTop="1" thickBot="1" x14ac:dyDescent="0.25">
      <c r="A29" s="347" t="s">
        <v>24</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8">
        <v>0</v>
      </c>
      <c r="B30" s="274">
        <v>0.29268127881231631</v>
      </c>
      <c r="C30" s="275">
        <v>0.30353927183175383</v>
      </c>
      <c r="D30" s="275">
        <v>0.31436846527807277</v>
      </c>
      <c r="E30" s="275">
        <v>0.32640402032777938</v>
      </c>
      <c r="F30" s="275">
        <v>0.33849855781489707</v>
      </c>
      <c r="G30" s="275">
        <v>0.34855385900583147</v>
      </c>
      <c r="H30" s="275">
        <v>0.35857663934988043</v>
      </c>
      <c r="I30" s="275">
        <v>0.36991299962297142</v>
      </c>
      <c r="J30" s="276">
        <v>0.38128239711159367</v>
      </c>
      <c r="K30" s="274">
        <v>0.39265857612063321</v>
      </c>
      <c r="L30" s="275">
        <v>0.40404154261711062</v>
      </c>
      <c r="M30" s="275">
        <v>0.41543130257505129</v>
      </c>
      <c r="N30" s="275">
        <v>0.42682363013555286</v>
      </c>
      <c r="O30" s="275">
        <v>0.43822253705041703</v>
      </c>
      <c r="P30" s="275">
        <v>0.44962802911558009</v>
      </c>
      <c r="Q30" s="275">
        <v>0.46104011213379009</v>
      </c>
      <c r="R30" s="275">
        <v>0.47245879191461188</v>
      </c>
      <c r="S30" s="276">
        <v>0.48031985802134192</v>
      </c>
      <c r="T30" s="274">
        <v>0.48816075139694959</v>
      </c>
      <c r="U30" s="275">
        <v>0.49600461084578384</v>
      </c>
      <c r="V30" s="275">
        <v>0.50385143811225175</v>
      </c>
      <c r="W30" s="275">
        <v>0.51170123494212749</v>
      </c>
      <c r="X30" s="275">
        <v>0.51954633853190957</v>
      </c>
      <c r="Y30" s="275">
        <v>0.52739418329426402</v>
      </c>
      <c r="Z30" s="275">
        <v>0.53524477084259636</v>
      </c>
      <c r="AA30" s="275">
        <v>0.54309810279157533</v>
      </c>
      <c r="AB30" s="276">
        <v>0.55095418075713753</v>
      </c>
      <c r="AC30" s="274">
        <v>0.55550108740903192</v>
      </c>
      <c r="AD30" s="275">
        <v>0.55996625853203597</v>
      </c>
      <c r="AE30" s="275">
        <v>0.56443080825199143</v>
      </c>
      <c r="AF30" s="275">
        <v>0.56889473656889866</v>
      </c>
      <c r="AG30" s="275">
        <v>0.57335804348275732</v>
      </c>
      <c r="AH30" s="275">
        <v>0.57776287673845639</v>
      </c>
      <c r="AI30" s="275">
        <v>0.5821661870473438</v>
      </c>
      <c r="AJ30" s="275">
        <v>0.58656797440941921</v>
      </c>
      <c r="AK30" s="275">
        <v>0.59096823882468297</v>
      </c>
      <c r="AL30" s="276">
        <v>0.59536698029313495</v>
      </c>
      <c r="AM30" s="274">
        <v>0.597893584234508</v>
      </c>
      <c r="AN30" s="275">
        <v>0.60042018817588094</v>
      </c>
      <c r="AO30" s="275">
        <v>0.60294679211725399</v>
      </c>
      <c r="AP30" s="275">
        <v>0.60547339605862693</v>
      </c>
      <c r="AQ30" s="275">
        <v>0.60799999999999998</v>
      </c>
      <c r="AR30" s="275">
        <v>0.60919999999999996</v>
      </c>
      <c r="AS30" s="275">
        <v>0.61039999999999994</v>
      </c>
      <c r="AT30" s="275">
        <v>0.61160000000000003</v>
      </c>
      <c r="AU30" s="275">
        <v>0.61280000000000001</v>
      </c>
      <c r="AV30" s="276">
        <v>0.61399999999999999</v>
      </c>
      <c r="AW30" s="274">
        <v>0.61480000000000001</v>
      </c>
      <c r="AX30" s="275">
        <v>0.61560000000000004</v>
      </c>
      <c r="AY30" s="275">
        <v>0.61639999999999995</v>
      </c>
      <c r="AZ30" s="275">
        <v>0.61719999999999997</v>
      </c>
      <c r="BA30" s="275">
        <v>0.61799999999999999</v>
      </c>
      <c r="BB30" s="275">
        <v>0.61860000000000004</v>
      </c>
      <c r="BC30" s="275">
        <v>0.61919999999999997</v>
      </c>
      <c r="BD30" s="275">
        <v>0.61980000000000002</v>
      </c>
      <c r="BE30" s="275">
        <v>0.62039999999999995</v>
      </c>
      <c r="BF30" s="276">
        <v>0.621</v>
      </c>
      <c r="BG30" s="276">
        <f>BF30</f>
        <v>0.621</v>
      </c>
      <c r="BH30" s="237"/>
    </row>
    <row r="31" spans="1:60" x14ac:dyDescent="0.2">
      <c r="A31" s="348">
        <v>0.5</v>
      </c>
      <c r="B31" s="277">
        <v>0.64122150022880442</v>
      </c>
      <c r="C31" s="278">
        <v>0.64661759105567873</v>
      </c>
      <c r="D31" s="278">
        <v>0.65208304089984037</v>
      </c>
      <c r="E31" s="278">
        <v>0.65993509512430704</v>
      </c>
      <c r="F31" s="278">
        <v>0.66794842055948145</v>
      </c>
      <c r="G31" s="278">
        <v>0.67661372255342067</v>
      </c>
      <c r="H31" s="278">
        <v>0.68525249255101561</v>
      </c>
      <c r="I31" s="278">
        <v>0.69312155353838645</v>
      </c>
      <c r="J31" s="279">
        <v>0.70099757063313017</v>
      </c>
      <c r="K31" s="277">
        <v>0.70887826988376179</v>
      </c>
      <c r="L31" s="278">
        <v>0.71676365541008558</v>
      </c>
      <c r="M31" s="278">
        <v>0.72465373133673827</v>
      </c>
      <c r="N31" s="278">
        <v>0.73254265913641059</v>
      </c>
      <c r="O31" s="278">
        <v>0.74043615963997722</v>
      </c>
      <c r="P31" s="278">
        <v>0.74833423687566269</v>
      </c>
      <c r="Q31" s="278">
        <v>0.75623689487642076</v>
      </c>
      <c r="R31" s="278">
        <v>0.76414413767994716</v>
      </c>
      <c r="S31" s="279">
        <v>0.7689025243809543</v>
      </c>
      <c r="T31" s="277">
        <v>0.77327918323143874</v>
      </c>
      <c r="U31" s="278">
        <v>0.77765751142016715</v>
      </c>
      <c r="V31" s="278">
        <v>0.78203750992891052</v>
      </c>
      <c r="W31" s="278">
        <v>0.7864191797402097</v>
      </c>
      <c r="X31" s="278">
        <v>0.79079344602060375</v>
      </c>
      <c r="Y31" s="278">
        <v>0.79516928481986271</v>
      </c>
      <c r="Z31" s="278">
        <v>0.79954669706354253</v>
      </c>
      <c r="AA31" s="278">
        <v>0.80392568367792439</v>
      </c>
      <c r="AB31" s="279">
        <v>0.80830624559001862</v>
      </c>
      <c r="AC31" s="277">
        <v>0.810817771363049</v>
      </c>
      <c r="AD31" s="278">
        <v>0.81289228847259698</v>
      </c>
      <c r="AE31" s="278">
        <v>0.81496657687419261</v>
      </c>
      <c r="AF31" s="278">
        <v>0.81704063656783676</v>
      </c>
      <c r="AG31" s="278">
        <v>0.81911446755353068</v>
      </c>
      <c r="AH31" s="278">
        <v>0.82112352405917499</v>
      </c>
      <c r="AI31" s="278">
        <v>0.82313201893218935</v>
      </c>
      <c r="AJ31" s="278">
        <v>0.82513995217257363</v>
      </c>
      <c r="AK31" s="278">
        <v>0.82714732378032874</v>
      </c>
      <c r="AL31" s="279">
        <v>0.82915413375545255</v>
      </c>
      <c r="AM31" s="277">
        <v>0.83072330700436203</v>
      </c>
      <c r="AN31" s="278">
        <v>0.83229248025327152</v>
      </c>
      <c r="AO31" s="278">
        <v>0.833861653502181</v>
      </c>
      <c r="AP31" s="278">
        <v>0.83543082675109048</v>
      </c>
      <c r="AQ31" s="278">
        <v>0.83699999999999997</v>
      </c>
      <c r="AR31" s="278">
        <v>0.83799999999999997</v>
      </c>
      <c r="AS31" s="278">
        <v>0.83899999999999997</v>
      </c>
      <c r="AT31" s="278">
        <v>0.84</v>
      </c>
      <c r="AU31" s="278">
        <v>0.84099999999999997</v>
      </c>
      <c r="AV31" s="279">
        <v>0.84199999999999997</v>
      </c>
      <c r="AW31" s="277">
        <v>0.84279999999999999</v>
      </c>
      <c r="AX31" s="278">
        <v>0.84360000000000002</v>
      </c>
      <c r="AY31" s="278">
        <v>0.84439999999999993</v>
      </c>
      <c r="AZ31" s="278">
        <v>0.84519999999999995</v>
      </c>
      <c r="BA31" s="278">
        <v>0.84599999999999997</v>
      </c>
      <c r="BB31" s="278">
        <v>0.84639999999999993</v>
      </c>
      <c r="BC31" s="278">
        <v>0.8468</v>
      </c>
      <c r="BD31" s="278">
        <v>0.84719999999999995</v>
      </c>
      <c r="BE31" s="278">
        <v>0.84760000000000002</v>
      </c>
      <c r="BF31" s="279">
        <v>0.84799999999999998</v>
      </c>
      <c r="BG31" s="279">
        <f t="shared" ref="BG31:BG80" si="0">BF31</f>
        <v>0.84799999999999998</v>
      </c>
      <c r="BH31" s="237"/>
    </row>
    <row r="32" spans="1:60" x14ac:dyDescent="0.2">
      <c r="A32" s="348">
        <v>1</v>
      </c>
      <c r="B32" s="277">
        <v>0.84595812372359436</v>
      </c>
      <c r="C32" s="278">
        <v>0.84925084042945764</v>
      </c>
      <c r="D32" s="278">
        <v>0.8527207709357093</v>
      </c>
      <c r="E32" s="278">
        <v>0.85779077363513645</v>
      </c>
      <c r="F32" s="278">
        <v>0.86304867388684192</v>
      </c>
      <c r="G32" s="278">
        <v>0.86751810159212439</v>
      </c>
      <c r="H32" s="278">
        <v>0.87186487310754368</v>
      </c>
      <c r="I32" s="278">
        <v>0.87587291864827688</v>
      </c>
      <c r="J32" s="279">
        <v>0.87988942963878503</v>
      </c>
      <c r="K32" s="277">
        <v>0.8839083197685732</v>
      </c>
      <c r="L32" s="278">
        <v>0.88792959113103354</v>
      </c>
      <c r="M32" s="278">
        <v>0.89195324582201418</v>
      </c>
      <c r="N32" s="278">
        <v>0.89597389711570441</v>
      </c>
      <c r="O32" s="278">
        <v>0.89999688751364926</v>
      </c>
      <c r="P32" s="278">
        <v>0.90402221907643354</v>
      </c>
      <c r="Q32" s="278">
        <v>0.90804989386705881</v>
      </c>
      <c r="R32" s="278">
        <v>0.91207991395095378</v>
      </c>
      <c r="S32" s="279">
        <v>0.91452099146355814</v>
      </c>
      <c r="T32" s="277">
        <v>0.91653191978289061</v>
      </c>
      <c r="U32" s="278">
        <v>0.91854362152064672</v>
      </c>
      <c r="V32" s="278">
        <v>0.92055609713168829</v>
      </c>
      <c r="W32" s="278">
        <v>0.92256934707123417</v>
      </c>
      <c r="X32" s="278">
        <v>0.92457563138781262</v>
      </c>
      <c r="Y32" s="278">
        <v>0.92658265714664545</v>
      </c>
      <c r="Z32" s="278">
        <v>0.92859042478413312</v>
      </c>
      <c r="AA32" s="278">
        <v>0.93059893473701649</v>
      </c>
      <c r="AB32" s="279">
        <v>0.93260818744238116</v>
      </c>
      <c r="AC32" s="277">
        <v>0.93373416232506679</v>
      </c>
      <c r="AD32" s="278">
        <v>0.93437444507296596</v>
      </c>
      <c r="AE32" s="278">
        <v>0.93501467416976447</v>
      </c>
      <c r="AF32" s="278">
        <v>0.93565484961546275</v>
      </c>
      <c r="AG32" s="278">
        <v>0.93629497141006035</v>
      </c>
      <c r="AH32" s="278">
        <v>0.93688083168341885</v>
      </c>
      <c r="AI32" s="278">
        <v>0.93746655994957673</v>
      </c>
      <c r="AJ32" s="278">
        <v>0.93805215620853288</v>
      </c>
      <c r="AK32" s="278">
        <v>0.93863762046028743</v>
      </c>
      <c r="AL32" s="279">
        <v>0.93922295270484046</v>
      </c>
      <c r="AM32" s="277">
        <v>0.93957836216387236</v>
      </c>
      <c r="AN32" s="278">
        <v>0.93993377162290426</v>
      </c>
      <c r="AO32" s="278">
        <v>0.94028918108193615</v>
      </c>
      <c r="AP32" s="278">
        <v>0.94064459054096805</v>
      </c>
      <c r="AQ32" s="278">
        <v>0.94099999999999995</v>
      </c>
      <c r="AR32" s="278">
        <v>0.94119999999999993</v>
      </c>
      <c r="AS32" s="278">
        <v>0.9413999999999999</v>
      </c>
      <c r="AT32" s="278">
        <v>0.94159999999999999</v>
      </c>
      <c r="AU32" s="278">
        <v>0.94179999999999997</v>
      </c>
      <c r="AV32" s="279">
        <v>0.94199999999999995</v>
      </c>
      <c r="AW32" s="277">
        <v>0.94219999999999993</v>
      </c>
      <c r="AX32" s="278">
        <v>0.94240000000000002</v>
      </c>
      <c r="AY32" s="278">
        <v>0.94259999999999999</v>
      </c>
      <c r="AZ32" s="278">
        <v>0.94279999999999997</v>
      </c>
      <c r="BA32" s="278">
        <v>0.94299999999999995</v>
      </c>
      <c r="BB32" s="278">
        <v>0.94319999999999993</v>
      </c>
      <c r="BC32" s="278">
        <v>0.94339999999999991</v>
      </c>
      <c r="BD32" s="278">
        <v>0.94359999999999999</v>
      </c>
      <c r="BE32" s="278">
        <v>0.94379999999999997</v>
      </c>
      <c r="BF32" s="279">
        <v>0.94399999999999995</v>
      </c>
      <c r="BG32" s="279">
        <f t="shared" si="0"/>
        <v>0.94399999999999995</v>
      </c>
      <c r="BH32" s="237"/>
    </row>
    <row r="33" spans="1:60" x14ac:dyDescent="0.2">
      <c r="A33" s="348">
        <v>1.5</v>
      </c>
      <c r="B33" s="277">
        <v>0.94467100185751607</v>
      </c>
      <c r="C33" s="278">
        <v>0.94502515375855856</v>
      </c>
      <c r="D33" s="278">
        <v>0.94555786246812656</v>
      </c>
      <c r="E33" s="278">
        <v>0.94774624662048657</v>
      </c>
      <c r="F33" s="278">
        <v>0.95016239759734833</v>
      </c>
      <c r="G33" s="278">
        <v>0.95220027180715949</v>
      </c>
      <c r="H33" s="278">
        <v>0.9541453962629457</v>
      </c>
      <c r="I33" s="278">
        <v>0.95596341791443307</v>
      </c>
      <c r="J33" s="279">
        <v>0.95779435840701699</v>
      </c>
      <c r="K33" s="277">
        <v>0.95962637925773175</v>
      </c>
      <c r="L33" s="278">
        <v>0.96145948141717896</v>
      </c>
      <c r="M33" s="278">
        <v>0.96329366583707599</v>
      </c>
      <c r="N33" s="278">
        <v>0.96512504298044788</v>
      </c>
      <c r="O33" s="278">
        <v>0.96695748950291183</v>
      </c>
      <c r="P33" s="278">
        <v>0.96879100634651061</v>
      </c>
      <c r="Q33" s="278">
        <v>0.9706255944544</v>
      </c>
      <c r="R33" s="278">
        <v>0.97246125477083956</v>
      </c>
      <c r="S33" s="279">
        <v>0.97363813742943728</v>
      </c>
      <c r="T33" s="277">
        <v>0.97450576900219432</v>
      </c>
      <c r="U33" s="278">
        <v>0.97537373706730324</v>
      </c>
      <c r="V33" s="278">
        <v>0.97624204182266183</v>
      </c>
      <c r="W33" s="278">
        <v>0.97711068346632479</v>
      </c>
      <c r="X33" s="278">
        <v>0.97797435258457488</v>
      </c>
      <c r="Y33" s="278">
        <v>0.97883834952005877</v>
      </c>
      <c r="Z33" s="278">
        <v>0.97970267446572212</v>
      </c>
      <c r="AA33" s="278">
        <v>0.98056732761466403</v>
      </c>
      <c r="AB33" s="279">
        <v>0.98143230916013535</v>
      </c>
      <c r="AC33" s="277">
        <v>0.98191115796660244</v>
      </c>
      <c r="AD33" s="278">
        <v>0.98198300748046985</v>
      </c>
      <c r="AE33" s="278">
        <v>0.98205485197070763</v>
      </c>
      <c r="AF33" s="278">
        <v>0.98212669143731623</v>
      </c>
      <c r="AG33" s="278">
        <v>0.98219852588029632</v>
      </c>
      <c r="AH33" s="278">
        <v>0.98223316608740774</v>
      </c>
      <c r="AI33" s="278">
        <v>0.9822677939101877</v>
      </c>
      <c r="AJ33" s="278">
        <v>0.98230240934863566</v>
      </c>
      <c r="AK33" s="278">
        <v>0.98233701240275217</v>
      </c>
      <c r="AL33" s="279">
        <v>0.98237160307253801</v>
      </c>
      <c r="AM33" s="277">
        <v>0.98229728245803039</v>
      </c>
      <c r="AN33" s="278">
        <v>0.98222296184352276</v>
      </c>
      <c r="AO33" s="278">
        <v>0.98214864122901524</v>
      </c>
      <c r="AP33" s="278">
        <v>0.98207432061450761</v>
      </c>
      <c r="AQ33" s="278">
        <v>0.98199999999999998</v>
      </c>
      <c r="AR33" s="278">
        <v>0.98199999999999998</v>
      </c>
      <c r="AS33" s="278">
        <v>0.98199999999999998</v>
      </c>
      <c r="AT33" s="278">
        <v>0.98199999999999998</v>
      </c>
      <c r="AU33" s="278">
        <v>0.98199999999999998</v>
      </c>
      <c r="AV33" s="279">
        <v>0.98199999999999998</v>
      </c>
      <c r="AW33" s="277">
        <v>0.98199999999999998</v>
      </c>
      <c r="AX33" s="278">
        <v>0.98199999999999998</v>
      </c>
      <c r="AY33" s="278">
        <v>0.98199999999999998</v>
      </c>
      <c r="AZ33" s="278">
        <v>0.98199999999999998</v>
      </c>
      <c r="BA33" s="278">
        <v>0.98199999999999998</v>
      </c>
      <c r="BB33" s="278">
        <v>0.98199999999999998</v>
      </c>
      <c r="BC33" s="278">
        <v>0.98199999999999998</v>
      </c>
      <c r="BD33" s="278">
        <v>0.98199999999999998</v>
      </c>
      <c r="BE33" s="278">
        <v>0.98199999999999998</v>
      </c>
      <c r="BF33" s="279">
        <v>0.98199999999999998</v>
      </c>
      <c r="BG33" s="279">
        <f t="shared" si="0"/>
        <v>0.98199999999999998</v>
      </c>
      <c r="BH33" s="237"/>
    </row>
    <row r="34" spans="1:60" x14ac:dyDescent="0.2">
      <c r="A34" s="349">
        <v>2</v>
      </c>
      <c r="B34" s="281">
        <v>0.98741459747716942</v>
      </c>
      <c r="C34" s="282">
        <v>0.98699872062392979</v>
      </c>
      <c r="D34" s="282">
        <v>0.98653143773092022</v>
      </c>
      <c r="E34" s="282">
        <v>0.98687822868423447</v>
      </c>
      <c r="F34" s="282">
        <v>0.98736985913330122</v>
      </c>
      <c r="G34" s="282">
        <v>0.988288110613041</v>
      </c>
      <c r="H34" s="282">
        <v>0.9892654661771445</v>
      </c>
      <c r="I34" s="282">
        <v>0.98983396650029876</v>
      </c>
      <c r="J34" s="283">
        <v>0.99031969522842023</v>
      </c>
      <c r="K34" s="281">
        <v>0.99080570922479572</v>
      </c>
      <c r="L34" s="282">
        <v>0.99129200874043244</v>
      </c>
      <c r="M34" s="282">
        <v>0.99177859402663038</v>
      </c>
      <c r="N34" s="282">
        <v>0.99226345492534929</v>
      </c>
      <c r="O34" s="282">
        <v>0.99274860012846922</v>
      </c>
      <c r="P34" s="282">
        <v>0.99323402988644327</v>
      </c>
      <c r="Q34" s="282">
        <v>0.99371974445001654</v>
      </c>
      <c r="R34" s="282">
        <v>0.99420574407023021</v>
      </c>
      <c r="S34" s="283">
        <v>0.99452592489037783</v>
      </c>
      <c r="T34" s="281">
        <v>0.9947195068517819</v>
      </c>
      <c r="U34" s="282">
        <v>0.99491316469792268</v>
      </c>
      <c r="V34" s="282">
        <v>0.99510689847342848</v>
      </c>
      <c r="W34" s="282">
        <v>0.9953007082229629</v>
      </c>
      <c r="X34" s="282">
        <v>0.9954919648331032</v>
      </c>
      <c r="Y34" s="282">
        <v>0.99568329647526044</v>
      </c>
      <c r="Z34" s="282">
        <v>0.99587470319359617</v>
      </c>
      <c r="AA34" s="282">
        <v>0.99606618503230837</v>
      </c>
      <c r="AB34" s="283">
        <v>0.99625774203562811</v>
      </c>
      <c r="AC34" s="281">
        <v>0.99639181929388687</v>
      </c>
      <c r="AD34" s="282">
        <v>0.99637922269308377</v>
      </c>
      <c r="AE34" s="282">
        <v>0.99636662609228055</v>
      </c>
      <c r="AF34" s="282">
        <v>0.99635402949147744</v>
      </c>
      <c r="AG34" s="282">
        <v>0.99634143289067445</v>
      </c>
      <c r="AH34" s="282">
        <v>0.9963103205792595</v>
      </c>
      <c r="AI34" s="282">
        <v>0.99627920826784477</v>
      </c>
      <c r="AJ34" s="282">
        <v>0.99624809595642982</v>
      </c>
      <c r="AK34" s="282">
        <v>0.99621698364501488</v>
      </c>
      <c r="AL34" s="283">
        <v>0.99618587133360004</v>
      </c>
      <c r="AM34" s="281">
        <v>0.99614869706688003</v>
      </c>
      <c r="AN34" s="282">
        <v>0.99611152280016002</v>
      </c>
      <c r="AO34" s="282">
        <v>0.99607434853344001</v>
      </c>
      <c r="AP34" s="282">
        <v>0.99603717426672</v>
      </c>
      <c r="AQ34" s="282">
        <v>0.996</v>
      </c>
      <c r="AR34" s="282">
        <v>0.996</v>
      </c>
      <c r="AS34" s="282">
        <v>0.996</v>
      </c>
      <c r="AT34" s="282">
        <v>0.996</v>
      </c>
      <c r="AU34" s="282">
        <v>0.996</v>
      </c>
      <c r="AV34" s="283">
        <v>0.996</v>
      </c>
      <c r="AW34" s="281">
        <v>0.996</v>
      </c>
      <c r="AX34" s="282">
        <v>0.996</v>
      </c>
      <c r="AY34" s="282">
        <v>0.996</v>
      </c>
      <c r="AZ34" s="282">
        <v>0.996</v>
      </c>
      <c r="BA34" s="282">
        <v>0.996</v>
      </c>
      <c r="BB34" s="282">
        <v>0.996</v>
      </c>
      <c r="BC34" s="282">
        <v>0.996</v>
      </c>
      <c r="BD34" s="282">
        <v>0.996</v>
      </c>
      <c r="BE34" s="282">
        <v>0.996</v>
      </c>
      <c r="BF34" s="283">
        <v>0.996</v>
      </c>
      <c r="BG34" s="283">
        <f t="shared" si="0"/>
        <v>0.996</v>
      </c>
      <c r="BH34" s="237"/>
    </row>
    <row r="35" spans="1:60" x14ac:dyDescent="0.2">
      <c r="A35" s="348">
        <v>2.5</v>
      </c>
      <c r="B35" s="284">
        <v>1</v>
      </c>
      <c r="C35" s="285">
        <v>1</v>
      </c>
      <c r="D35" s="285">
        <v>1</v>
      </c>
      <c r="E35" s="285">
        <v>1</v>
      </c>
      <c r="F35" s="285">
        <v>1</v>
      </c>
      <c r="G35" s="285">
        <v>1</v>
      </c>
      <c r="H35" s="285">
        <v>1</v>
      </c>
      <c r="I35" s="285">
        <v>1</v>
      </c>
      <c r="J35" s="286">
        <v>1</v>
      </c>
      <c r="K35" s="284">
        <v>1</v>
      </c>
      <c r="L35" s="285">
        <v>1</v>
      </c>
      <c r="M35" s="285">
        <v>1</v>
      </c>
      <c r="N35" s="285">
        <v>1</v>
      </c>
      <c r="O35" s="285">
        <v>1</v>
      </c>
      <c r="P35" s="285">
        <v>1</v>
      </c>
      <c r="Q35" s="285">
        <v>1</v>
      </c>
      <c r="R35" s="285">
        <v>1</v>
      </c>
      <c r="S35" s="286">
        <v>1</v>
      </c>
      <c r="T35" s="284">
        <v>1</v>
      </c>
      <c r="U35" s="285">
        <v>1</v>
      </c>
      <c r="V35" s="285">
        <v>1</v>
      </c>
      <c r="W35" s="285">
        <v>1</v>
      </c>
      <c r="X35" s="285">
        <v>1</v>
      </c>
      <c r="Y35" s="285">
        <v>1</v>
      </c>
      <c r="Z35" s="285">
        <v>1</v>
      </c>
      <c r="AA35" s="285">
        <v>1</v>
      </c>
      <c r="AB35" s="286">
        <v>1</v>
      </c>
      <c r="AC35" s="284">
        <v>1</v>
      </c>
      <c r="AD35" s="285">
        <v>1</v>
      </c>
      <c r="AE35" s="285">
        <v>1</v>
      </c>
      <c r="AF35" s="285">
        <v>1</v>
      </c>
      <c r="AG35" s="285">
        <v>1</v>
      </c>
      <c r="AH35" s="285">
        <v>1</v>
      </c>
      <c r="AI35" s="285">
        <v>1</v>
      </c>
      <c r="AJ35" s="285">
        <v>1</v>
      </c>
      <c r="AK35" s="285">
        <v>1</v>
      </c>
      <c r="AL35" s="286">
        <v>1</v>
      </c>
      <c r="AM35" s="287">
        <v>1</v>
      </c>
      <c r="AN35" s="288">
        <v>1</v>
      </c>
      <c r="AO35" s="288">
        <v>1</v>
      </c>
      <c r="AP35" s="288">
        <v>1</v>
      </c>
      <c r="AQ35" s="288">
        <v>1</v>
      </c>
      <c r="AR35" s="288">
        <v>1</v>
      </c>
      <c r="AS35" s="288">
        <v>1</v>
      </c>
      <c r="AT35" s="288">
        <v>1</v>
      </c>
      <c r="AU35" s="288">
        <v>1</v>
      </c>
      <c r="AV35" s="289">
        <v>1</v>
      </c>
      <c r="AW35" s="287">
        <v>1</v>
      </c>
      <c r="AX35" s="288">
        <v>1</v>
      </c>
      <c r="AY35" s="288">
        <v>1</v>
      </c>
      <c r="AZ35" s="288">
        <v>1</v>
      </c>
      <c r="BA35" s="288">
        <v>1</v>
      </c>
      <c r="BB35" s="288">
        <v>1</v>
      </c>
      <c r="BC35" s="288">
        <v>1</v>
      </c>
      <c r="BD35" s="288">
        <v>1</v>
      </c>
      <c r="BE35" s="288">
        <v>1</v>
      </c>
      <c r="BF35" s="289">
        <v>1</v>
      </c>
      <c r="BG35" s="289">
        <f t="shared" si="0"/>
        <v>1</v>
      </c>
      <c r="BH35" s="237"/>
    </row>
    <row r="36" spans="1:60" x14ac:dyDescent="0.2">
      <c r="A36" s="348">
        <v>3</v>
      </c>
      <c r="B36" s="277">
        <v>0.99931530124629864</v>
      </c>
      <c r="C36" s="278">
        <v>0.99995681652646551</v>
      </c>
      <c r="D36" s="278">
        <v>1.0004349348398918</v>
      </c>
      <c r="E36" s="278">
        <v>1.0001391766833767</v>
      </c>
      <c r="F36" s="278">
        <v>0.99963648921334003</v>
      </c>
      <c r="G36" s="278">
        <v>0.99912034166297692</v>
      </c>
      <c r="H36" s="278">
        <v>0.99862431791955641</v>
      </c>
      <c r="I36" s="278">
        <v>0.99835197434577794</v>
      </c>
      <c r="J36" s="279">
        <v>0.99815265295562927</v>
      </c>
      <c r="K36" s="277">
        <v>0.99795321578900775</v>
      </c>
      <c r="L36" s="278">
        <v>0.99775366274404309</v>
      </c>
      <c r="M36" s="278">
        <v>0.9975539937187432</v>
      </c>
      <c r="N36" s="278">
        <v>0.99735624989414595</v>
      </c>
      <c r="O36" s="278">
        <v>0.99715838907121468</v>
      </c>
      <c r="P36" s="278">
        <v>0.99696041114688227</v>
      </c>
      <c r="Q36" s="278">
        <v>0.99676231601795895</v>
      </c>
      <c r="R36" s="278">
        <v>0.99656410358113812</v>
      </c>
      <c r="S36" s="279">
        <v>0.99643544321928412</v>
      </c>
      <c r="T36" s="277">
        <v>0.996435103780002</v>
      </c>
      <c r="U36" s="278">
        <v>0.99643476370222961</v>
      </c>
      <c r="V36" s="278">
        <v>0.99643442298559182</v>
      </c>
      <c r="W36" s="278">
        <v>0.99643408162971203</v>
      </c>
      <c r="X36" s="278">
        <v>0.99643623183826968</v>
      </c>
      <c r="Y36" s="278">
        <v>0.99643838139872198</v>
      </c>
      <c r="Z36" s="278">
        <v>0.99644053031069024</v>
      </c>
      <c r="AA36" s="278">
        <v>0.99644267857378965</v>
      </c>
      <c r="AB36" s="279">
        <v>0.99644482618763952</v>
      </c>
      <c r="AC36" s="277">
        <v>0.99642609566499807</v>
      </c>
      <c r="AD36" s="278">
        <v>0.9964381669062361</v>
      </c>
      <c r="AE36" s="278">
        <v>0.99645023814747424</v>
      </c>
      <c r="AF36" s="278">
        <v>0.99646230938871228</v>
      </c>
      <c r="AG36" s="278">
        <v>0.99647438062995031</v>
      </c>
      <c r="AH36" s="278">
        <v>0.99650430616922581</v>
      </c>
      <c r="AI36" s="278">
        <v>0.99653423170850131</v>
      </c>
      <c r="AJ36" s="278">
        <v>0.99656415724777669</v>
      </c>
      <c r="AK36" s="278">
        <v>0.99659408278705219</v>
      </c>
      <c r="AL36" s="279">
        <v>0.99662400832632758</v>
      </c>
      <c r="AM36" s="277">
        <v>0.99669920666106204</v>
      </c>
      <c r="AN36" s="278">
        <v>0.9967744049957965</v>
      </c>
      <c r="AO36" s="278">
        <v>0.99684960333053108</v>
      </c>
      <c r="AP36" s="278">
        <v>0.99692480166526554</v>
      </c>
      <c r="AQ36" s="278">
        <v>0.997</v>
      </c>
      <c r="AR36" s="278">
        <v>0.997</v>
      </c>
      <c r="AS36" s="278">
        <v>0.997</v>
      </c>
      <c r="AT36" s="278">
        <v>0.997</v>
      </c>
      <c r="AU36" s="278">
        <v>0.997</v>
      </c>
      <c r="AV36" s="279">
        <v>0.997</v>
      </c>
      <c r="AW36" s="277">
        <v>0.997</v>
      </c>
      <c r="AX36" s="278">
        <v>0.997</v>
      </c>
      <c r="AY36" s="278">
        <v>0.997</v>
      </c>
      <c r="AZ36" s="278">
        <v>0.997</v>
      </c>
      <c r="BA36" s="278">
        <v>0.997</v>
      </c>
      <c r="BB36" s="278">
        <v>0.997</v>
      </c>
      <c r="BC36" s="278">
        <v>0.997</v>
      </c>
      <c r="BD36" s="278">
        <v>0.997</v>
      </c>
      <c r="BE36" s="278">
        <v>0.997</v>
      </c>
      <c r="BF36" s="279">
        <v>0.997</v>
      </c>
      <c r="BG36" s="279">
        <f t="shared" si="0"/>
        <v>0.997</v>
      </c>
      <c r="BH36" s="237"/>
    </row>
    <row r="37" spans="1:60" x14ac:dyDescent="0.2">
      <c r="A37" s="348">
        <v>3.5</v>
      </c>
      <c r="B37" s="277">
        <v>0.9905144434010611</v>
      </c>
      <c r="C37" s="278">
        <v>0.99116712713228705</v>
      </c>
      <c r="D37" s="278">
        <v>0.99164009143401344</v>
      </c>
      <c r="E37" s="278">
        <v>0.99177692129983719</v>
      </c>
      <c r="F37" s="278">
        <v>0.99174865292747061</v>
      </c>
      <c r="G37" s="278">
        <v>0.9916966736850289</v>
      </c>
      <c r="H37" s="278">
        <v>0.99168584986367458</v>
      </c>
      <c r="I37" s="278">
        <v>0.99158108299720438</v>
      </c>
      <c r="J37" s="279">
        <v>0.99137633422748139</v>
      </c>
      <c r="K37" s="277">
        <v>0.99117146765663844</v>
      </c>
      <c r="L37" s="278">
        <v>0.9909664831810211</v>
      </c>
      <c r="M37" s="278">
        <v>0.99076138069685882</v>
      </c>
      <c r="N37" s="278">
        <v>0.99056023477497668</v>
      </c>
      <c r="O37" s="278">
        <v>0.99035896896603759</v>
      </c>
      <c r="P37" s="278">
        <v>0.99015758316443025</v>
      </c>
      <c r="Q37" s="278">
        <v>0.98995607726441781</v>
      </c>
      <c r="R37" s="278">
        <v>0.9897544511601406</v>
      </c>
      <c r="S37" s="279">
        <v>0.98959394366769393</v>
      </c>
      <c r="T37" s="277">
        <v>0.98959257529939992</v>
      </c>
      <c r="U37" s="278">
        <v>0.98959120539110113</v>
      </c>
      <c r="V37" s="278">
        <v>0.98958983394189315</v>
      </c>
      <c r="W37" s="278">
        <v>0.98958846095086883</v>
      </c>
      <c r="X37" s="278">
        <v>0.98959190481999093</v>
      </c>
      <c r="Y37" s="278">
        <v>0.98959534710763941</v>
      </c>
      <c r="Z37" s="278">
        <v>0.98959878781288257</v>
      </c>
      <c r="AA37" s="278">
        <v>0.98960222693478916</v>
      </c>
      <c r="AB37" s="279">
        <v>0.98960566447242737</v>
      </c>
      <c r="AC37" s="277">
        <v>0.98957668467445481</v>
      </c>
      <c r="AD37" s="278">
        <v>0.98968438010278681</v>
      </c>
      <c r="AE37" s="278">
        <v>0.98980694193949281</v>
      </c>
      <c r="AF37" s="278">
        <v>0.98992950847732752</v>
      </c>
      <c r="AG37" s="278">
        <v>0.99005207971629317</v>
      </c>
      <c r="AH37" s="278">
        <v>0.99020950255836482</v>
      </c>
      <c r="AI37" s="278">
        <v>0.99036693707603696</v>
      </c>
      <c r="AJ37" s="278">
        <v>0.99052438326931158</v>
      </c>
      <c r="AK37" s="278">
        <v>0.9906818411381878</v>
      </c>
      <c r="AL37" s="279">
        <v>0.99083931068266429</v>
      </c>
      <c r="AM37" s="277">
        <v>0.99107144854613138</v>
      </c>
      <c r="AN37" s="278">
        <v>0.99130358640959859</v>
      </c>
      <c r="AO37" s="278">
        <v>0.99153572427306569</v>
      </c>
      <c r="AP37" s="278">
        <v>0.9917678621365329</v>
      </c>
      <c r="AQ37" s="278">
        <v>0.99199999999999999</v>
      </c>
      <c r="AR37" s="278">
        <v>0.99199999999999999</v>
      </c>
      <c r="AS37" s="278">
        <v>0.99199999999999999</v>
      </c>
      <c r="AT37" s="278">
        <v>0.99199999999999999</v>
      </c>
      <c r="AU37" s="278">
        <v>0.99199999999999999</v>
      </c>
      <c r="AV37" s="279">
        <v>0.99199999999999999</v>
      </c>
      <c r="AW37" s="277">
        <v>0.99219999999999997</v>
      </c>
      <c r="AX37" s="278">
        <v>0.99239999999999995</v>
      </c>
      <c r="AY37" s="278">
        <v>0.99260000000000004</v>
      </c>
      <c r="AZ37" s="278">
        <v>0.99280000000000002</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8">
        <v>4</v>
      </c>
      <c r="B38" s="277">
        <v>0.97903036984214575</v>
      </c>
      <c r="C38" s="278">
        <v>0.98001294269511552</v>
      </c>
      <c r="D38" s="278">
        <v>0.98048230817304627</v>
      </c>
      <c r="E38" s="278">
        <v>0.98140179265765692</v>
      </c>
      <c r="F38" s="278">
        <v>0.98234692105887789</v>
      </c>
      <c r="G38" s="278">
        <v>0.98258518917283277</v>
      </c>
      <c r="H38" s="278">
        <v>0.98256906410300771</v>
      </c>
      <c r="I38" s="278">
        <v>0.98248440400028558</v>
      </c>
      <c r="J38" s="279">
        <v>0.98227353366265646</v>
      </c>
      <c r="K38" s="277">
        <v>0.98206254313991059</v>
      </c>
      <c r="L38" s="278">
        <v>0.9818514323262979</v>
      </c>
      <c r="M38" s="278">
        <v>0.98164020111594452</v>
      </c>
      <c r="N38" s="278">
        <v>0.98143493423651595</v>
      </c>
      <c r="O38" s="278">
        <v>0.98122954416862962</v>
      </c>
      <c r="P38" s="278">
        <v>0.98102403080376821</v>
      </c>
      <c r="Q38" s="278">
        <v>0.98081839403328075</v>
      </c>
      <c r="R38" s="278">
        <v>0.98061263374839502</v>
      </c>
      <c r="S38" s="279">
        <v>0.98045911520248474</v>
      </c>
      <c r="T38" s="277">
        <v>0.98065493716495156</v>
      </c>
      <c r="U38" s="278">
        <v>0.98085083589024169</v>
      </c>
      <c r="V38" s="278">
        <v>0.98104681142350025</v>
      </c>
      <c r="W38" s="278">
        <v>0.98124286380990966</v>
      </c>
      <c r="X38" s="278">
        <v>0.98144597154026003</v>
      </c>
      <c r="Y38" s="278">
        <v>0.98164915895194815</v>
      </c>
      <c r="Z38" s="278">
        <v>0.98185242609187295</v>
      </c>
      <c r="AA38" s="278">
        <v>0.98205577300697033</v>
      </c>
      <c r="AB38" s="279">
        <v>0.98225919974421394</v>
      </c>
      <c r="AC38" s="277">
        <v>0.98243805207602153</v>
      </c>
      <c r="AD38" s="278">
        <v>0.98255192772141586</v>
      </c>
      <c r="AE38" s="278">
        <v>0.98268571867130328</v>
      </c>
      <c r="AF38" s="278">
        <v>0.98281951655954791</v>
      </c>
      <c r="AG38" s="278">
        <v>0.98295332138614988</v>
      </c>
      <c r="AH38" s="278">
        <v>0.98313810637380339</v>
      </c>
      <c r="AI38" s="278">
        <v>0.98332290862413207</v>
      </c>
      <c r="AJ38" s="278">
        <v>0.98350772813713627</v>
      </c>
      <c r="AK38" s="278">
        <v>0.98369256491281554</v>
      </c>
      <c r="AL38" s="279">
        <v>0.98387741895117009</v>
      </c>
      <c r="AM38" s="277">
        <v>0.98390193516093605</v>
      </c>
      <c r="AN38" s="278">
        <v>0.983926451370702</v>
      </c>
      <c r="AO38" s="278">
        <v>0.98395096758046807</v>
      </c>
      <c r="AP38" s="278">
        <v>0.98397548379023403</v>
      </c>
      <c r="AQ38" s="278">
        <v>0.98399999999999999</v>
      </c>
      <c r="AR38" s="278">
        <v>0.98419999999999996</v>
      </c>
      <c r="AS38" s="278">
        <v>0.98439999999999994</v>
      </c>
      <c r="AT38" s="278">
        <v>0.98460000000000003</v>
      </c>
      <c r="AU38" s="278">
        <v>0.98480000000000001</v>
      </c>
      <c r="AV38" s="279">
        <v>0.98499999999999999</v>
      </c>
      <c r="AW38" s="277">
        <v>0.98499999999999999</v>
      </c>
      <c r="AX38" s="278">
        <v>0.98499999999999999</v>
      </c>
      <c r="AY38" s="278">
        <v>0.98499999999999999</v>
      </c>
      <c r="AZ38" s="278">
        <v>0.98499999999999999</v>
      </c>
      <c r="BA38" s="278">
        <v>0.98499999999999999</v>
      </c>
      <c r="BB38" s="278">
        <v>0.98519999999999996</v>
      </c>
      <c r="BC38" s="278">
        <v>0.98539999999999994</v>
      </c>
      <c r="BD38" s="278">
        <v>0.98560000000000003</v>
      </c>
      <c r="BE38" s="278">
        <v>0.98580000000000001</v>
      </c>
      <c r="BF38" s="279">
        <v>0.98599999999999999</v>
      </c>
      <c r="BG38" s="279">
        <f t="shared" si="0"/>
        <v>0.98599999999999999</v>
      </c>
      <c r="BH38" s="237"/>
    </row>
    <row r="39" spans="1:60" x14ac:dyDescent="0.2">
      <c r="A39" s="349">
        <v>4.5</v>
      </c>
      <c r="B39" s="290">
        <v>0.96435443975427015</v>
      </c>
      <c r="C39" s="291">
        <v>0.96620928608844736</v>
      </c>
      <c r="D39" s="291">
        <v>0.96767097726089468</v>
      </c>
      <c r="E39" s="291">
        <v>0.96922611714475115</v>
      </c>
      <c r="F39" s="291">
        <v>0.97065580143720265</v>
      </c>
      <c r="G39" s="291">
        <v>0.97076910149881235</v>
      </c>
      <c r="H39" s="291">
        <v>0.97025035318463981</v>
      </c>
      <c r="I39" s="291">
        <v>0.97023508307224615</v>
      </c>
      <c r="J39" s="292">
        <v>0.97051487599929021</v>
      </c>
      <c r="K39" s="290">
        <v>0.97079483300369962</v>
      </c>
      <c r="L39" s="291">
        <v>0.97107495422984358</v>
      </c>
      <c r="M39" s="291">
        <v>0.97135523982226524</v>
      </c>
      <c r="N39" s="291">
        <v>0.97164375989785812</v>
      </c>
      <c r="O39" s="291">
        <v>0.97193244936730194</v>
      </c>
      <c r="P39" s="291">
        <v>0.9722213083798199</v>
      </c>
      <c r="Q39" s="291">
        <v>0.97251033708481027</v>
      </c>
      <c r="R39" s="291">
        <v>0.97279953563184918</v>
      </c>
      <c r="S39" s="292">
        <v>0.97303262466888452</v>
      </c>
      <c r="T39" s="290">
        <v>0.97312830799693861</v>
      </c>
      <c r="U39" s="291">
        <v>0.97322402784306794</v>
      </c>
      <c r="V39" s="291">
        <v>0.97331978422875232</v>
      </c>
      <c r="W39" s="291">
        <v>0.97341557717548299</v>
      </c>
      <c r="X39" s="291">
        <v>0.9735203934426252</v>
      </c>
      <c r="Y39" s="291">
        <v>0.97362524799465755</v>
      </c>
      <c r="Z39" s="291">
        <v>0.97373014085411524</v>
      </c>
      <c r="AA39" s="291">
        <v>0.9738350720435488</v>
      </c>
      <c r="AB39" s="292">
        <v>0.97394004158552672</v>
      </c>
      <c r="AC39" s="290">
        <v>0.97402776346036368</v>
      </c>
      <c r="AD39" s="291">
        <v>0.97416710753159996</v>
      </c>
      <c r="AE39" s="291">
        <v>0.97441147549873053</v>
      </c>
      <c r="AF39" s="291">
        <v>0.97465586167355656</v>
      </c>
      <c r="AG39" s="291">
        <v>0.97490026605607827</v>
      </c>
      <c r="AH39" s="291">
        <v>0.97521091324395859</v>
      </c>
      <c r="AI39" s="291">
        <v>0.97552160581222402</v>
      </c>
      <c r="AJ39" s="291">
        <v>0.9758323437608738</v>
      </c>
      <c r="AK39" s="291">
        <v>0.97614312708990669</v>
      </c>
      <c r="AL39" s="292">
        <v>0.97645395579932481</v>
      </c>
      <c r="AM39" s="281">
        <v>0.9765631646394598</v>
      </c>
      <c r="AN39" s="282">
        <v>0.9766723734795949</v>
      </c>
      <c r="AO39" s="282">
        <v>0.97678158231972989</v>
      </c>
      <c r="AP39" s="282">
        <v>0.97689079115986499</v>
      </c>
      <c r="AQ39" s="282">
        <v>0.97699999999999998</v>
      </c>
      <c r="AR39" s="282">
        <v>0.97699999999999998</v>
      </c>
      <c r="AS39" s="282">
        <v>0.97699999999999998</v>
      </c>
      <c r="AT39" s="282">
        <v>0.97699999999999998</v>
      </c>
      <c r="AU39" s="282">
        <v>0.97699999999999998</v>
      </c>
      <c r="AV39" s="283">
        <v>0.97699999999999998</v>
      </c>
      <c r="AW39" s="281">
        <v>0.97719999999999996</v>
      </c>
      <c r="AX39" s="282">
        <v>0.97739999999999994</v>
      </c>
      <c r="AY39" s="282">
        <v>0.97760000000000002</v>
      </c>
      <c r="AZ39" s="282">
        <v>0.9778</v>
      </c>
      <c r="BA39" s="282">
        <v>0.97799999999999998</v>
      </c>
      <c r="BB39" s="282">
        <v>0.97799999999999998</v>
      </c>
      <c r="BC39" s="282">
        <v>0.97799999999999998</v>
      </c>
      <c r="BD39" s="282">
        <v>0.97799999999999998</v>
      </c>
      <c r="BE39" s="282">
        <v>0.97799999999999998</v>
      </c>
      <c r="BF39" s="283">
        <v>0.97799999999999998</v>
      </c>
      <c r="BG39" s="283">
        <f t="shared" si="0"/>
        <v>0.97799999999999998</v>
      </c>
      <c r="BH39" s="237"/>
    </row>
    <row r="40" spans="1:60" x14ac:dyDescent="0.2">
      <c r="A40" s="348">
        <v>5</v>
      </c>
      <c r="B40" s="287">
        <v>0.9499184360945776</v>
      </c>
      <c r="C40" s="288">
        <v>0.95301391286513615</v>
      </c>
      <c r="D40" s="288">
        <v>0.95547724434253445</v>
      </c>
      <c r="E40" s="288">
        <v>0.95735477638461386</v>
      </c>
      <c r="F40" s="288">
        <v>0.95877426464098769</v>
      </c>
      <c r="G40" s="288">
        <v>0.95894150252095844</v>
      </c>
      <c r="H40" s="288">
        <v>0.958415405541725</v>
      </c>
      <c r="I40" s="288">
        <v>0.95847031174610287</v>
      </c>
      <c r="J40" s="289">
        <v>0.95894548446386674</v>
      </c>
      <c r="K40" s="287">
        <v>0.95942093342264723</v>
      </c>
      <c r="L40" s="288">
        <v>0.9598966588655069</v>
      </c>
      <c r="M40" s="288">
        <v>0.96037266103579388</v>
      </c>
      <c r="N40" s="288">
        <v>0.96085896159668016</v>
      </c>
      <c r="O40" s="288">
        <v>0.96134554943415751</v>
      </c>
      <c r="P40" s="288">
        <v>0.96183242480129505</v>
      </c>
      <c r="Q40" s="288">
        <v>0.96231958795146189</v>
      </c>
      <c r="R40" s="288">
        <v>0.96280703913832155</v>
      </c>
      <c r="S40" s="289">
        <v>0.96324926047338055</v>
      </c>
      <c r="T40" s="287">
        <v>0.96354420850998679</v>
      </c>
      <c r="U40" s="288">
        <v>0.96383927339690101</v>
      </c>
      <c r="V40" s="288">
        <v>0.96413445520284713</v>
      </c>
      <c r="W40" s="288">
        <v>0.96442975399659914</v>
      </c>
      <c r="X40" s="288">
        <v>0.96473601096802897</v>
      </c>
      <c r="Y40" s="288">
        <v>0.96504239157414018</v>
      </c>
      <c r="Z40" s="288">
        <v>0.96534889588770134</v>
      </c>
      <c r="AA40" s="288">
        <v>0.96565552398153787</v>
      </c>
      <c r="AB40" s="289">
        <v>0.96596227592853279</v>
      </c>
      <c r="AC40" s="287">
        <v>0.96625881234287525</v>
      </c>
      <c r="AD40" s="288">
        <v>0.96641314634279674</v>
      </c>
      <c r="AE40" s="288">
        <v>0.96656749154304811</v>
      </c>
      <c r="AF40" s="288">
        <v>0.96672184794362837</v>
      </c>
      <c r="AG40" s="288">
        <v>0.96687621554453951</v>
      </c>
      <c r="AH40" s="288">
        <v>0.96711124659648573</v>
      </c>
      <c r="AI40" s="288">
        <v>0.96734630561202517</v>
      </c>
      <c r="AJ40" s="288">
        <v>0.96758139259115694</v>
      </c>
      <c r="AK40" s="288">
        <v>0.96781650753388282</v>
      </c>
      <c r="AL40" s="289">
        <v>0.96805165044020192</v>
      </c>
      <c r="AM40" s="287">
        <v>0.96824132035216148</v>
      </c>
      <c r="AN40" s="288">
        <v>0.96843099026412116</v>
      </c>
      <c r="AO40" s="288">
        <v>0.96862066017608073</v>
      </c>
      <c r="AP40" s="288">
        <v>0.96881033008804041</v>
      </c>
      <c r="AQ40" s="288">
        <v>0.96899999999999997</v>
      </c>
      <c r="AR40" s="288">
        <v>0.96919999999999995</v>
      </c>
      <c r="AS40" s="288">
        <v>0.96939999999999993</v>
      </c>
      <c r="AT40" s="288">
        <v>0.96960000000000002</v>
      </c>
      <c r="AU40" s="288">
        <v>0.9698</v>
      </c>
      <c r="AV40" s="289">
        <v>0.97</v>
      </c>
      <c r="AW40" s="287">
        <v>0.97009999999999996</v>
      </c>
      <c r="AX40" s="288">
        <v>0.97019999999999995</v>
      </c>
      <c r="AY40" s="288">
        <v>0.97030000000000005</v>
      </c>
      <c r="AZ40" s="288">
        <v>0.97040000000000004</v>
      </c>
      <c r="BA40" s="288">
        <v>0.97050000000000003</v>
      </c>
      <c r="BB40" s="288">
        <v>0.97060000000000002</v>
      </c>
      <c r="BC40" s="288">
        <v>0.97070000000000001</v>
      </c>
      <c r="BD40" s="288">
        <v>0.9708</v>
      </c>
      <c r="BE40" s="288">
        <v>0.97089999999999999</v>
      </c>
      <c r="BF40" s="289">
        <v>0.97099999999999997</v>
      </c>
      <c r="BG40" s="289">
        <f t="shared" si="0"/>
        <v>0.97099999999999997</v>
      </c>
      <c r="BH40" s="237"/>
    </row>
    <row r="41" spans="1:60" x14ac:dyDescent="0.2">
      <c r="A41" s="348">
        <v>5.5</v>
      </c>
      <c r="B41" s="277">
        <v>0.9365066734200479</v>
      </c>
      <c r="C41" s="278">
        <v>0.9396696727377255</v>
      </c>
      <c r="D41" s="278">
        <v>0.94214103542507266</v>
      </c>
      <c r="E41" s="278">
        <v>0.94440915680880999</v>
      </c>
      <c r="F41" s="278">
        <v>0.94632025295685951</v>
      </c>
      <c r="G41" s="278">
        <v>0.94704410538847195</v>
      </c>
      <c r="H41" s="278">
        <v>0.94701280860191861</v>
      </c>
      <c r="I41" s="278">
        <v>0.94734956664551295</v>
      </c>
      <c r="J41" s="279">
        <v>0.94792167350606049</v>
      </c>
      <c r="K41" s="277">
        <v>0.94849411143662476</v>
      </c>
      <c r="L41" s="278">
        <v>0.94906688072851164</v>
      </c>
      <c r="M41" s="278">
        <v>0.9496399816733696</v>
      </c>
      <c r="N41" s="278">
        <v>0.9502253607169644</v>
      </c>
      <c r="O41" s="278">
        <v>0.95081108660024849</v>
      </c>
      <c r="P41" s="278">
        <v>0.95139715962876126</v>
      </c>
      <c r="Q41" s="278">
        <v>0.95198358010840334</v>
      </c>
      <c r="R41" s="278">
        <v>0.95257034834543297</v>
      </c>
      <c r="S41" s="279">
        <v>0.95311273158762322</v>
      </c>
      <c r="T41" s="277">
        <v>0.95351799874499421</v>
      </c>
      <c r="U41" s="278">
        <v>0.95391335181342085</v>
      </c>
      <c r="V41" s="278">
        <v>0.9543088628258799</v>
      </c>
      <c r="W41" s="278">
        <v>0.95470453187527882</v>
      </c>
      <c r="X41" s="278">
        <v>0.9551129041453652</v>
      </c>
      <c r="Y41" s="278">
        <v>0.95552144485815527</v>
      </c>
      <c r="Z41" s="278">
        <v>0.95593015411279025</v>
      </c>
      <c r="AA41" s="278">
        <v>0.95633903200849046</v>
      </c>
      <c r="AB41" s="279">
        <v>0.95674807864455458</v>
      </c>
      <c r="AC41" s="277">
        <v>0.95715351958573081</v>
      </c>
      <c r="AD41" s="278">
        <v>0.95741812993147712</v>
      </c>
      <c r="AE41" s="278">
        <v>0.95768276673808006</v>
      </c>
      <c r="AF41" s="278">
        <v>0.95794743000553961</v>
      </c>
      <c r="AG41" s="278">
        <v>0.95821211973385589</v>
      </c>
      <c r="AH41" s="278">
        <v>0.9585710919727175</v>
      </c>
      <c r="AI41" s="278">
        <v>0.95893013038783048</v>
      </c>
      <c r="AJ41" s="278">
        <v>0.95928923497919472</v>
      </c>
      <c r="AK41" s="278">
        <v>0.95964840574681121</v>
      </c>
      <c r="AL41" s="279">
        <v>0.96000764269067795</v>
      </c>
      <c r="AM41" s="277">
        <v>0.96020611415254231</v>
      </c>
      <c r="AN41" s="278">
        <v>0.96040458561440678</v>
      </c>
      <c r="AO41" s="278">
        <v>0.96060305707627114</v>
      </c>
      <c r="AP41" s="278">
        <v>0.96080152853813561</v>
      </c>
      <c r="AQ41" s="278">
        <v>0.96099999999999997</v>
      </c>
      <c r="AR41" s="278">
        <v>0.96119999999999994</v>
      </c>
      <c r="AS41" s="278">
        <v>0.96139999999999992</v>
      </c>
      <c r="AT41" s="278">
        <v>0.96160000000000001</v>
      </c>
      <c r="AU41" s="278">
        <v>0.96179999999999999</v>
      </c>
      <c r="AV41" s="279">
        <v>0.96199999999999997</v>
      </c>
      <c r="AW41" s="277">
        <v>0.96209999999999996</v>
      </c>
      <c r="AX41" s="278">
        <v>0.96219999999999994</v>
      </c>
      <c r="AY41" s="278">
        <v>0.96230000000000004</v>
      </c>
      <c r="AZ41" s="278">
        <v>0.96240000000000003</v>
      </c>
      <c r="BA41" s="278">
        <v>0.96250000000000002</v>
      </c>
      <c r="BB41" s="278">
        <v>0.96260000000000001</v>
      </c>
      <c r="BC41" s="278">
        <v>0.9627</v>
      </c>
      <c r="BD41" s="278">
        <v>0.96279999999999999</v>
      </c>
      <c r="BE41" s="278">
        <v>0.96289999999999998</v>
      </c>
      <c r="BF41" s="279">
        <v>0.96299999999999997</v>
      </c>
      <c r="BG41" s="279">
        <f t="shared" si="0"/>
        <v>0.96299999999999997</v>
      </c>
      <c r="BH41" s="237"/>
    </row>
    <row r="42" spans="1:60" x14ac:dyDescent="0.2">
      <c r="A42" s="348">
        <v>6</v>
      </c>
      <c r="B42" s="277">
        <v>0.92164838815980232</v>
      </c>
      <c r="C42" s="278">
        <v>0.92526407168086466</v>
      </c>
      <c r="D42" s="278">
        <v>0.92824847913513631</v>
      </c>
      <c r="E42" s="278">
        <v>0.93138480216262687</v>
      </c>
      <c r="F42" s="278">
        <v>0.93429664460705975</v>
      </c>
      <c r="G42" s="278">
        <v>0.93582447588023066</v>
      </c>
      <c r="H42" s="278">
        <v>0.93629264391033373</v>
      </c>
      <c r="I42" s="278">
        <v>0.93695435919847436</v>
      </c>
      <c r="J42" s="279">
        <v>0.93762451812281689</v>
      </c>
      <c r="K42" s="277">
        <v>0.93829506302364873</v>
      </c>
      <c r="L42" s="278">
        <v>0.93896599424058802</v>
      </c>
      <c r="M42" s="278">
        <v>0.93963731211365276</v>
      </c>
      <c r="N42" s="278">
        <v>0.94032286961874223</v>
      </c>
      <c r="O42" s="278">
        <v>0.94100883450477268</v>
      </c>
      <c r="P42" s="278">
        <v>0.94169520713061705</v>
      </c>
      <c r="Q42" s="278">
        <v>0.94238198785556937</v>
      </c>
      <c r="R42" s="278">
        <v>0.94306917703934712</v>
      </c>
      <c r="S42" s="279">
        <v>0.9437127816641494</v>
      </c>
      <c r="T42" s="277">
        <v>0.94422948423396713</v>
      </c>
      <c r="U42" s="278">
        <v>0.94472615080936095</v>
      </c>
      <c r="V42" s="278">
        <v>0.94522301722229396</v>
      </c>
      <c r="W42" s="278">
        <v>0.94572008359031912</v>
      </c>
      <c r="X42" s="278">
        <v>0.94623147572213584</v>
      </c>
      <c r="Y42" s="278">
        <v>0.94674308265985185</v>
      </c>
      <c r="Z42" s="278">
        <v>0.94725490452989758</v>
      </c>
      <c r="AA42" s="278">
        <v>0.94776694145880414</v>
      </c>
      <c r="AB42" s="279">
        <v>0.94827919357319845</v>
      </c>
      <c r="AC42" s="277">
        <v>0.94879406681011746</v>
      </c>
      <c r="AD42" s="278">
        <v>0.94916937541076896</v>
      </c>
      <c r="AE42" s="278">
        <v>0.94954472960142122</v>
      </c>
      <c r="AF42" s="278">
        <v>0.94992012938207659</v>
      </c>
      <c r="AG42" s="278">
        <v>0.95029557475273274</v>
      </c>
      <c r="AH42" s="278">
        <v>0.95077824933344057</v>
      </c>
      <c r="AI42" s="278">
        <v>0.95126103812069696</v>
      </c>
      <c r="AJ42" s="278">
        <v>0.95174394111450256</v>
      </c>
      <c r="AK42" s="278">
        <v>0.95222695831485571</v>
      </c>
      <c r="AL42" s="279">
        <v>0.95271008972175719</v>
      </c>
      <c r="AM42" s="277">
        <v>0.9531680717774057</v>
      </c>
      <c r="AN42" s="278">
        <v>0.95362605383305432</v>
      </c>
      <c r="AO42" s="278">
        <v>0.95408403588870283</v>
      </c>
      <c r="AP42" s="278">
        <v>0.95454201794435145</v>
      </c>
      <c r="AQ42" s="278">
        <v>0.95499999999999996</v>
      </c>
      <c r="AR42" s="278">
        <v>0.95539999999999992</v>
      </c>
      <c r="AS42" s="278">
        <v>0.95579999999999998</v>
      </c>
      <c r="AT42" s="278">
        <v>0.95619999999999994</v>
      </c>
      <c r="AU42" s="278">
        <v>0.95660000000000001</v>
      </c>
      <c r="AV42" s="279">
        <v>0.95699999999999996</v>
      </c>
      <c r="AW42" s="277">
        <v>0.95719999999999994</v>
      </c>
      <c r="AX42" s="278">
        <v>0.95739999999999992</v>
      </c>
      <c r="AY42" s="278">
        <v>0.95760000000000001</v>
      </c>
      <c r="AZ42" s="278">
        <v>0.95779999999999998</v>
      </c>
      <c r="BA42" s="278">
        <v>0.95799999999999996</v>
      </c>
      <c r="BB42" s="278">
        <v>0.95819999999999994</v>
      </c>
      <c r="BC42" s="278">
        <v>0.95839999999999992</v>
      </c>
      <c r="BD42" s="278">
        <v>0.95860000000000001</v>
      </c>
      <c r="BE42" s="278">
        <v>0.95879999999999999</v>
      </c>
      <c r="BF42" s="279">
        <v>0.95899999999999996</v>
      </c>
      <c r="BG42" s="279">
        <f t="shared" si="0"/>
        <v>0.95899999999999996</v>
      </c>
      <c r="BH42" s="237"/>
    </row>
    <row r="43" spans="1:60" x14ac:dyDescent="0.2">
      <c r="A43" s="348">
        <v>6.5</v>
      </c>
      <c r="B43" s="277">
        <v>0.90802244828453504</v>
      </c>
      <c r="C43" s="278">
        <v>0.91222647608404583</v>
      </c>
      <c r="D43" s="278">
        <v>0.91522189123057451</v>
      </c>
      <c r="E43" s="278">
        <v>0.91869809235142008</v>
      </c>
      <c r="F43" s="278">
        <v>0.92211365358884023</v>
      </c>
      <c r="G43" s="278">
        <v>0.9242299832957046</v>
      </c>
      <c r="H43" s="278">
        <v>0.92520231651828133</v>
      </c>
      <c r="I43" s="278">
        <v>0.92623242131217498</v>
      </c>
      <c r="J43" s="279">
        <v>0.92700145075624341</v>
      </c>
      <c r="K43" s="277">
        <v>0.92777092095634928</v>
      </c>
      <c r="L43" s="278">
        <v>0.92854083230030959</v>
      </c>
      <c r="M43" s="278">
        <v>0.92931118517639999</v>
      </c>
      <c r="N43" s="278">
        <v>0.93009770676192549</v>
      </c>
      <c r="O43" s="278">
        <v>0.93088469705658139</v>
      </c>
      <c r="P43" s="278">
        <v>0.93167215647326529</v>
      </c>
      <c r="Q43" s="278">
        <v>0.93246008542536107</v>
      </c>
      <c r="R43" s="278">
        <v>0.93324848432673824</v>
      </c>
      <c r="S43" s="279">
        <v>0.93399410537443772</v>
      </c>
      <c r="T43" s="277">
        <v>0.93455198578743692</v>
      </c>
      <c r="U43" s="278">
        <v>0.93504908419568233</v>
      </c>
      <c r="V43" s="278">
        <v>0.93554638330731021</v>
      </c>
      <c r="W43" s="278">
        <v>0.9360438832403819</v>
      </c>
      <c r="X43" s="278">
        <v>0.93655715309028265</v>
      </c>
      <c r="Y43" s="278">
        <v>0.93707064025600617</v>
      </c>
      <c r="Z43" s="278">
        <v>0.93758434486545617</v>
      </c>
      <c r="AA43" s="278">
        <v>0.93809826704664412</v>
      </c>
      <c r="AB43" s="279">
        <v>0.938612406927678</v>
      </c>
      <c r="AC43" s="277">
        <v>0.93913498025459885</v>
      </c>
      <c r="AD43" s="278">
        <v>0.93952451117332858</v>
      </c>
      <c r="AE43" s="278">
        <v>0.94001087550804452</v>
      </c>
      <c r="AF43" s="278">
        <v>0.94049730824866185</v>
      </c>
      <c r="AG43" s="278">
        <v>0.94098380939517834</v>
      </c>
      <c r="AH43" s="278">
        <v>0.94158960569956829</v>
      </c>
      <c r="AI43" s="278">
        <v>0.94219557364653905</v>
      </c>
      <c r="AJ43" s="278">
        <v>0.94280171323609085</v>
      </c>
      <c r="AK43" s="278">
        <v>0.94340802446822347</v>
      </c>
      <c r="AL43" s="279">
        <v>0.94401450734293801</v>
      </c>
      <c r="AM43" s="277">
        <v>0.94461160587435045</v>
      </c>
      <c r="AN43" s="278">
        <v>0.94520870440576277</v>
      </c>
      <c r="AO43" s="278">
        <v>0.9458058029371752</v>
      </c>
      <c r="AP43" s="278">
        <v>0.94640290146858752</v>
      </c>
      <c r="AQ43" s="278">
        <v>0.94699999999999995</v>
      </c>
      <c r="AR43" s="278">
        <v>0.94739999999999991</v>
      </c>
      <c r="AS43" s="278">
        <v>0.94779999999999998</v>
      </c>
      <c r="AT43" s="278">
        <v>0.94819999999999993</v>
      </c>
      <c r="AU43" s="278">
        <v>0.9486</v>
      </c>
      <c r="AV43" s="279">
        <v>0.94899999999999995</v>
      </c>
      <c r="AW43" s="277">
        <v>0.94939999999999991</v>
      </c>
      <c r="AX43" s="278">
        <v>0.94979999999999998</v>
      </c>
      <c r="AY43" s="278">
        <v>0.95019999999999993</v>
      </c>
      <c r="AZ43" s="278">
        <v>0.9506</v>
      </c>
      <c r="BA43" s="278">
        <v>0.95099999999999996</v>
      </c>
      <c r="BB43" s="278">
        <v>0.95119999999999993</v>
      </c>
      <c r="BC43" s="278">
        <v>0.95139999999999991</v>
      </c>
      <c r="BD43" s="278">
        <v>0.9516</v>
      </c>
      <c r="BE43" s="278">
        <v>0.95179999999999998</v>
      </c>
      <c r="BF43" s="279">
        <v>0.95199999999999996</v>
      </c>
      <c r="BG43" s="279">
        <f t="shared" si="0"/>
        <v>0.95199999999999996</v>
      </c>
      <c r="BH43" s="237"/>
    </row>
    <row r="44" spans="1:60" x14ac:dyDescent="0.2">
      <c r="A44" s="349">
        <v>7</v>
      </c>
      <c r="B44" s="281">
        <v>0.89342815171610601</v>
      </c>
      <c r="C44" s="282">
        <v>0.89773839208879447</v>
      </c>
      <c r="D44" s="282">
        <v>0.90074611701126706</v>
      </c>
      <c r="E44" s="282">
        <v>0.90482970169118615</v>
      </c>
      <c r="F44" s="282">
        <v>0.90926226422133083</v>
      </c>
      <c r="G44" s="282">
        <v>0.91203356615736741</v>
      </c>
      <c r="H44" s="282">
        <v>0.91300587824147095</v>
      </c>
      <c r="I44" s="282">
        <v>0.91412243632015955</v>
      </c>
      <c r="J44" s="283">
        <v>0.91509268938215749</v>
      </c>
      <c r="K44" s="281">
        <v>0.91606349502344442</v>
      </c>
      <c r="L44" s="282">
        <v>0.9170348537302293</v>
      </c>
      <c r="M44" s="282">
        <v>0.91800676598929476</v>
      </c>
      <c r="N44" s="282">
        <v>0.91899678723824463</v>
      </c>
      <c r="O44" s="282">
        <v>0.91998740059357198</v>
      </c>
      <c r="P44" s="282">
        <v>0.9209786065768818</v>
      </c>
      <c r="Q44" s="282">
        <v>0.92197040571038902</v>
      </c>
      <c r="R44" s="282">
        <v>0.92296279851692387</v>
      </c>
      <c r="S44" s="283">
        <v>0.92391329083598617</v>
      </c>
      <c r="T44" s="281">
        <v>0.92469641287299675</v>
      </c>
      <c r="U44" s="282">
        <v>0.92539814338675375</v>
      </c>
      <c r="V44" s="282">
        <v>0.92610015985351735</v>
      </c>
      <c r="W44" s="282">
        <v>0.92680246244149356</v>
      </c>
      <c r="X44" s="282">
        <v>0.92752195572885954</v>
      </c>
      <c r="Y44" s="282">
        <v>0.92824176073672393</v>
      </c>
      <c r="Z44" s="282">
        <v>0.92896187764856009</v>
      </c>
      <c r="AA44" s="282">
        <v>0.92968230664798224</v>
      </c>
      <c r="AB44" s="283">
        <v>0.93040304791875428</v>
      </c>
      <c r="AC44" s="281">
        <v>0.93113779349083858</v>
      </c>
      <c r="AD44" s="282">
        <v>0.93173565538477809</v>
      </c>
      <c r="AE44" s="282">
        <v>0.93214940085555476</v>
      </c>
      <c r="AF44" s="282">
        <v>0.9325427371560463</v>
      </c>
      <c r="AG44" s="282">
        <v>0.93293613029810118</v>
      </c>
      <c r="AH44" s="282">
        <v>0.93346028292045291</v>
      </c>
      <c r="AI44" s="282">
        <v>0.9339845783974674</v>
      </c>
      <c r="AJ44" s="282">
        <v>0.93450901672914299</v>
      </c>
      <c r="AK44" s="282">
        <v>0.93503359791548113</v>
      </c>
      <c r="AL44" s="283">
        <v>0.93555832195648114</v>
      </c>
      <c r="AM44" s="281">
        <v>0.93624665756518488</v>
      </c>
      <c r="AN44" s="282">
        <v>0.93693499317388862</v>
      </c>
      <c r="AO44" s="282">
        <v>0.93762332878259247</v>
      </c>
      <c r="AP44" s="282">
        <v>0.93831166439129621</v>
      </c>
      <c r="AQ44" s="282">
        <v>0.93899999999999995</v>
      </c>
      <c r="AR44" s="282">
        <v>0.9393999999999999</v>
      </c>
      <c r="AS44" s="282">
        <v>0.93979999999999997</v>
      </c>
      <c r="AT44" s="282">
        <v>0.94019999999999992</v>
      </c>
      <c r="AU44" s="282">
        <v>0.94059999999999999</v>
      </c>
      <c r="AV44" s="283">
        <v>0.94099999999999995</v>
      </c>
      <c r="AW44" s="281">
        <v>0.9413999999999999</v>
      </c>
      <c r="AX44" s="282">
        <v>0.94179999999999997</v>
      </c>
      <c r="AY44" s="282">
        <v>0.94219999999999993</v>
      </c>
      <c r="AZ44" s="282">
        <v>0.94259999999999999</v>
      </c>
      <c r="BA44" s="282">
        <v>0.94299999999999995</v>
      </c>
      <c r="BB44" s="282">
        <v>0.94319999999999993</v>
      </c>
      <c r="BC44" s="282">
        <v>0.94339999999999991</v>
      </c>
      <c r="BD44" s="282">
        <v>0.94359999999999999</v>
      </c>
      <c r="BE44" s="282">
        <v>0.94379999999999997</v>
      </c>
      <c r="BF44" s="283">
        <v>0.94399999999999995</v>
      </c>
      <c r="BG44" s="283">
        <f t="shared" si="0"/>
        <v>0.94399999999999995</v>
      </c>
      <c r="BH44" s="237"/>
    </row>
    <row r="45" spans="1:60" x14ac:dyDescent="0.2">
      <c r="A45" s="348">
        <v>7.5</v>
      </c>
      <c r="B45" s="284">
        <v>0.87906167634030252</v>
      </c>
      <c r="C45" s="285">
        <v>0.88429731926804189</v>
      </c>
      <c r="D45" s="285">
        <v>0.88936065243051754</v>
      </c>
      <c r="E45" s="285">
        <v>0.89379241531354403</v>
      </c>
      <c r="F45" s="285">
        <v>0.89720774021305172</v>
      </c>
      <c r="G45" s="285">
        <v>0.89969939182385195</v>
      </c>
      <c r="H45" s="285">
        <v>0.90118300249313255</v>
      </c>
      <c r="I45" s="285">
        <v>0.90274989491197122</v>
      </c>
      <c r="J45" s="286">
        <v>0.90392341201149906</v>
      </c>
      <c r="K45" s="284">
        <v>0.90509759342912666</v>
      </c>
      <c r="L45" s="285">
        <v>0.90627243974938543</v>
      </c>
      <c r="M45" s="285">
        <v>0.90744795155749136</v>
      </c>
      <c r="N45" s="285">
        <v>0.90864349438347536</v>
      </c>
      <c r="O45" s="285">
        <v>0.90983975453497079</v>
      </c>
      <c r="P45" s="285">
        <v>0.91103673264389162</v>
      </c>
      <c r="Q45" s="285">
        <v>0.91223442934289112</v>
      </c>
      <c r="R45" s="285">
        <v>0.9134328452653675</v>
      </c>
      <c r="S45" s="286">
        <v>0.91459019784923989</v>
      </c>
      <c r="T45" s="284">
        <v>0.91549812210989479</v>
      </c>
      <c r="U45" s="285">
        <v>0.91620122277601557</v>
      </c>
      <c r="V45" s="285">
        <v>0.91690461107247201</v>
      </c>
      <c r="W45" s="285">
        <v>0.91760828716845877</v>
      </c>
      <c r="X45" s="285">
        <v>0.91833037742497614</v>
      </c>
      <c r="Y45" s="285">
        <v>0.91905278319893402</v>
      </c>
      <c r="Z45" s="285">
        <v>0.91977550467603864</v>
      </c>
      <c r="AA45" s="285">
        <v>0.92049854204214587</v>
      </c>
      <c r="AB45" s="286">
        <v>0.92122189548325384</v>
      </c>
      <c r="AC45" s="284">
        <v>0.92196438704442019</v>
      </c>
      <c r="AD45" s="285">
        <v>0.92257135556520597</v>
      </c>
      <c r="AE45" s="285">
        <v>0.92302422201551049</v>
      </c>
      <c r="AF45" s="285">
        <v>0.92342575394106974</v>
      </c>
      <c r="AG45" s="285">
        <v>0.92382734807478306</v>
      </c>
      <c r="AH45" s="285">
        <v>0.92437037808539813</v>
      </c>
      <c r="AI45" s="285">
        <v>0.92491356468436414</v>
      </c>
      <c r="AJ45" s="285">
        <v>0.92545690787168056</v>
      </c>
      <c r="AK45" s="285">
        <v>0.92600040764734803</v>
      </c>
      <c r="AL45" s="286">
        <v>0.92654406401136769</v>
      </c>
      <c r="AM45" s="287">
        <v>0.92703525120909414</v>
      </c>
      <c r="AN45" s="288">
        <v>0.92752643840682059</v>
      </c>
      <c r="AO45" s="288">
        <v>0.92801762560454715</v>
      </c>
      <c r="AP45" s="288">
        <v>0.9285088128022736</v>
      </c>
      <c r="AQ45" s="288">
        <v>0.92900000000000005</v>
      </c>
      <c r="AR45" s="288">
        <v>0.9294</v>
      </c>
      <c r="AS45" s="288">
        <v>0.92980000000000007</v>
      </c>
      <c r="AT45" s="288">
        <v>0.93020000000000003</v>
      </c>
      <c r="AU45" s="288">
        <v>0.93060000000000009</v>
      </c>
      <c r="AV45" s="289">
        <v>0.93100000000000005</v>
      </c>
      <c r="AW45" s="287">
        <v>0.93140000000000001</v>
      </c>
      <c r="AX45" s="288">
        <v>0.93180000000000007</v>
      </c>
      <c r="AY45" s="288">
        <v>0.93220000000000003</v>
      </c>
      <c r="AZ45" s="288">
        <v>0.9326000000000001</v>
      </c>
      <c r="BA45" s="288">
        <v>0.93300000000000005</v>
      </c>
      <c r="BB45" s="288">
        <v>0.93340000000000001</v>
      </c>
      <c r="BC45" s="288">
        <v>0.93380000000000007</v>
      </c>
      <c r="BD45" s="288">
        <v>0.93420000000000003</v>
      </c>
      <c r="BE45" s="288">
        <v>0.9346000000000001</v>
      </c>
      <c r="BF45" s="289">
        <v>0.93500000000000005</v>
      </c>
      <c r="BG45" s="289">
        <f t="shared" si="0"/>
        <v>0.93500000000000005</v>
      </c>
      <c r="BH45" s="237"/>
    </row>
    <row r="46" spans="1:60" x14ac:dyDescent="0.2">
      <c r="A46" s="348">
        <v>8</v>
      </c>
      <c r="B46" s="277">
        <v>0.86529842668771051</v>
      </c>
      <c r="C46" s="278">
        <v>0.87087221520526814</v>
      </c>
      <c r="D46" s="278">
        <v>0.87544408552429753</v>
      </c>
      <c r="E46" s="278">
        <v>0.88024728183417156</v>
      </c>
      <c r="F46" s="278">
        <v>0.88468944448534537</v>
      </c>
      <c r="G46" s="278">
        <v>0.88790546615472188</v>
      </c>
      <c r="H46" s="278">
        <v>0.88939155870806652</v>
      </c>
      <c r="I46" s="278">
        <v>0.89103276808477305</v>
      </c>
      <c r="J46" s="279">
        <v>0.89241128603463549</v>
      </c>
      <c r="K46" s="277">
        <v>0.89379057972133835</v>
      </c>
      <c r="L46" s="278">
        <v>0.89517064982744721</v>
      </c>
      <c r="M46" s="278">
        <v>0.89655149703633008</v>
      </c>
      <c r="N46" s="278">
        <v>0.8979542573021021</v>
      </c>
      <c r="O46" s="278">
        <v>0.89935786172850463</v>
      </c>
      <c r="P46" s="278">
        <v>0.90076231105918292</v>
      </c>
      <c r="Q46" s="278">
        <v>0.90216760603865442</v>
      </c>
      <c r="R46" s="278">
        <v>0.90357374741231355</v>
      </c>
      <c r="S46" s="279">
        <v>0.90493967308341905</v>
      </c>
      <c r="T46" s="277">
        <v>0.9060146101126223</v>
      </c>
      <c r="U46" s="278">
        <v>0.90671898464866552</v>
      </c>
      <c r="V46" s="278">
        <v>0.90742364844537537</v>
      </c>
      <c r="W46" s="278">
        <v>0.9081286016729051</v>
      </c>
      <c r="X46" s="278">
        <v>0.90885308188480474</v>
      </c>
      <c r="Y46" s="278">
        <v>0.90957788124746564</v>
      </c>
      <c r="Z46" s="278">
        <v>0.91030299994873354</v>
      </c>
      <c r="AA46" s="278">
        <v>0.91102843817660184</v>
      </c>
      <c r="AB46" s="279">
        <v>0.91175419611921193</v>
      </c>
      <c r="AC46" s="277">
        <v>0.91250389820453337</v>
      </c>
      <c r="AD46" s="278">
        <v>0.91311947980062724</v>
      </c>
      <c r="AE46" s="278">
        <v>0.91367321299830939</v>
      </c>
      <c r="AF46" s="278">
        <v>0.91418573340458331</v>
      </c>
      <c r="AG46" s="278">
        <v>0.91469834369177705</v>
      </c>
      <c r="AH46" s="278">
        <v>0.91536244771868458</v>
      </c>
      <c r="AI46" s="278">
        <v>0.91602677834045709</v>
      </c>
      <c r="AJ46" s="278">
        <v>0.91669133555709281</v>
      </c>
      <c r="AK46" s="278">
        <v>0.91735611936859363</v>
      </c>
      <c r="AL46" s="279">
        <v>0.91802112977495742</v>
      </c>
      <c r="AM46" s="277">
        <v>0.91861690381996597</v>
      </c>
      <c r="AN46" s="278">
        <v>0.91921267786497451</v>
      </c>
      <c r="AO46" s="278">
        <v>0.91980845190998295</v>
      </c>
      <c r="AP46" s="278">
        <v>0.9204042259549915</v>
      </c>
      <c r="AQ46" s="278">
        <v>0.92100000000000004</v>
      </c>
      <c r="AR46" s="278">
        <v>0.9214</v>
      </c>
      <c r="AS46" s="278">
        <v>0.92180000000000006</v>
      </c>
      <c r="AT46" s="278">
        <v>0.92220000000000002</v>
      </c>
      <c r="AU46" s="278">
        <v>0.92260000000000009</v>
      </c>
      <c r="AV46" s="279">
        <v>0.92300000000000004</v>
      </c>
      <c r="AW46" s="277">
        <v>0.9234</v>
      </c>
      <c r="AX46" s="278">
        <v>0.92380000000000007</v>
      </c>
      <c r="AY46" s="278">
        <v>0.92420000000000002</v>
      </c>
      <c r="AZ46" s="278">
        <v>0.92460000000000009</v>
      </c>
      <c r="BA46" s="278">
        <v>0.92500000000000004</v>
      </c>
      <c r="BB46" s="278">
        <v>0.92520000000000002</v>
      </c>
      <c r="BC46" s="278">
        <v>0.9254</v>
      </c>
      <c r="BD46" s="278">
        <v>0.92560000000000009</v>
      </c>
      <c r="BE46" s="278">
        <v>0.92580000000000007</v>
      </c>
      <c r="BF46" s="279">
        <v>0.92600000000000005</v>
      </c>
      <c r="BG46" s="279">
        <f t="shared" si="0"/>
        <v>0.92600000000000005</v>
      </c>
      <c r="BH46" s="237"/>
    </row>
    <row r="47" spans="1:60" x14ac:dyDescent="0.2">
      <c r="A47" s="348">
        <v>8.5</v>
      </c>
      <c r="B47" s="277">
        <v>0.84990873990117632</v>
      </c>
      <c r="C47" s="278">
        <v>0.85623779659255439</v>
      </c>
      <c r="D47" s="278">
        <v>0.86237673771151702</v>
      </c>
      <c r="E47" s="278">
        <v>0.86775618640734298</v>
      </c>
      <c r="F47" s="278">
        <v>0.87168766284645227</v>
      </c>
      <c r="G47" s="278">
        <v>0.87499498182820146</v>
      </c>
      <c r="H47" s="278">
        <v>0.87751528705435122</v>
      </c>
      <c r="I47" s="278">
        <v>0.8800723178134644</v>
      </c>
      <c r="J47" s="279">
        <v>0.88155467777235785</v>
      </c>
      <c r="K47" s="277">
        <v>0.88303786746516078</v>
      </c>
      <c r="L47" s="278">
        <v>0.88452188762194939</v>
      </c>
      <c r="M47" s="278">
        <v>0.88600673897366111</v>
      </c>
      <c r="N47" s="278">
        <v>0.88751530010474444</v>
      </c>
      <c r="O47" s="278">
        <v>0.88902477126608104</v>
      </c>
      <c r="P47" s="278">
        <v>0.89053515325934018</v>
      </c>
      <c r="Q47" s="278">
        <v>0.89204644688713675</v>
      </c>
      <c r="R47" s="278">
        <v>0.89355865295302572</v>
      </c>
      <c r="S47" s="279">
        <v>0.89503143605762259</v>
      </c>
      <c r="T47" s="277">
        <v>0.89624371538984104</v>
      </c>
      <c r="U47" s="278">
        <v>0.89694926750694259</v>
      </c>
      <c r="V47" s="278">
        <v>0.89765511046871993</v>
      </c>
      <c r="W47" s="278">
        <v>0.89836124444625731</v>
      </c>
      <c r="X47" s="278">
        <v>0.89908791255309106</v>
      </c>
      <c r="Y47" s="278">
        <v>0.89981490328625524</v>
      </c>
      <c r="Z47" s="278">
        <v>0.90054221683564228</v>
      </c>
      <c r="AA47" s="278">
        <v>0.9012698533912924</v>
      </c>
      <c r="AB47" s="279">
        <v>0.90199781314339689</v>
      </c>
      <c r="AC47" s="277">
        <v>0.90275420569041531</v>
      </c>
      <c r="AD47" s="278">
        <v>0.90337792253771731</v>
      </c>
      <c r="AE47" s="278">
        <v>0.90400176014402767</v>
      </c>
      <c r="AF47" s="278">
        <v>0.90462571850934648</v>
      </c>
      <c r="AG47" s="278">
        <v>0.90524979763367386</v>
      </c>
      <c r="AH47" s="278">
        <v>0.90603474998972211</v>
      </c>
      <c r="AI47" s="278">
        <v>0.90682000724699718</v>
      </c>
      <c r="AJ47" s="278">
        <v>0.90760556940549675</v>
      </c>
      <c r="AK47" s="278">
        <v>0.90839143646522191</v>
      </c>
      <c r="AL47" s="279">
        <v>0.90917760842617268</v>
      </c>
      <c r="AM47" s="277">
        <v>0.90974208674093815</v>
      </c>
      <c r="AN47" s="278">
        <v>0.91030656505570362</v>
      </c>
      <c r="AO47" s="278">
        <v>0.91087104337046909</v>
      </c>
      <c r="AP47" s="278">
        <v>0.91143552168523456</v>
      </c>
      <c r="AQ47" s="278">
        <v>0.91200000000000003</v>
      </c>
      <c r="AR47" s="278">
        <v>0.91260000000000008</v>
      </c>
      <c r="AS47" s="278">
        <v>0.91320000000000001</v>
      </c>
      <c r="AT47" s="278">
        <v>0.91380000000000006</v>
      </c>
      <c r="AU47" s="278">
        <v>0.91439999999999999</v>
      </c>
      <c r="AV47" s="279">
        <v>0.91500000000000004</v>
      </c>
      <c r="AW47" s="277">
        <v>0.91539999999999999</v>
      </c>
      <c r="AX47" s="278">
        <v>0.91580000000000006</v>
      </c>
      <c r="AY47" s="278">
        <v>0.91620000000000001</v>
      </c>
      <c r="AZ47" s="278">
        <v>0.91660000000000008</v>
      </c>
      <c r="BA47" s="278">
        <v>0.91700000000000004</v>
      </c>
      <c r="BB47" s="278">
        <v>0.91739999999999999</v>
      </c>
      <c r="BC47" s="278">
        <v>0.91780000000000006</v>
      </c>
      <c r="BD47" s="278">
        <v>0.91820000000000002</v>
      </c>
      <c r="BE47" s="278">
        <v>0.91860000000000008</v>
      </c>
      <c r="BF47" s="279">
        <v>0.91900000000000004</v>
      </c>
      <c r="BG47" s="279">
        <f t="shared" si="0"/>
        <v>0.91900000000000004</v>
      </c>
      <c r="BH47" s="237"/>
    </row>
    <row r="48" spans="1:60" x14ac:dyDescent="0.2">
      <c r="A48" s="348">
        <v>9</v>
      </c>
      <c r="B48" s="277">
        <v>0.83794356305840223</v>
      </c>
      <c r="C48" s="278">
        <v>0.84434882868930128</v>
      </c>
      <c r="D48" s="278">
        <v>0.84999611950188547</v>
      </c>
      <c r="E48" s="278">
        <v>0.85543939297412497</v>
      </c>
      <c r="F48" s="278">
        <v>0.85989207751708918</v>
      </c>
      <c r="G48" s="278">
        <v>0.86347810224752508</v>
      </c>
      <c r="H48" s="278">
        <v>0.86548762771510912</v>
      </c>
      <c r="I48" s="278">
        <v>0.86767314758673841</v>
      </c>
      <c r="J48" s="279">
        <v>0.86936353300489133</v>
      </c>
      <c r="K48" s="277">
        <v>0.87105485883655009</v>
      </c>
      <c r="L48" s="278">
        <v>0.87274712590918024</v>
      </c>
      <c r="M48" s="278">
        <v>0.87444033505121721</v>
      </c>
      <c r="N48" s="278">
        <v>0.87615904782779841</v>
      </c>
      <c r="O48" s="278">
        <v>0.87787880023343412</v>
      </c>
      <c r="P48" s="278">
        <v>0.87959959318396153</v>
      </c>
      <c r="Q48" s="278">
        <v>0.88132142759629439</v>
      </c>
      <c r="R48" s="278">
        <v>0.88304430438842652</v>
      </c>
      <c r="S48" s="279">
        <v>0.88472862785580264</v>
      </c>
      <c r="T48" s="277">
        <v>0.88620406762241122</v>
      </c>
      <c r="U48" s="278">
        <v>0.88701468079985235</v>
      </c>
      <c r="V48" s="278">
        <v>0.88782563019391347</v>
      </c>
      <c r="W48" s="278">
        <v>0.88863691600236783</v>
      </c>
      <c r="X48" s="278">
        <v>0.88946969643469187</v>
      </c>
      <c r="Y48" s="278">
        <v>0.89030285168269252</v>
      </c>
      <c r="Z48" s="278">
        <v>0.8911363819669792</v>
      </c>
      <c r="AA48" s="278">
        <v>0.89197028750833551</v>
      </c>
      <c r="AB48" s="279">
        <v>0.89280456852771695</v>
      </c>
      <c r="AC48" s="277">
        <v>0.89367154733716836</v>
      </c>
      <c r="AD48" s="278">
        <v>0.89440723785822451</v>
      </c>
      <c r="AE48" s="278">
        <v>0.89511182444186954</v>
      </c>
      <c r="AF48" s="278">
        <v>0.89574361215060139</v>
      </c>
      <c r="AG48" s="278">
        <v>0.89637552877317972</v>
      </c>
      <c r="AH48" s="278">
        <v>0.89717715829602152</v>
      </c>
      <c r="AI48" s="278">
        <v>0.89797911379278217</v>
      </c>
      <c r="AJ48" s="278">
        <v>0.89878139526346157</v>
      </c>
      <c r="AK48" s="278">
        <v>0.8995840027080596</v>
      </c>
      <c r="AL48" s="279">
        <v>0.90038693612657639</v>
      </c>
      <c r="AM48" s="277">
        <v>0.90090954890126107</v>
      </c>
      <c r="AN48" s="278">
        <v>0.90143216167594586</v>
      </c>
      <c r="AO48" s="278">
        <v>0.90195477445063055</v>
      </c>
      <c r="AP48" s="278">
        <v>0.90247738722531534</v>
      </c>
      <c r="AQ48" s="278">
        <v>0.90300000000000002</v>
      </c>
      <c r="AR48" s="278">
        <v>0.90339999999999998</v>
      </c>
      <c r="AS48" s="278">
        <v>0.90380000000000005</v>
      </c>
      <c r="AT48" s="278">
        <v>0.9042</v>
      </c>
      <c r="AU48" s="278">
        <v>0.90460000000000007</v>
      </c>
      <c r="AV48" s="279">
        <v>0.90500000000000003</v>
      </c>
      <c r="AW48" s="277">
        <v>0.90539999999999998</v>
      </c>
      <c r="AX48" s="278">
        <v>0.90580000000000005</v>
      </c>
      <c r="AY48" s="278">
        <v>0.90620000000000001</v>
      </c>
      <c r="AZ48" s="278">
        <v>0.90660000000000007</v>
      </c>
      <c r="BA48" s="278">
        <v>0.90700000000000003</v>
      </c>
      <c r="BB48" s="278">
        <v>0.90720000000000001</v>
      </c>
      <c r="BC48" s="278">
        <v>0.90739999999999998</v>
      </c>
      <c r="BD48" s="278">
        <v>0.90760000000000007</v>
      </c>
      <c r="BE48" s="278">
        <v>0.90780000000000005</v>
      </c>
      <c r="BF48" s="279">
        <v>0.90800000000000003</v>
      </c>
      <c r="BG48" s="279">
        <f t="shared" si="0"/>
        <v>0.90800000000000003</v>
      </c>
      <c r="BH48" s="237"/>
    </row>
    <row r="49" spans="1:60" x14ac:dyDescent="0.2">
      <c r="A49" s="349">
        <v>9.5</v>
      </c>
      <c r="B49" s="290">
        <v>0.82452447417181352</v>
      </c>
      <c r="C49" s="291">
        <v>0.83052907073929405</v>
      </c>
      <c r="D49" s="291">
        <v>0.83672197018717809</v>
      </c>
      <c r="E49" s="291">
        <v>0.84253651238525384</v>
      </c>
      <c r="F49" s="291">
        <v>0.84699466239049381</v>
      </c>
      <c r="G49" s="291">
        <v>0.85092431843337002</v>
      </c>
      <c r="H49" s="291">
        <v>0.85397972062250516</v>
      </c>
      <c r="I49" s="291">
        <v>0.85719051188054562</v>
      </c>
      <c r="J49" s="292">
        <v>0.85888305064012427</v>
      </c>
      <c r="K49" s="290">
        <v>0.86057652622310254</v>
      </c>
      <c r="L49" s="291">
        <v>0.86227093945378408</v>
      </c>
      <c r="M49" s="291">
        <v>0.86396629115744261</v>
      </c>
      <c r="N49" s="291">
        <v>0.86568881359338057</v>
      </c>
      <c r="O49" s="291">
        <v>0.86741238001976317</v>
      </c>
      <c r="P49" s="291">
        <v>0.86913699135627098</v>
      </c>
      <c r="Q49" s="291">
        <v>0.8708626485236638</v>
      </c>
      <c r="R49" s="291">
        <v>0.8725893524437861</v>
      </c>
      <c r="S49" s="292">
        <v>0.87427824926839859</v>
      </c>
      <c r="T49" s="290">
        <v>0.87585201656963885</v>
      </c>
      <c r="U49" s="291">
        <v>0.87676850781682047</v>
      </c>
      <c r="V49" s="291">
        <v>0.87768538140835639</v>
      </c>
      <c r="W49" s="291">
        <v>0.87860263756915302</v>
      </c>
      <c r="X49" s="291">
        <v>0.87954225388930352</v>
      </c>
      <c r="Y49" s="291">
        <v>0.88048229841575631</v>
      </c>
      <c r="Z49" s="291">
        <v>0.88142277140054603</v>
      </c>
      <c r="AA49" s="291">
        <v>0.88236367309590336</v>
      </c>
      <c r="AB49" s="292">
        <v>0.88330500375426135</v>
      </c>
      <c r="AC49" s="290">
        <v>0.88428300970816631</v>
      </c>
      <c r="AD49" s="291">
        <v>0.88513116280410908</v>
      </c>
      <c r="AE49" s="291">
        <v>0.88594810978350003</v>
      </c>
      <c r="AF49" s="291">
        <v>0.88658729670735736</v>
      </c>
      <c r="AG49" s="291">
        <v>0.88722662045650835</v>
      </c>
      <c r="AH49" s="291">
        <v>0.88804387145880903</v>
      </c>
      <c r="AI49" s="291">
        <v>0.88886146894245355</v>
      </c>
      <c r="AJ49" s="291">
        <v>0.88967941290744079</v>
      </c>
      <c r="AK49" s="291">
        <v>0.89049770335377276</v>
      </c>
      <c r="AL49" s="292">
        <v>0.89131634028144835</v>
      </c>
      <c r="AM49" s="281">
        <v>0.89185307222515864</v>
      </c>
      <c r="AN49" s="282">
        <v>0.89238980416886904</v>
      </c>
      <c r="AO49" s="282">
        <v>0.89292653611257933</v>
      </c>
      <c r="AP49" s="282">
        <v>0.89346326805628973</v>
      </c>
      <c r="AQ49" s="282">
        <v>0.89400000000000002</v>
      </c>
      <c r="AR49" s="282">
        <v>0.89439999999999997</v>
      </c>
      <c r="AS49" s="282">
        <v>0.89480000000000004</v>
      </c>
      <c r="AT49" s="282">
        <v>0.8952</v>
      </c>
      <c r="AU49" s="282">
        <v>0.89560000000000006</v>
      </c>
      <c r="AV49" s="283">
        <v>0.89600000000000002</v>
      </c>
      <c r="AW49" s="281">
        <v>0.89639999999999997</v>
      </c>
      <c r="AX49" s="282">
        <v>0.89680000000000004</v>
      </c>
      <c r="AY49" s="282">
        <v>0.8972</v>
      </c>
      <c r="AZ49" s="282">
        <v>0.89760000000000006</v>
      </c>
      <c r="BA49" s="282">
        <v>0.89800000000000002</v>
      </c>
      <c r="BB49" s="282">
        <v>0.8982</v>
      </c>
      <c r="BC49" s="282">
        <v>0.89839999999999998</v>
      </c>
      <c r="BD49" s="282">
        <v>0.89860000000000007</v>
      </c>
      <c r="BE49" s="282">
        <v>0.89880000000000004</v>
      </c>
      <c r="BF49" s="283">
        <v>0.89900000000000002</v>
      </c>
      <c r="BG49" s="283">
        <f t="shared" si="0"/>
        <v>0.89900000000000002</v>
      </c>
      <c r="BH49" s="237"/>
    </row>
    <row r="50" spans="1:60" x14ac:dyDescent="0.2">
      <c r="A50" s="348">
        <v>10</v>
      </c>
      <c r="B50" s="287">
        <v>0.81031398991764503</v>
      </c>
      <c r="C50" s="288">
        <v>0.81685615951257684</v>
      </c>
      <c r="D50" s="288">
        <v>0.82255480877738074</v>
      </c>
      <c r="E50" s="288">
        <v>0.82877523618086368</v>
      </c>
      <c r="F50" s="288">
        <v>0.83480682860359612</v>
      </c>
      <c r="G50" s="288">
        <v>0.83994037795901832</v>
      </c>
      <c r="H50" s="288">
        <v>0.84248290577720952</v>
      </c>
      <c r="I50" s="288">
        <v>0.8452642819526911</v>
      </c>
      <c r="J50" s="289">
        <v>0.84716773749885421</v>
      </c>
      <c r="K50" s="287">
        <v>0.84907223989524672</v>
      </c>
      <c r="L50" s="288">
        <v>0.85097779006298779</v>
      </c>
      <c r="M50" s="288">
        <v>0.85288438892427454</v>
      </c>
      <c r="N50" s="288">
        <v>0.85481989065542363</v>
      </c>
      <c r="O50" s="288">
        <v>0.85675656847436799</v>
      </c>
      <c r="P50" s="288">
        <v>0.85869442341715851</v>
      </c>
      <c r="Q50" s="288">
        <v>0.86063345652105949</v>
      </c>
      <c r="R50" s="288">
        <v>0.86257366882455677</v>
      </c>
      <c r="S50" s="289">
        <v>0.86447691602128995</v>
      </c>
      <c r="T50" s="287">
        <v>0.86633870707037319</v>
      </c>
      <c r="U50" s="288">
        <v>0.86736213818461283</v>
      </c>
      <c r="V50" s="288">
        <v>0.86838599861916321</v>
      </c>
      <c r="W50" s="288">
        <v>0.86941028862656433</v>
      </c>
      <c r="X50" s="288">
        <v>0.87045774381406982</v>
      </c>
      <c r="Y50" s="288">
        <v>0.87150568187221455</v>
      </c>
      <c r="Z50" s="288">
        <v>0.87255410308520709</v>
      </c>
      <c r="AA50" s="288">
        <v>0.87360300773748056</v>
      </c>
      <c r="AB50" s="289">
        <v>0.8746523961136885</v>
      </c>
      <c r="AC50" s="287">
        <v>0.8757422112279426</v>
      </c>
      <c r="AD50" s="288">
        <v>0.87670348701154421</v>
      </c>
      <c r="AE50" s="288">
        <v>0.87766499399933051</v>
      </c>
      <c r="AF50" s="288">
        <v>0.87841645895157494</v>
      </c>
      <c r="AG50" s="288">
        <v>0.87916809730695611</v>
      </c>
      <c r="AH50" s="288">
        <v>0.88010560616625466</v>
      </c>
      <c r="AI50" s="288">
        <v>0.88104355475655138</v>
      </c>
      <c r="AJ50" s="288">
        <v>0.88198194307784639</v>
      </c>
      <c r="AK50" s="288">
        <v>0.88292077113013967</v>
      </c>
      <c r="AL50" s="289">
        <v>0.88386003891343135</v>
      </c>
      <c r="AM50" s="287">
        <v>0.88468803113074512</v>
      </c>
      <c r="AN50" s="288">
        <v>0.88551602334805879</v>
      </c>
      <c r="AO50" s="288">
        <v>0.88634401556537257</v>
      </c>
      <c r="AP50" s="288">
        <v>0.88717200778268623</v>
      </c>
      <c r="AQ50" s="288">
        <v>0.88800000000000001</v>
      </c>
      <c r="AR50" s="288">
        <v>0.88860000000000006</v>
      </c>
      <c r="AS50" s="288">
        <v>0.88919999999999999</v>
      </c>
      <c r="AT50" s="288">
        <v>0.88980000000000004</v>
      </c>
      <c r="AU50" s="288">
        <v>0.89039999999999997</v>
      </c>
      <c r="AV50" s="289">
        <v>0.89100000000000001</v>
      </c>
      <c r="AW50" s="287">
        <v>0.89139999999999997</v>
      </c>
      <c r="AX50" s="288">
        <v>0.89180000000000004</v>
      </c>
      <c r="AY50" s="288">
        <v>0.89219999999999999</v>
      </c>
      <c r="AZ50" s="288">
        <v>0.89260000000000006</v>
      </c>
      <c r="BA50" s="288">
        <v>0.89300000000000002</v>
      </c>
      <c r="BB50" s="288">
        <v>0.89339999999999997</v>
      </c>
      <c r="BC50" s="288">
        <v>0.89380000000000004</v>
      </c>
      <c r="BD50" s="288">
        <v>0.89419999999999999</v>
      </c>
      <c r="BE50" s="288">
        <v>0.89460000000000006</v>
      </c>
      <c r="BF50" s="289">
        <v>0.89500000000000002</v>
      </c>
      <c r="BG50" s="289">
        <f t="shared" si="0"/>
        <v>0.89500000000000002</v>
      </c>
      <c r="BH50" s="237"/>
    </row>
    <row r="51" spans="1:60" x14ac:dyDescent="0.2">
      <c r="A51" s="348">
        <v>10.5</v>
      </c>
      <c r="B51" s="277">
        <v>0.79655417545483098</v>
      </c>
      <c r="C51" s="278">
        <v>0.8034706459742389</v>
      </c>
      <c r="D51" s="278">
        <v>0.80972003241692747</v>
      </c>
      <c r="E51" s="278">
        <v>0.81610892052229389</v>
      </c>
      <c r="F51" s="278">
        <v>0.82162850693668332</v>
      </c>
      <c r="G51" s="278">
        <v>0.82646460716993198</v>
      </c>
      <c r="H51" s="278">
        <v>0.82901494091228667</v>
      </c>
      <c r="I51" s="278">
        <v>0.83180369985881852</v>
      </c>
      <c r="J51" s="279">
        <v>0.83405603996527478</v>
      </c>
      <c r="K51" s="277">
        <v>0.83627809173174783</v>
      </c>
      <c r="L51" s="278">
        <v>0.83850135757755173</v>
      </c>
      <c r="M51" s="278">
        <v>0.84072583857126304</v>
      </c>
      <c r="N51" s="278">
        <v>0.84298093846728217</v>
      </c>
      <c r="O51" s="278">
        <v>0.84523741232406757</v>
      </c>
      <c r="P51" s="278">
        <v>0.84749526135197828</v>
      </c>
      <c r="Q51" s="278">
        <v>0.84975448676279752</v>
      </c>
      <c r="R51" s="278">
        <v>0.85201508976973184</v>
      </c>
      <c r="S51" s="279">
        <v>0.85423965190094475</v>
      </c>
      <c r="T51" s="277">
        <v>0.85642341576051684</v>
      </c>
      <c r="U51" s="278">
        <v>0.85747030504212729</v>
      </c>
      <c r="V51" s="278">
        <v>0.8583911859410549</v>
      </c>
      <c r="W51" s="278">
        <v>0.85931245405308931</v>
      </c>
      <c r="X51" s="278">
        <v>0.86025749611733993</v>
      </c>
      <c r="Y51" s="278">
        <v>0.86120297515658628</v>
      </c>
      <c r="Z51" s="278">
        <v>0.86214889142802165</v>
      </c>
      <c r="AA51" s="278">
        <v>0.86309524518904501</v>
      </c>
      <c r="AB51" s="279">
        <v>0.86404203669725388</v>
      </c>
      <c r="AC51" s="277">
        <v>0.86503255112758237</v>
      </c>
      <c r="AD51" s="278">
        <v>0.86589606986787182</v>
      </c>
      <c r="AE51" s="278">
        <v>0.86675980134478636</v>
      </c>
      <c r="AF51" s="278">
        <v>0.86771350592927043</v>
      </c>
      <c r="AG51" s="278">
        <v>0.86868329142746559</v>
      </c>
      <c r="AH51" s="278">
        <v>0.86984590603376355</v>
      </c>
      <c r="AI51" s="278">
        <v>0.87100913804121438</v>
      </c>
      <c r="AJ51" s="278">
        <v>0.87217298744981875</v>
      </c>
      <c r="AK51" s="278">
        <v>0.87333745425957499</v>
      </c>
      <c r="AL51" s="279">
        <v>0.87450253847048476</v>
      </c>
      <c r="AM51" s="277">
        <v>0.87560203077638776</v>
      </c>
      <c r="AN51" s="278">
        <v>0.87670152308229088</v>
      </c>
      <c r="AO51" s="278">
        <v>0.87780101538819388</v>
      </c>
      <c r="AP51" s="278">
        <v>0.878900507694097</v>
      </c>
      <c r="AQ51" s="278">
        <v>0.88</v>
      </c>
      <c r="AR51" s="278">
        <v>0.88080000000000003</v>
      </c>
      <c r="AS51" s="278">
        <v>0.88160000000000005</v>
      </c>
      <c r="AT51" s="278">
        <v>0.88239999999999996</v>
      </c>
      <c r="AU51" s="278">
        <v>0.88319999999999999</v>
      </c>
      <c r="AV51" s="279">
        <v>0.88400000000000001</v>
      </c>
      <c r="AW51" s="277">
        <v>0.88460000000000005</v>
      </c>
      <c r="AX51" s="278">
        <v>0.88519999999999999</v>
      </c>
      <c r="AY51" s="278">
        <v>0.88580000000000003</v>
      </c>
      <c r="AZ51" s="278">
        <v>0.88639999999999997</v>
      </c>
      <c r="BA51" s="278">
        <v>0.88700000000000001</v>
      </c>
      <c r="BB51" s="278">
        <v>0.88739999999999997</v>
      </c>
      <c r="BC51" s="278">
        <v>0.88780000000000003</v>
      </c>
      <c r="BD51" s="278">
        <v>0.88819999999999999</v>
      </c>
      <c r="BE51" s="278">
        <v>0.88860000000000006</v>
      </c>
      <c r="BF51" s="279">
        <v>0.88900000000000001</v>
      </c>
      <c r="BG51" s="279">
        <f t="shared" si="0"/>
        <v>0.88900000000000001</v>
      </c>
      <c r="BH51" s="237"/>
    </row>
    <row r="52" spans="1:60" x14ac:dyDescent="0.2">
      <c r="A52" s="348">
        <v>11</v>
      </c>
      <c r="B52" s="277">
        <v>0.78479418545105639</v>
      </c>
      <c r="C52" s="278">
        <v>0.79206596897179149</v>
      </c>
      <c r="D52" s="278">
        <v>0.79886966310419627</v>
      </c>
      <c r="E52" s="278">
        <v>0.8053129920157841</v>
      </c>
      <c r="F52" s="278">
        <v>0.80978958926281097</v>
      </c>
      <c r="G52" s="278">
        <v>0.81388273734272776</v>
      </c>
      <c r="H52" s="278">
        <v>0.81696813830874082</v>
      </c>
      <c r="I52" s="278">
        <v>0.82029188440642886</v>
      </c>
      <c r="J52" s="279">
        <v>0.82272788451258083</v>
      </c>
      <c r="K52" s="277">
        <v>0.82505968802123608</v>
      </c>
      <c r="L52" s="278">
        <v>0.82739275777587207</v>
      </c>
      <c r="M52" s="278">
        <v>0.82972709489097896</v>
      </c>
      <c r="N52" s="278">
        <v>0.83209364412779385</v>
      </c>
      <c r="O52" s="278">
        <v>0.8344616382637966</v>
      </c>
      <c r="P52" s="278">
        <v>0.8368310785718418</v>
      </c>
      <c r="Q52" s="278">
        <v>0.83920196632627497</v>
      </c>
      <c r="R52" s="278">
        <v>0.84157430280294188</v>
      </c>
      <c r="S52" s="279">
        <v>0.84391139650859415</v>
      </c>
      <c r="T52" s="277">
        <v>0.8462082556235595</v>
      </c>
      <c r="U52" s="278">
        <v>0.84749031182753487</v>
      </c>
      <c r="V52" s="278">
        <v>0.84851891165962468</v>
      </c>
      <c r="W52" s="278">
        <v>0.84954794641494369</v>
      </c>
      <c r="X52" s="278">
        <v>0.85060139526221423</v>
      </c>
      <c r="Y52" s="278">
        <v>0.85165533671908233</v>
      </c>
      <c r="Z52" s="278">
        <v>0.85270977107548762</v>
      </c>
      <c r="AA52" s="278">
        <v>0.85376469862159943</v>
      </c>
      <c r="AB52" s="279">
        <v>0.8548201196478139</v>
      </c>
      <c r="AC52" s="277">
        <v>0.8559224955553375</v>
      </c>
      <c r="AD52" s="278">
        <v>0.85689927543556821</v>
      </c>
      <c r="AE52" s="278">
        <v>0.85787631002016296</v>
      </c>
      <c r="AF52" s="278">
        <v>0.8587051096469972</v>
      </c>
      <c r="AG52" s="278">
        <v>0.85947047142689403</v>
      </c>
      <c r="AH52" s="278">
        <v>0.86043516604957304</v>
      </c>
      <c r="AI52" s="278">
        <v>0.86140034643070329</v>
      </c>
      <c r="AJ52" s="278">
        <v>0.86236601257028589</v>
      </c>
      <c r="AK52" s="278">
        <v>0.86333216446832106</v>
      </c>
      <c r="AL52" s="279">
        <v>0.86429880212480947</v>
      </c>
      <c r="AM52" s="277">
        <v>0.86529880212480947</v>
      </c>
      <c r="AN52" s="278">
        <v>0.86629880212480947</v>
      </c>
      <c r="AO52" s="278">
        <v>0.86729880212480948</v>
      </c>
      <c r="AP52" s="278">
        <v>0.86829880212480948</v>
      </c>
      <c r="AQ52" s="278">
        <v>0.86929880212480948</v>
      </c>
      <c r="AR52" s="278">
        <v>0.8700988021248095</v>
      </c>
      <c r="AS52" s="278">
        <v>0.87089880212480952</v>
      </c>
      <c r="AT52" s="278">
        <v>0.87169880212480944</v>
      </c>
      <c r="AU52" s="278">
        <v>0.87249880212480946</v>
      </c>
      <c r="AV52" s="279">
        <v>0.87329880212480948</v>
      </c>
      <c r="AW52" s="277">
        <v>0.87389880212480953</v>
      </c>
      <c r="AX52" s="278">
        <v>0.87449880212480946</v>
      </c>
      <c r="AY52" s="278">
        <v>0.87509880212480951</v>
      </c>
      <c r="AZ52" s="278">
        <v>0.87569880212480944</v>
      </c>
      <c r="BA52" s="278">
        <v>0.87629880212480948</v>
      </c>
      <c r="BB52" s="278">
        <v>0.87669880212480944</v>
      </c>
      <c r="BC52" s="278">
        <v>0.87709880212480951</v>
      </c>
      <c r="BD52" s="278">
        <v>0.87749880212480946</v>
      </c>
      <c r="BE52" s="278">
        <v>0.87789880212480953</v>
      </c>
      <c r="BF52" s="279">
        <v>0.87829880212480949</v>
      </c>
      <c r="BG52" s="279">
        <f t="shared" si="0"/>
        <v>0.87829880212480949</v>
      </c>
      <c r="BH52" s="237"/>
    </row>
    <row r="53" spans="1:60" x14ac:dyDescent="0.2">
      <c r="A53" s="348">
        <v>11.5</v>
      </c>
      <c r="B53" s="277">
        <v>0.77057262607034427</v>
      </c>
      <c r="C53" s="278">
        <v>0.77887229252068768</v>
      </c>
      <c r="D53" s="278">
        <v>0.78570727067089763</v>
      </c>
      <c r="E53" s="278">
        <v>0.79259165181992874</v>
      </c>
      <c r="F53" s="278">
        <v>0.79813390016126673</v>
      </c>
      <c r="G53" s="278">
        <v>0.80329926055681522</v>
      </c>
      <c r="H53" s="278">
        <v>0.80692423071690467</v>
      </c>
      <c r="I53" s="278">
        <v>0.81078793849614716</v>
      </c>
      <c r="J53" s="279">
        <v>0.81327197085626335</v>
      </c>
      <c r="K53" s="277">
        <v>0.81550300171121026</v>
      </c>
      <c r="L53" s="278">
        <v>0.81773523746229304</v>
      </c>
      <c r="M53" s="278">
        <v>0.81996867917000504</v>
      </c>
      <c r="N53" s="278">
        <v>0.82223581289212788</v>
      </c>
      <c r="O53" s="278">
        <v>0.8245043330507742</v>
      </c>
      <c r="P53" s="278">
        <v>0.82677424086729445</v>
      </c>
      <c r="Q53" s="278">
        <v>0.82904553756447363</v>
      </c>
      <c r="R53" s="278">
        <v>0.83131822436653546</v>
      </c>
      <c r="S53" s="279">
        <v>0.83355633541145413</v>
      </c>
      <c r="T53" s="277">
        <v>0.83575467569593276</v>
      </c>
      <c r="U53" s="278">
        <v>0.83728446074478302</v>
      </c>
      <c r="V53" s="278">
        <v>0.83852790969309998</v>
      </c>
      <c r="W53" s="278">
        <v>0.83977188787253032</v>
      </c>
      <c r="X53" s="278">
        <v>0.84104090122165254</v>
      </c>
      <c r="Y53" s="278">
        <v>0.84231051602060258</v>
      </c>
      <c r="Z53" s="278">
        <v>0.8435807326233834</v>
      </c>
      <c r="AA53" s="278">
        <v>0.84485155138427404</v>
      </c>
      <c r="AB53" s="279">
        <v>0.84612297265783376</v>
      </c>
      <c r="AC53" s="277">
        <v>0.84744444331260815</v>
      </c>
      <c r="AD53" s="278">
        <v>0.84864167610628494</v>
      </c>
      <c r="AE53" s="278">
        <v>0.8498392413346858</v>
      </c>
      <c r="AF53" s="278">
        <v>0.85074418851248224</v>
      </c>
      <c r="AG53" s="278">
        <v>0.85140965254582213</v>
      </c>
      <c r="AH53" s="278">
        <v>0.85228079280271984</v>
      </c>
      <c r="AI53" s="278">
        <v>0.85315235628817498</v>
      </c>
      <c r="AJ53" s="278">
        <v>0.85402434300218444</v>
      </c>
      <c r="AK53" s="278">
        <v>0.85489675294475254</v>
      </c>
      <c r="AL53" s="279">
        <v>0.85576958611587506</v>
      </c>
      <c r="AM53" s="277">
        <v>0.85676958611587506</v>
      </c>
      <c r="AN53" s="278">
        <v>0.85776958611587506</v>
      </c>
      <c r="AO53" s="278">
        <v>0.85876958611587506</v>
      </c>
      <c r="AP53" s="278">
        <v>0.85976958611587506</v>
      </c>
      <c r="AQ53" s="278">
        <v>0.86076958611587506</v>
      </c>
      <c r="AR53" s="278">
        <v>0.86156958611587509</v>
      </c>
      <c r="AS53" s="278">
        <v>0.86236958611587511</v>
      </c>
      <c r="AT53" s="278">
        <v>0.86316958611587502</v>
      </c>
      <c r="AU53" s="278">
        <v>0.86396958611587504</v>
      </c>
      <c r="AV53" s="279">
        <v>0.86476958611587507</v>
      </c>
      <c r="AW53" s="277">
        <v>0.86536958611587511</v>
      </c>
      <c r="AX53" s="278">
        <v>0.86596958611587505</v>
      </c>
      <c r="AY53" s="278">
        <v>0.86656958611587509</v>
      </c>
      <c r="AZ53" s="278">
        <v>0.86716958611587502</v>
      </c>
      <c r="BA53" s="278">
        <v>0.86776958611587507</v>
      </c>
      <c r="BB53" s="278">
        <v>0.86816958611587502</v>
      </c>
      <c r="BC53" s="278">
        <v>0.86856958611587509</v>
      </c>
      <c r="BD53" s="278">
        <v>0.86896958611587505</v>
      </c>
      <c r="BE53" s="278">
        <v>0.86936958611587511</v>
      </c>
      <c r="BF53" s="279">
        <v>0.86976958611587507</v>
      </c>
      <c r="BG53" s="279">
        <f t="shared" si="0"/>
        <v>0.86976958611587507</v>
      </c>
      <c r="BH53" s="237"/>
    </row>
    <row r="54" spans="1:60" x14ac:dyDescent="0.2">
      <c r="A54" s="349">
        <v>12</v>
      </c>
      <c r="B54" s="281">
        <v>0.75797442882689614</v>
      </c>
      <c r="C54" s="282">
        <v>0.76562884228001504</v>
      </c>
      <c r="D54" s="282">
        <v>0.77302713222633812</v>
      </c>
      <c r="E54" s="282">
        <v>0.78037784865123228</v>
      </c>
      <c r="F54" s="282">
        <v>0.78593164918199365</v>
      </c>
      <c r="G54" s="282">
        <v>0.79117865703105539</v>
      </c>
      <c r="H54" s="282">
        <v>0.79481626515057713</v>
      </c>
      <c r="I54" s="282">
        <v>0.79869223733838457</v>
      </c>
      <c r="J54" s="283">
        <v>0.801351671280774</v>
      </c>
      <c r="K54" s="281">
        <v>0.80369323251344194</v>
      </c>
      <c r="L54" s="282">
        <v>0.80603605012257018</v>
      </c>
      <c r="M54" s="282">
        <v>0.80838012521396263</v>
      </c>
      <c r="N54" s="282">
        <v>0.81075938125993408</v>
      </c>
      <c r="O54" s="282">
        <v>0.81314009524830388</v>
      </c>
      <c r="P54" s="282">
        <v>0.81552226846341425</v>
      </c>
      <c r="Q54" s="282">
        <v>0.81790590219111581</v>
      </c>
      <c r="R54" s="282">
        <v>0.82029099771877345</v>
      </c>
      <c r="S54" s="283">
        <v>0.82264233675751408</v>
      </c>
      <c r="T54" s="281">
        <v>0.82495449811188482</v>
      </c>
      <c r="U54" s="282">
        <v>0.82662728719913992</v>
      </c>
      <c r="V54" s="282">
        <v>0.82787379021214968</v>
      </c>
      <c r="W54" s="282">
        <v>0.82912082580948043</v>
      </c>
      <c r="X54" s="282">
        <v>0.83039332994863191</v>
      </c>
      <c r="Y54" s="282">
        <v>0.83166644123563049</v>
      </c>
      <c r="Z54" s="282">
        <v>0.83294016002783189</v>
      </c>
      <c r="AA54" s="282">
        <v>0.83421448668287201</v>
      </c>
      <c r="AB54" s="283">
        <v>0.83548942155866923</v>
      </c>
      <c r="AC54" s="281">
        <v>0.83681705117788496</v>
      </c>
      <c r="AD54" s="282">
        <v>0.83802202211202226</v>
      </c>
      <c r="AE54" s="282">
        <v>0.839227339134338</v>
      </c>
      <c r="AF54" s="282">
        <v>0.84030461345744345</v>
      </c>
      <c r="AG54" s="282">
        <v>0.84118957800912708</v>
      </c>
      <c r="AH54" s="282">
        <v>0.84228575553953378</v>
      </c>
      <c r="AI54" s="282">
        <v>0.8433825507244016</v>
      </c>
      <c r="AJ54" s="282">
        <v>0.84447996356372812</v>
      </c>
      <c r="AK54" s="282">
        <v>0.84557799405751455</v>
      </c>
      <c r="AL54" s="283">
        <v>0.84667664220576189</v>
      </c>
      <c r="AM54" s="281">
        <v>0.84767664220576189</v>
      </c>
      <c r="AN54" s="282">
        <v>0.84867664220576189</v>
      </c>
      <c r="AO54" s="282">
        <v>0.84967664220576189</v>
      </c>
      <c r="AP54" s="282">
        <v>0.85067664220576189</v>
      </c>
      <c r="AQ54" s="282">
        <v>0.85167664220576189</v>
      </c>
      <c r="AR54" s="282">
        <v>0.85247664220576191</v>
      </c>
      <c r="AS54" s="282">
        <v>0.85327664220576194</v>
      </c>
      <c r="AT54" s="282">
        <v>0.85407664220576185</v>
      </c>
      <c r="AU54" s="282">
        <v>0.85487664220576187</v>
      </c>
      <c r="AV54" s="283">
        <v>0.85567664220576189</v>
      </c>
      <c r="AW54" s="281">
        <v>0.85627664220576194</v>
      </c>
      <c r="AX54" s="282">
        <v>0.85687664220576187</v>
      </c>
      <c r="AY54" s="282">
        <v>0.85747664220576192</v>
      </c>
      <c r="AZ54" s="282">
        <v>0.85807664220576185</v>
      </c>
      <c r="BA54" s="282">
        <v>0.8586766422057619</v>
      </c>
      <c r="BB54" s="282">
        <v>0.85907664220576185</v>
      </c>
      <c r="BC54" s="282">
        <v>0.85947664220576192</v>
      </c>
      <c r="BD54" s="282">
        <v>0.85987664220576188</v>
      </c>
      <c r="BE54" s="282">
        <v>0.86027664220576194</v>
      </c>
      <c r="BF54" s="283">
        <v>0.8606766422057619</v>
      </c>
      <c r="BG54" s="283">
        <f t="shared" si="0"/>
        <v>0.8606766422057619</v>
      </c>
      <c r="BH54" s="237"/>
    </row>
    <row r="55" spans="1:60" x14ac:dyDescent="0.2">
      <c r="A55" s="348">
        <v>12.5</v>
      </c>
      <c r="B55" s="284">
        <v>0.74527430378119819</v>
      </c>
      <c r="C55" s="285">
        <v>0.75297270333345301</v>
      </c>
      <c r="D55" s="285">
        <v>0.76040495272562791</v>
      </c>
      <c r="E55" s="285">
        <v>0.7681246721202053</v>
      </c>
      <c r="F55" s="285">
        <v>0.77475852494278208</v>
      </c>
      <c r="G55" s="285">
        <v>0.78115609030379196</v>
      </c>
      <c r="H55" s="285">
        <v>0.78373810057457705</v>
      </c>
      <c r="I55" s="285">
        <v>0.78655821979280238</v>
      </c>
      <c r="J55" s="286">
        <v>0.78911668571043059</v>
      </c>
      <c r="K55" s="284">
        <v>0.79156962480797521</v>
      </c>
      <c r="L55" s="285">
        <v>0.79402387126971452</v>
      </c>
      <c r="M55" s="285">
        <v>0.79647942624632906</v>
      </c>
      <c r="N55" s="285">
        <v>0.79897159230436177</v>
      </c>
      <c r="O55" s="285">
        <v>0.80146528848858944</v>
      </c>
      <c r="P55" s="285">
        <v>0.80396051614694075</v>
      </c>
      <c r="Q55" s="285">
        <v>0.8064572766289303</v>
      </c>
      <c r="R55" s="285">
        <v>0.80895557128565909</v>
      </c>
      <c r="S55" s="286">
        <v>0.81142094021673583</v>
      </c>
      <c r="T55" s="284">
        <v>0.81384774036385765</v>
      </c>
      <c r="U55" s="285">
        <v>0.81573965779116331</v>
      </c>
      <c r="V55" s="285">
        <v>0.81709634350089022</v>
      </c>
      <c r="W55" s="285">
        <v>0.8184536117405381</v>
      </c>
      <c r="X55" s="285">
        <v>0.8198367694447064</v>
      </c>
      <c r="Y55" s="285">
        <v>0.82122059314588114</v>
      </c>
      <c r="Z55" s="285">
        <v>0.82260508323605452</v>
      </c>
      <c r="AA55" s="285">
        <v>0.8239902401075283</v>
      </c>
      <c r="AB55" s="286">
        <v>0.82537606415291165</v>
      </c>
      <c r="AC55" s="284">
        <v>0.82681710493480576</v>
      </c>
      <c r="AD55" s="285">
        <v>0.82813702517232501</v>
      </c>
      <c r="AE55" s="285">
        <v>0.82945734070158195</v>
      </c>
      <c r="AF55" s="285">
        <v>0.83067059785232988</v>
      </c>
      <c r="AG55" s="285">
        <v>0.8315617994450385</v>
      </c>
      <c r="AH55" s="285">
        <v>0.83266932117804848</v>
      </c>
      <c r="AI55" s="285">
        <v>0.83377748505499716</v>
      </c>
      <c r="AJ55" s="285">
        <v>0.83488629107588452</v>
      </c>
      <c r="AK55" s="285">
        <v>0.83599573924071069</v>
      </c>
      <c r="AL55" s="286">
        <v>0.83710582954947521</v>
      </c>
      <c r="AM55" s="287">
        <v>0.83810582954947521</v>
      </c>
      <c r="AN55" s="288">
        <v>0.83910582954947521</v>
      </c>
      <c r="AO55" s="288">
        <v>0.84010582954947521</v>
      </c>
      <c r="AP55" s="288">
        <v>0.84110582954947521</v>
      </c>
      <c r="AQ55" s="288">
        <v>0.84210582954947522</v>
      </c>
      <c r="AR55" s="288">
        <v>0.84290582954947524</v>
      </c>
      <c r="AS55" s="288">
        <v>0.84370582954947526</v>
      </c>
      <c r="AT55" s="288">
        <v>0.84450582954947517</v>
      </c>
      <c r="AU55" s="288">
        <v>0.8453058295494752</v>
      </c>
      <c r="AV55" s="289">
        <v>0.84610582954947522</v>
      </c>
      <c r="AW55" s="287">
        <v>0.84670582954947526</v>
      </c>
      <c r="AX55" s="288">
        <v>0.8473058295494752</v>
      </c>
      <c r="AY55" s="288">
        <v>0.84790582954947524</v>
      </c>
      <c r="AZ55" s="288">
        <v>0.84850582954947518</v>
      </c>
      <c r="BA55" s="288">
        <v>0.84910582954947522</v>
      </c>
      <c r="BB55" s="288">
        <v>0.84950582954947518</v>
      </c>
      <c r="BC55" s="288">
        <v>0.84990582954947524</v>
      </c>
      <c r="BD55" s="288">
        <v>0.8503058295494752</v>
      </c>
      <c r="BE55" s="288">
        <v>0.85070582954947527</v>
      </c>
      <c r="BF55" s="289">
        <v>0.85110582954947522</v>
      </c>
      <c r="BG55" s="289">
        <f t="shared" si="0"/>
        <v>0.85110582954947522</v>
      </c>
      <c r="BH55" s="237"/>
    </row>
    <row r="56" spans="1:60" x14ac:dyDescent="0.2">
      <c r="A56" s="348">
        <v>13</v>
      </c>
      <c r="B56" s="277">
        <v>0.73347702345359234</v>
      </c>
      <c r="C56" s="278">
        <v>0.74121925439924563</v>
      </c>
      <c r="D56" s="278">
        <v>0.74868513521579694</v>
      </c>
      <c r="E56" s="278">
        <v>0.75624094760477967</v>
      </c>
      <c r="F56" s="278">
        <v>0.76181867683575022</v>
      </c>
      <c r="G56" s="278">
        <v>0.76716663952127662</v>
      </c>
      <c r="H56" s="278">
        <v>0.77140913882859907</v>
      </c>
      <c r="I56" s="278">
        <v>0.77584629437668806</v>
      </c>
      <c r="J56" s="279">
        <v>0.77906522862645378</v>
      </c>
      <c r="K56" s="277">
        <v>0.78173839705901915</v>
      </c>
      <c r="L56" s="278">
        <v>0.78441298000069026</v>
      </c>
      <c r="M56" s="278">
        <v>0.78708897869645178</v>
      </c>
      <c r="N56" s="278">
        <v>0.78980314997831058</v>
      </c>
      <c r="O56" s="278">
        <v>0.7925189911469559</v>
      </c>
      <c r="P56" s="278">
        <v>0.79523650367343734</v>
      </c>
      <c r="Q56" s="278">
        <v>0.7979556890305326</v>
      </c>
      <c r="R56" s="278">
        <v>0.8006765486927514</v>
      </c>
      <c r="S56" s="279">
        <v>0.80336524558839317</v>
      </c>
      <c r="T56" s="277">
        <v>0.80601588091281184</v>
      </c>
      <c r="U56" s="278">
        <v>0.80810791495677115</v>
      </c>
      <c r="V56" s="278">
        <v>0.80936104522148467</v>
      </c>
      <c r="W56" s="278">
        <v>0.81061471495292015</v>
      </c>
      <c r="X56" s="278">
        <v>0.81189462697941961</v>
      </c>
      <c r="Y56" s="278">
        <v>0.81317515740617907</v>
      </c>
      <c r="Z56" s="278">
        <v>0.81445630659717727</v>
      </c>
      <c r="AA56" s="278">
        <v>0.81573807491667938</v>
      </c>
      <c r="AB56" s="279">
        <v>0.81702046272923379</v>
      </c>
      <c r="AC56" s="277">
        <v>0.81836038688210366</v>
      </c>
      <c r="AD56" s="278">
        <v>0.81958039760401102</v>
      </c>
      <c r="AE56" s="278">
        <v>0.82080078057921968</v>
      </c>
      <c r="AF56" s="278">
        <v>0.82198916085883089</v>
      </c>
      <c r="AG56" s="278">
        <v>0.82288647742986953</v>
      </c>
      <c r="AH56" s="278">
        <v>0.82400504143071263</v>
      </c>
      <c r="AI56" s="278">
        <v>0.82512427144150713</v>
      </c>
      <c r="AJ56" s="278">
        <v>0.82624416746225082</v>
      </c>
      <c r="AK56" s="278">
        <v>0.82736472949294626</v>
      </c>
      <c r="AL56" s="279">
        <v>0.82848595753359111</v>
      </c>
      <c r="AM56" s="277">
        <v>0.82948595753359111</v>
      </c>
      <c r="AN56" s="278">
        <v>0.83048595753359111</v>
      </c>
      <c r="AO56" s="278">
        <v>0.83148595753359111</v>
      </c>
      <c r="AP56" s="278">
        <v>0.83248595753359111</v>
      </c>
      <c r="AQ56" s="278">
        <v>0.83348595753359112</v>
      </c>
      <c r="AR56" s="278">
        <v>0.83428595753359114</v>
      </c>
      <c r="AS56" s="278">
        <v>0.83508595753359116</v>
      </c>
      <c r="AT56" s="278">
        <v>0.83588595753359107</v>
      </c>
      <c r="AU56" s="278">
        <v>0.8366859575335911</v>
      </c>
      <c r="AV56" s="279">
        <v>0.83748595753359112</v>
      </c>
      <c r="AW56" s="277">
        <v>0.83808595753359116</v>
      </c>
      <c r="AX56" s="278">
        <v>0.8386859575335911</v>
      </c>
      <c r="AY56" s="278">
        <v>0.83928595753359114</v>
      </c>
      <c r="AZ56" s="278">
        <v>0.83988595753359108</v>
      </c>
      <c r="BA56" s="278">
        <v>0.84048595753359112</v>
      </c>
      <c r="BB56" s="278">
        <v>0.84088595753359108</v>
      </c>
      <c r="BC56" s="278">
        <v>0.84128595753359114</v>
      </c>
      <c r="BD56" s="278">
        <v>0.8416859575335911</v>
      </c>
      <c r="BE56" s="278">
        <v>0.84208595753359117</v>
      </c>
      <c r="BF56" s="279">
        <v>0.84248595753359112</v>
      </c>
      <c r="BG56" s="279">
        <f t="shared" si="0"/>
        <v>0.84248595753359112</v>
      </c>
      <c r="BH56" s="237"/>
    </row>
    <row r="57" spans="1:60" x14ac:dyDescent="0.2">
      <c r="A57" s="348">
        <v>13.5</v>
      </c>
      <c r="B57" s="277">
        <v>0.72022288496292741</v>
      </c>
      <c r="C57" s="278">
        <v>0.72892684633753013</v>
      </c>
      <c r="D57" s="278">
        <v>0.73588863320166709</v>
      </c>
      <c r="E57" s="278">
        <v>0.7433167320827998</v>
      </c>
      <c r="F57" s="278">
        <v>0.7499839902566291</v>
      </c>
      <c r="G57" s="278">
        <v>0.75642810980564401</v>
      </c>
      <c r="H57" s="278">
        <v>0.76081520113843804</v>
      </c>
      <c r="I57" s="278">
        <v>0.76526724182592853</v>
      </c>
      <c r="J57" s="279">
        <v>0.76858644896080308</v>
      </c>
      <c r="K57" s="277">
        <v>0.7712659690755902</v>
      </c>
      <c r="L57" s="278">
        <v>0.77394689769133129</v>
      </c>
      <c r="M57" s="278">
        <v>0.77662923604772161</v>
      </c>
      <c r="N57" s="278">
        <v>0.77935109724979301</v>
      </c>
      <c r="O57" s="278">
        <v>0.78207463582716297</v>
      </c>
      <c r="P57" s="278">
        <v>0.78479985325747759</v>
      </c>
      <c r="Q57" s="278">
        <v>0.78752675102012204</v>
      </c>
      <c r="R57" s="278">
        <v>0.79025533059621555</v>
      </c>
      <c r="S57" s="279">
        <v>0.79295247616716646</v>
      </c>
      <c r="T57" s="277">
        <v>0.79561207891602326</v>
      </c>
      <c r="U57" s="278">
        <v>0.7978512394483338</v>
      </c>
      <c r="V57" s="278">
        <v>0.79910742438564464</v>
      </c>
      <c r="W57" s="278">
        <v>0.80036415211674006</v>
      </c>
      <c r="X57" s="278">
        <v>0.8016473965012908</v>
      </c>
      <c r="Y57" s="278">
        <v>0.80293126462132358</v>
      </c>
      <c r="Z57" s="278">
        <v>0.80421575684395508</v>
      </c>
      <c r="AA57" s="278">
        <v>0.8055008735365935</v>
      </c>
      <c r="AB57" s="279">
        <v>0.80678661506693505</v>
      </c>
      <c r="AC57" s="277">
        <v>0.80813195361782453</v>
      </c>
      <c r="AD57" s="278">
        <v>0.80935889795464155</v>
      </c>
      <c r="AE57" s="278">
        <v>0.810586227085348</v>
      </c>
      <c r="AF57" s="278">
        <v>0.8118139410099422</v>
      </c>
      <c r="AG57" s="278">
        <v>0.81293906126862381</v>
      </c>
      <c r="AH57" s="278">
        <v>0.81428432117545113</v>
      </c>
      <c r="AI57" s="278">
        <v>0.81563046729079736</v>
      </c>
      <c r="AJ57" s="278">
        <v>0.81697749961466037</v>
      </c>
      <c r="AK57" s="278">
        <v>0.81832541814704252</v>
      </c>
      <c r="AL57" s="279">
        <v>0.81967422288794145</v>
      </c>
      <c r="AM57" s="277">
        <v>0.82067422288794145</v>
      </c>
      <c r="AN57" s="278">
        <v>0.82167422288794145</v>
      </c>
      <c r="AO57" s="278">
        <v>0.82267422288794145</v>
      </c>
      <c r="AP57" s="278">
        <v>0.82367422288794145</v>
      </c>
      <c r="AQ57" s="278">
        <v>0.82467422288794145</v>
      </c>
      <c r="AR57" s="278">
        <v>0.82547422288794148</v>
      </c>
      <c r="AS57" s="278">
        <v>0.8262742228879415</v>
      </c>
      <c r="AT57" s="278">
        <v>0.82707422288794141</v>
      </c>
      <c r="AU57" s="278">
        <v>0.82787422288794144</v>
      </c>
      <c r="AV57" s="279">
        <v>0.82867422288794146</v>
      </c>
      <c r="AW57" s="277">
        <v>0.8292742228879415</v>
      </c>
      <c r="AX57" s="278">
        <v>0.82987422288794144</v>
      </c>
      <c r="AY57" s="278">
        <v>0.83047422288794148</v>
      </c>
      <c r="AZ57" s="278">
        <v>0.83107422288794142</v>
      </c>
      <c r="BA57" s="278">
        <v>0.83167422288794146</v>
      </c>
      <c r="BB57" s="278">
        <v>0.83207422288794142</v>
      </c>
      <c r="BC57" s="278">
        <v>0.83247422288794148</v>
      </c>
      <c r="BD57" s="278">
        <v>0.83287422288794144</v>
      </c>
      <c r="BE57" s="278">
        <v>0.83327422288794151</v>
      </c>
      <c r="BF57" s="279">
        <v>0.83367422288794146</v>
      </c>
      <c r="BG57" s="279">
        <f t="shared" si="0"/>
        <v>0.83367422288794146</v>
      </c>
      <c r="BH57" s="237"/>
    </row>
    <row r="58" spans="1:60" x14ac:dyDescent="0.2">
      <c r="A58" s="348">
        <v>14</v>
      </c>
      <c r="B58" s="277">
        <v>0.70776985921178703</v>
      </c>
      <c r="C58" s="278">
        <v>0.71584125284965405</v>
      </c>
      <c r="D58" s="278">
        <v>0.72391774999715164</v>
      </c>
      <c r="E58" s="278">
        <v>0.73222321213513497</v>
      </c>
      <c r="F58" s="278">
        <v>0.73836688514750581</v>
      </c>
      <c r="G58" s="278">
        <v>0.74429346636904758</v>
      </c>
      <c r="H58" s="278">
        <v>0.74919436823315066</v>
      </c>
      <c r="I58" s="278">
        <v>0.75420213818730542</v>
      </c>
      <c r="J58" s="279">
        <v>0.75783874815072838</v>
      </c>
      <c r="K58" s="277">
        <v>0.76052456566925675</v>
      </c>
      <c r="L58" s="278">
        <v>0.76321178543005641</v>
      </c>
      <c r="M58" s="278">
        <v>0.76590040866731601</v>
      </c>
      <c r="N58" s="278">
        <v>0.76862984911099497</v>
      </c>
      <c r="O58" s="278">
        <v>0.77136097428298589</v>
      </c>
      <c r="P58" s="278">
        <v>0.77409378566741482</v>
      </c>
      <c r="Q58" s="278">
        <v>0.77682828475014676</v>
      </c>
      <c r="R58" s="278">
        <v>0.77956447301879761</v>
      </c>
      <c r="S58" s="279">
        <v>0.78226996560080375</v>
      </c>
      <c r="T58" s="277">
        <v>0.78493844726217699</v>
      </c>
      <c r="U58" s="278">
        <v>0.78736926159937992</v>
      </c>
      <c r="V58" s="278">
        <v>0.78884559304847834</v>
      </c>
      <c r="W58" s="278">
        <v>0.79032256620352614</v>
      </c>
      <c r="X58" s="278">
        <v>0.79182638984459142</v>
      </c>
      <c r="Y58" s="278">
        <v>0.79333095254277552</v>
      </c>
      <c r="Z58" s="278">
        <v>0.79483625473307451</v>
      </c>
      <c r="AA58" s="278">
        <v>0.79634229685082392</v>
      </c>
      <c r="AB58" s="279">
        <v>0.79784907933170202</v>
      </c>
      <c r="AC58" s="277">
        <v>0.79941755954122329</v>
      </c>
      <c r="AD58" s="278">
        <v>0.80086905295966004</v>
      </c>
      <c r="AE58" s="278">
        <v>0.80232102276795314</v>
      </c>
      <c r="AF58" s="278">
        <v>0.80377346896610058</v>
      </c>
      <c r="AG58" s="278">
        <v>0.80487803490623244</v>
      </c>
      <c r="AH58" s="278">
        <v>0.80612532645992474</v>
      </c>
      <c r="AI58" s="278">
        <v>0.80737343167538422</v>
      </c>
      <c r="AJ58" s="278">
        <v>0.80862235055261311</v>
      </c>
      <c r="AK58" s="278">
        <v>0.8098720830916103</v>
      </c>
      <c r="AL58" s="279">
        <v>0.81112262929237466</v>
      </c>
      <c r="AM58" s="277">
        <v>0.81212262929237466</v>
      </c>
      <c r="AN58" s="278">
        <v>0.81312262929237467</v>
      </c>
      <c r="AO58" s="278">
        <v>0.81412262929237467</v>
      </c>
      <c r="AP58" s="278">
        <v>0.81512262929237467</v>
      </c>
      <c r="AQ58" s="278">
        <v>0.81612262929237467</v>
      </c>
      <c r="AR58" s="278">
        <v>0.81692262929237469</v>
      </c>
      <c r="AS58" s="278">
        <v>0.81772262929237471</v>
      </c>
      <c r="AT58" s="278">
        <v>0.81852262929237463</v>
      </c>
      <c r="AU58" s="278">
        <v>0.81932262929237465</v>
      </c>
      <c r="AV58" s="279">
        <v>0.82012262929237467</v>
      </c>
      <c r="AW58" s="277">
        <v>0.82072262929237472</v>
      </c>
      <c r="AX58" s="278">
        <v>0.82132262929237465</v>
      </c>
      <c r="AY58" s="278">
        <v>0.8219226292923747</v>
      </c>
      <c r="AZ58" s="278">
        <v>0.82252262929237463</v>
      </c>
      <c r="BA58" s="278">
        <v>0.82312262929237467</v>
      </c>
      <c r="BB58" s="278">
        <v>0.82352262929237463</v>
      </c>
      <c r="BC58" s="278">
        <v>0.8239226292923747</v>
      </c>
      <c r="BD58" s="278">
        <v>0.82432262929237465</v>
      </c>
      <c r="BE58" s="278">
        <v>0.82472262929237472</v>
      </c>
      <c r="BF58" s="279">
        <v>0.82512262929237468</v>
      </c>
      <c r="BG58" s="279">
        <f t="shared" si="0"/>
        <v>0.82512262929237468</v>
      </c>
      <c r="BH58" s="237"/>
    </row>
    <row r="59" spans="1:60" x14ac:dyDescent="0.2">
      <c r="A59" s="349">
        <v>14.5</v>
      </c>
      <c r="B59" s="290">
        <v>0.69630959016625815</v>
      </c>
      <c r="C59" s="291">
        <v>0.70544904243727169</v>
      </c>
      <c r="D59" s="291">
        <v>0.71301832088342665</v>
      </c>
      <c r="E59" s="291">
        <v>0.72088887567045279</v>
      </c>
      <c r="F59" s="291">
        <v>0.72650454395943065</v>
      </c>
      <c r="G59" s="291">
        <v>0.73190914528401529</v>
      </c>
      <c r="H59" s="291">
        <v>0.73724131460142006</v>
      </c>
      <c r="I59" s="291">
        <v>0.74280934124913689</v>
      </c>
      <c r="J59" s="292">
        <v>0.74693979334193517</v>
      </c>
      <c r="K59" s="290">
        <v>0.74984931963130896</v>
      </c>
      <c r="L59" s="291">
        <v>0.75276035326912061</v>
      </c>
      <c r="M59" s="291">
        <v>0.7556728955820663</v>
      </c>
      <c r="N59" s="291">
        <v>0.75862765583704728</v>
      </c>
      <c r="O59" s="291">
        <v>0.76158424333726571</v>
      </c>
      <c r="P59" s="291">
        <v>0.7645426596923931</v>
      </c>
      <c r="Q59" s="291">
        <v>0.76750290651399145</v>
      </c>
      <c r="R59" s="291">
        <v>0.77046498541551711</v>
      </c>
      <c r="S59" s="292">
        <v>0.77339716671092462</v>
      </c>
      <c r="T59" s="290">
        <v>0.77629288745712</v>
      </c>
      <c r="U59" s="291">
        <v>0.77902635114130014</v>
      </c>
      <c r="V59" s="291">
        <v>0.78028893571352897</v>
      </c>
      <c r="W59" s="291">
        <v>0.78155206982489411</v>
      </c>
      <c r="X59" s="291">
        <v>0.78284217886116059</v>
      </c>
      <c r="Y59" s="291">
        <v>0.78413292211524221</v>
      </c>
      <c r="Z59" s="291">
        <v>0.78542429996042673</v>
      </c>
      <c r="AA59" s="291">
        <v>0.78671631277029852</v>
      </c>
      <c r="AB59" s="292">
        <v>0.78800896091872918</v>
      </c>
      <c r="AC59" s="290">
        <v>0.78936491341238268</v>
      </c>
      <c r="AD59" s="291">
        <v>0.79060526029410194</v>
      </c>
      <c r="AE59" s="291">
        <v>0.79184601603524141</v>
      </c>
      <c r="AF59" s="291">
        <v>0.79308718063580064</v>
      </c>
      <c r="AG59" s="291">
        <v>0.79425769327795204</v>
      </c>
      <c r="AH59" s="291">
        <v>0.7956230227972374</v>
      </c>
      <c r="AI59" s="291">
        <v>0.79698929612288594</v>
      </c>
      <c r="AJ59" s="291">
        <v>0.79835651325489776</v>
      </c>
      <c r="AK59" s="291">
        <v>0.7997246741932732</v>
      </c>
      <c r="AL59" s="292">
        <v>0.80109377893801192</v>
      </c>
      <c r="AM59" s="281">
        <v>0.80209377893801193</v>
      </c>
      <c r="AN59" s="282">
        <v>0.80309377893801193</v>
      </c>
      <c r="AO59" s="282">
        <v>0.80409377893801193</v>
      </c>
      <c r="AP59" s="282">
        <v>0.80509377893801193</v>
      </c>
      <c r="AQ59" s="282">
        <v>0.80609377893801193</v>
      </c>
      <c r="AR59" s="282">
        <v>0.80689377893801195</v>
      </c>
      <c r="AS59" s="282">
        <v>0.80769377893801197</v>
      </c>
      <c r="AT59" s="282">
        <v>0.80849377893801189</v>
      </c>
      <c r="AU59" s="282">
        <v>0.80929377893801191</v>
      </c>
      <c r="AV59" s="283">
        <v>0.81009377893801193</v>
      </c>
      <c r="AW59" s="281">
        <v>0.81069377893801198</v>
      </c>
      <c r="AX59" s="282">
        <v>0.81129377893801191</v>
      </c>
      <c r="AY59" s="282">
        <v>0.81189377893801196</v>
      </c>
      <c r="AZ59" s="282">
        <v>0.81249377893801189</v>
      </c>
      <c r="BA59" s="282">
        <v>0.81309377893801194</v>
      </c>
      <c r="BB59" s="282">
        <v>0.81349377893801189</v>
      </c>
      <c r="BC59" s="282">
        <v>0.81389377893801196</v>
      </c>
      <c r="BD59" s="282">
        <v>0.81429377893801191</v>
      </c>
      <c r="BE59" s="282">
        <v>0.81469377893801198</v>
      </c>
      <c r="BF59" s="283">
        <v>0.81509377893801194</v>
      </c>
      <c r="BG59" s="283">
        <f t="shared" si="0"/>
        <v>0.81509377893801194</v>
      </c>
      <c r="BH59" s="237"/>
    </row>
    <row r="60" spans="1:60" x14ac:dyDescent="0.2">
      <c r="A60" s="348">
        <v>15</v>
      </c>
      <c r="B60" s="287">
        <v>0.68460540101306988</v>
      </c>
      <c r="C60" s="288">
        <v>0.69252971866905955</v>
      </c>
      <c r="D60" s="288">
        <v>0.70013498928830242</v>
      </c>
      <c r="E60" s="288">
        <v>0.70822130906412761</v>
      </c>
      <c r="F60" s="288">
        <v>0.7149410637471485</v>
      </c>
      <c r="G60" s="288">
        <v>0.72145592187612217</v>
      </c>
      <c r="H60" s="288">
        <v>0.72615353492063273</v>
      </c>
      <c r="I60" s="288">
        <v>0.7306498047027391</v>
      </c>
      <c r="J60" s="289">
        <v>0.73443757132697207</v>
      </c>
      <c r="K60" s="287">
        <v>0.73746307076214457</v>
      </c>
      <c r="L60" s="288">
        <v>0.74049012585629281</v>
      </c>
      <c r="M60" s="288">
        <v>0.74351873797863266</v>
      </c>
      <c r="N60" s="288">
        <v>0.74659075687604171</v>
      </c>
      <c r="O60" s="288">
        <v>0.74966467867958064</v>
      </c>
      <c r="P60" s="288">
        <v>0.75274050506557377</v>
      </c>
      <c r="Q60" s="288">
        <v>0.75581823771231282</v>
      </c>
      <c r="R60" s="288">
        <v>0.75889787830006472</v>
      </c>
      <c r="S60" s="289">
        <v>0.76194845672179479</v>
      </c>
      <c r="T60" s="287">
        <v>0.76496319859261508</v>
      </c>
      <c r="U60" s="288">
        <v>0.76797926913399217</v>
      </c>
      <c r="V60" s="288">
        <v>0.76946365487258228</v>
      </c>
      <c r="W60" s="288">
        <v>0.77094869054163728</v>
      </c>
      <c r="X60" s="288">
        <v>0.77246092784062981</v>
      </c>
      <c r="Y60" s="288">
        <v>0.77397391664389958</v>
      </c>
      <c r="Z60" s="288">
        <v>0.77548765739376635</v>
      </c>
      <c r="AA60" s="288">
        <v>0.77700215053289978</v>
      </c>
      <c r="AB60" s="289">
        <v>0.77851739650431628</v>
      </c>
      <c r="AC60" s="287">
        <v>0.7800976735635341</v>
      </c>
      <c r="AD60" s="288">
        <v>0.78156383803738694</v>
      </c>
      <c r="AE60" s="288">
        <v>0.78303050700343813</v>
      </c>
      <c r="AF60" s="288">
        <v>0.784497680461688</v>
      </c>
      <c r="AG60" s="288">
        <v>0.78574578434916387</v>
      </c>
      <c r="AH60" s="288">
        <v>0.78701080878184382</v>
      </c>
      <c r="AI60" s="288">
        <v>0.78827669680850743</v>
      </c>
      <c r="AJ60" s="288">
        <v>0.78954344842915447</v>
      </c>
      <c r="AK60" s="288">
        <v>0.79081106364378628</v>
      </c>
      <c r="AL60" s="289">
        <v>0.79207954245240075</v>
      </c>
      <c r="AM60" s="287">
        <v>0.79306363396192059</v>
      </c>
      <c r="AN60" s="288">
        <v>0.79404772547144042</v>
      </c>
      <c r="AO60" s="288">
        <v>0.79503181698096037</v>
      </c>
      <c r="AP60" s="288">
        <v>0.79601590849048021</v>
      </c>
      <c r="AQ60" s="288">
        <v>0.79700000000000004</v>
      </c>
      <c r="AR60" s="288">
        <v>0.79780000000000006</v>
      </c>
      <c r="AS60" s="288">
        <v>0.79860000000000009</v>
      </c>
      <c r="AT60" s="288">
        <v>0.7994</v>
      </c>
      <c r="AU60" s="288">
        <v>0.80020000000000002</v>
      </c>
      <c r="AV60" s="289">
        <v>0.80100000000000005</v>
      </c>
      <c r="AW60" s="287">
        <v>0.80160000000000009</v>
      </c>
      <c r="AX60" s="288">
        <v>0.80220000000000002</v>
      </c>
      <c r="AY60" s="288">
        <v>0.80280000000000007</v>
      </c>
      <c r="AZ60" s="288">
        <v>0.8034</v>
      </c>
      <c r="BA60" s="288">
        <v>0.80400000000000005</v>
      </c>
      <c r="BB60" s="288">
        <v>0.8044</v>
      </c>
      <c r="BC60" s="288">
        <v>0.80480000000000007</v>
      </c>
      <c r="BD60" s="288">
        <v>0.80520000000000003</v>
      </c>
      <c r="BE60" s="288">
        <v>0.80560000000000009</v>
      </c>
      <c r="BF60" s="289">
        <v>0.80600000000000005</v>
      </c>
      <c r="BG60" s="289">
        <f t="shared" si="0"/>
        <v>0.80600000000000005</v>
      </c>
      <c r="BH60" s="237"/>
    </row>
    <row r="61" spans="1:60" x14ac:dyDescent="0.2">
      <c r="A61" s="348">
        <v>15.5</v>
      </c>
      <c r="B61" s="277">
        <v>0.67387376942550248</v>
      </c>
      <c r="C61" s="278">
        <v>0.68184364673552156</v>
      </c>
      <c r="D61" s="278">
        <v>0.68948339564254824</v>
      </c>
      <c r="E61" s="278">
        <v>0.69764512505206477</v>
      </c>
      <c r="F61" s="278">
        <v>0.70438311214221527</v>
      </c>
      <c r="G61" s="278">
        <v>0.71092174696909771</v>
      </c>
      <c r="H61" s="278">
        <v>0.71572441695303368</v>
      </c>
      <c r="I61" s="278">
        <v>0.72023567474013483</v>
      </c>
      <c r="J61" s="279">
        <v>0.72411118050783907</v>
      </c>
      <c r="K61" s="277">
        <v>0.72714451303372829</v>
      </c>
      <c r="L61" s="278">
        <v>0.73017939382336605</v>
      </c>
      <c r="M61" s="278">
        <v>0.7332158242394613</v>
      </c>
      <c r="N61" s="278">
        <v>0.73629684503159754</v>
      </c>
      <c r="O61" s="278">
        <v>0.73937977704921198</v>
      </c>
      <c r="P61" s="278">
        <v>0.74246462197595531</v>
      </c>
      <c r="Q61" s="278">
        <v>0.74555138149745914</v>
      </c>
      <c r="R61" s="278">
        <v>0.74864005730133287</v>
      </c>
      <c r="S61" s="279">
        <v>0.75170038821222329</v>
      </c>
      <c r="T61" s="277">
        <v>0.75472539439246666</v>
      </c>
      <c r="U61" s="278">
        <v>0.75775173872723001</v>
      </c>
      <c r="V61" s="278">
        <v>0.75939393752766582</v>
      </c>
      <c r="W61" s="278">
        <v>0.76088288186593489</v>
      </c>
      <c r="X61" s="278">
        <v>0.7623991280673974</v>
      </c>
      <c r="Y61" s="278">
        <v>0.76391613177743023</v>
      </c>
      <c r="Z61" s="278">
        <v>0.76543389344188928</v>
      </c>
      <c r="AA61" s="278">
        <v>0.76695241350697974</v>
      </c>
      <c r="AB61" s="279">
        <v>0.76847169241925739</v>
      </c>
      <c r="AC61" s="277">
        <v>0.77005739710463228</v>
      </c>
      <c r="AD61" s="278">
        <v>0.77153048167650473</v>
      </c>
      <c r="AE61" s="278">
        <v>0.77300408423554123</v>
      </c>
      <c r="AF61" s="278">
        <v>0.77447820478174012</v>
      </c>
      <c r="AG61" s="278">
        <v>0.7758370812916322</v>
      </c>
      <c r="AH61" s="278">
        <v>0.77722023049478894</v>
      </c>
      <c r="AI61" s="278">
        <v>0.77860437830131179</v>
      </c>
      <c r="AJ61" s="278">
        <v>0.77998952471119987</v>
      </c>
      <c r="AK61" s="278">
        <v>0.78137566972445527</v>
      </c>
      <c r="AL61" s="279">
        <v>0.78276281334107578</v>
      </c>
      <c r="AM61" s="277">
        <v>0.78376281334107578</v>
      </c>
      <c r="AN61" s="278">
        <v>0.78476281334107578</v>
      </c>
      <c r="AO61" s="278">
        <v>0.78576281334107578</v>
      </c>
      <c r="AP61" s="278">
        <v>0.78676281334107578</v>
      </c>
      <c r="AQ61" s="278">
        <v>0.78776281334107578</v>
      </c>
      <c r="AR61" s="278">
        <v>0.78856281334107581</v>
      </c>
      <c r="AS61" s="278">
        <v>0.78936281334107583</v>
      </c>
      <c r="AT61" s="278">
        <v>0.79016281334107574</v>
      </c>
      <c r="AU61" s="278">
        <v>0.79096281334107577</v>
      </c>
      <c r="AV61" s="279">
        <v>0.79176281334107579</v>
      </c>
      <c r="AW61" s="277">
        <v>0.79236281334107583</v>
      </c>
      <c r="AX61" s="278">
        <v>0.79296281334107577</v>
      </c>
      <c r="AY61" s="278">
        <v>0.79356281334107581</v>
      </c>
      <c r="AZ61" s="278">
        <v>0.79416281334107575</v>
      </c>
      <c r="BA61" s="278">
        <v>0.79476281334107579</v>
      </c>
      <c r="BB61" s="278">
        <v>0.79516281334107575</v>
      </c>
      <c r="BC61" s="278">
        <v>0.79556281334107581</v>
      </c>
      <c r="BD61" s="278">
        <v>0.79596281334107577</v>
      </c>
      <c r="BE61" s="278">
        <v>0.79636281334107584</v>
      </c>
      <c r="BF61" s="279">
        <v>0.79676281334107579</v>
      </c>
      <c r="BG61" s="279">
        <f t="shared" si="0"/>
        <v>0.79676281334107579</v>
      </c>
      <c r="BH61" s="237"/>
    </row>
    <row r="62" spans="1:60" x14ac:dyDescent="0.2">
      <c r="A62" s="348">
        <v>16</v>
      </c>
      <c r="B62" s="277">
        <v>0.66345644046510388</v>
      </c>
      <c r="C62" s="278">
        <v>0.67197851963602673</v>
      </c>
      <c r="D62" s="278">
        <v>0.67910234962635818</v>
      </c>
      <c r="E62" s="278">
        <v>0.68681209125810616</v>
      </c>
      <c r="F62" s="278">
        <v>0.69356846626102775</v>
      </c>
      <c r="G62" s="278">
        <v>0.70013100727202404</v>
      </c>
      <c r="H62" s="278">
        <v>0.70503961963805406</v>
      </c>
      <c r="I62" s="278">
        <v>0.70956583946219387</v>
      </c>
      <c r="J62" s="279">
        <v>0.7135737021531211</v>
      </c>
      <c r="K62" s="277">
        <v>0.71672491996991472</v>
      </c>
      <c r="L62" s="278">
        <v>0.71987773360773355</v>
      </c>
      <c r="M62" s="278">
        <v>0.72303214447114461</v>
      </c>
      <c r="N62" s="278">
        <v>0.72623235479840376</v>
      </c>
      <c r="O62" s="278">
        <v>0.72943455332654328</v>
      </c>
      <c r="P62" s="278">
        <v>0.73263874180702304</v>
      </c>
      <c r="Q62" s="278">
        <v>0.73584492199336193</v>
      </c>
      <c r="R62" s="278">
        <v>0.73905309564114152</v>
      </c>
      <c r="S62" s="279">
        <v>0.74223367803135731</v>
      </c>
      <c r="T62" s="277">
        <v>0.74537946400427801</v>
      </c>
      <c r="U62" s="278">
        <v>0.74852664699084348</v>
      </c>
      <c r="V62" s="278">
        <v>0.75035022300425336</v>
      </c>
      <c r="W62" s="278">
        <v>0.75184327995216005</v>
      </c>
      <c r="X62" s="278">
        <v>0.75336373736454498</v>
      </c>
      <c r="Y62" s="278">
        <v>0.75488495828116087</v>
      </c>
      <c r="Z62" s="278">
        <v>0.75640694315139256</v>
      </c>
      <c r="AA62" s="278">
        <v>0.75792969242497643</v>
      </c>
      <c r="AB62" s="279">
        <v>0.75945320655200377</v>
      </c>
      <c r="AC62" s="277">
        <v>0.76104448017840687</v>
      </c>
      <c r="AD62" s="278">
        <v>0.76252447457931039</v>
      </c>
      <c r="AE62" s="278">
        <v>0.76400500011048977</v>
      </c>
      <c r="AF62" s="278">
        <v>0.76548605677194503</v>
      </c>
      <c r="AG62" s="278">
        <v>0.76692335981025039</v>
      </c>
      <c r="AH62" s="278">
        <v>0.76842551721075969</v>
      </c>
      <c r="AI62" s="278">
        <v>0.76992881351043663</v>
      </c>
      <c r="AJ62" s="278">
        <v>0.77143324870927887</v>
      </c>
      <c r="AK62" s="278">
        <v>0.77293882280728887</v>
      </c>
      <c r="AL62" s="279">
        <v>0.77444553580446407</v>
      </c>
      <c r="AM62" s="277">
        <v>0.77544553580446407</v>
      </c>
      <c r="AN62" s="278">
        <v>0.77644553580446407</v>
      </c>
      <c r="AO62" s="278">
        <v>0.77744553580446407</v>
      </c>
      <c r="AP62" s="278">
        <v>0.77844553580446407</v>
      </c>
      <c r="AQ62" s="278">
        <v>0.77944553580446407</v>
      </c>
      <c r="AR62" s="278">
        <v>0.7802455358044641</v>
      </c>
      <c r="AS62" s="278">
        <v>0.78104553580446412</v>
      </c>
      <c r="AT62" s="278">
        <v>0.78184553580446403</v>
      </c>
      <c r="AU62" s="278">
        <v>0.78264553580446405</v>
      </c>
      <c r="AV62" s="279">
        <v>0.78344553580446408</v>
      </c>
      <c r="AW62" s="277">
        <v>0.78404553580446412</v>
      </c>
      <c r="AX62" s="278">
        <v>0.78464553580446406</v>
      </c>
      <c r="AY62" s="278">
        <v>0.7852455358044641</v>
      </c>
      <c r="AZ62" s="278">
        <v>0.78584553580446403</v>
      </c>
      <c r="BA62" s="278">
        <v>0.78644553580446408</v>
      </c>
      <c r="BB62" s="278">
        <v>0.78684553580446404</v>
      </c>
      <c r="BC62" s="278">
        <v>0.7872455358044641</v>
      </c>
      <c r="BD62" s="278">
        <v>0.78764553580446406</v>
      </c>
      <c r="BE62" s="278">
        <v>0.78804553580446413</v>
      </c>
      <c r="BF62" s="279">
        <v>0.78844553580446408</v>
      </c>
      <c r="BG62" s="279">
        <f t="shared" si="0"/>
        <v>0.78844553580446408</v>
      </c>
      <c r="BH62" s="237"/>
    </row>
    <row r="63" spans="1:60" x14ac:dyDescent="0.2">
      <c r="A63" s="348">
        <v>16.5</v>
      </c>
      <c r="B63" s="277">
        <v>0.65163258264396395</v>
      </c>
      <c r="C63" s="278">
        <v>0.65969573844982488</v>
      </c>
      <c r="D63" s="278">
        <v>0.66740605334889469</v>
      </c>
      <c r="E63" s="278">
        <v>0.67571490797722344</v>
      </c>
      <c r="F63" s="278">
        <v>0.6819373694992461</v>
      </c>
      <c r="G63" s="278">
        <v>0.68797155845322244</v>
      </c>
      <c r="H63" s="278">
        <v>0.69318602391862227</v>
      </c>
      <c r="I63" s="278">
        <v>0.69827945870804986</v>
      </c>
      <c r="J63" s="279">
        <v>0.70272999204200415</v>
      </c>
      <c r="K63" s="277">
        <v>0.70588941075456368</v>
      </c>
      <c r="L63" s="278">
        <v>0.70905041713813866</v>
      </c>
      <c r="M63" s="278">
        <v>0.71221301259012459</v>
      </c>
      <c r="N63" s="278">
        <v>0.71542247065613729</v>
      </c>
      <c r="O63" s="278">
        <v>0.71863392532491865</v>
      </c>
      <c r="P63" s="278">
        <v>0.7218473783553303</v>
      </c>
      <c r="Q63" s="278">
        <v>0.72506283150830142</v>
      </c>
      <c r="R63" s="278">
        <v>0.72828028654683208</v>
      </c>
      <c r="S63" s="279">
        <v>0.73147088543552052</v>
      </c>
      <c r="T63" s="277">
        <v>0.73462722523782664</v>
      </c>
      <c r="U63" s="278">
        <v>0.73778497182877611</v>
      </c>
      <c r="V63" s="278">
        <v>0.73993516385772817</v>
      </c>
      <c r="W63" s="278">
        <v>0.74165380211650822</v>
      </c>
      <c r="X63" s="278">
        <v>0.74339997090913656</v>
      </c>
      <c r="Y63" s="278">
        <v>0.74514702456052173</v>
      </c>
      <c r="Z63" s="278">
        <v>0.746894963591475</v>
      </c>
      <c r="AA63" s="278">
        <v>0.74864378852321622</v>
      </c>
      <c r="AB63" s="279">
        <v>0.75039349987737669</v>
      </c>
      <c r="AC63" s="277">
        <v>0.75221229789951105</v>
      </c>
      <c r="AD63" s="278">
        <v>0.75392125397042442</v>
      </c>
      <c r="AE63" s="278">
        <v>0.75563084463227914</v>
      </c>
      <c r="AF63" s="278">
        <v>0.75734106988507321</v>
      </c>
      <c r="AG63" s="278">
        <v>0.75901857751442459</v>
      </c>
      <c r="AH63" s="278">
        <v>0.7603069929163051</v>
      </c>
      <c r="AI63" s="278">
        <v>0.76159634234716644</v>
      </c>
      <c r="AJ63" s="278">
        <v>0.76288662580700872</v>
      </c>
      <c r="AK63" s="278">
        <v>0.76417784329583205</v>
      </c>
      <c r="AL63" s="279">
        <v>0.7654699948136362</v>
      </c>
      <c r="AM63" s="277">
        <v>0.7664699948136362</v>
      </c>
      <c r="AN63" s="278">
        <v>0.7674699948136362</v>
      </c>
      <c r="AO63" s="278">
        <v>0.7684699948136362</v>
      </c>
      <c r="AP63" s="278">
        <v>0.7694699948136362</v>
      </c>
      <c r="AQ63" s="278">
        <v>0.77046999481363621</v>
      </c>
      <c r="AR63" s="278">
        <v>0.77126999481363623</v>
      </c>
      <c r="AS63" s="278">
        <v>0.77206999481363625</v>
      </c>
      <c r="AT63" s="278">
        <v>0.77286999481363616</v>
      </c>
      <c r="AU63" s="278">
        <v>0.77366999481363619</v>
      </c>
      <c r="AV63" s="279">
        <v>0.77446999481363621</v>
      </c>
      <c r="AW63" s="277">
        <v>0.77506999481363625</v>
      </c>
      <c r="AX63" s="278">
        <v>0.77566999481363619</v>
      </c>
      <c r="AY63" s="278">
        <v>0.77626999481363623</v>
      </c>
      <c r="AZ63" s="278">
        <v>0.77686999481363617</v>
      </c>
      <c r="BA63" s="278">
        <v>0.77746999481363621</v>
      </c>
      <c r="BB63" s="278">
        <v>0.77786999481363617</v>
      </c>
      <c r="BC63" s="278">
        <v>0.77826999481363623</v>
      </c>
      <c r="BD63" s="278">
        <v>0.77866999481363619</v>
      </c>
      <c r="BE63" s="278">
        <v>0.77906999481363626</v>
      </c>
      <c r="BF63" s="279">
        <v>0.77946999481363621</v>
      </c>
      <c r="BG63" s="279">
        <f t="shared" si="0"/>
        <v>0.77946999481363621</v>
      </c>
      <c r="BH63" s="237"/>
    </row>
    <row r="64" spans="1:60" x14ac:dyDescent="0.2">
      <c r="A64" s="349">
        <v>17</v>
      </c>
      <c r="B64" s="281">
        <v>0.64011941938391537</v>
      </c>
      <c r="C64" s="282">
        <v>0.64805268526503668</v>
      </c>
      <c r="D64" s="282">
        <v>0.65524465881360883</v>
      </c>
      <c r="E64" s="282">
        <v>0.66304832928702895</v>
      </c>
      <c r="F64" s="282">
        <v>0.67095120699839428</v>
      </c>
      <c r="G64" s="282">
        <v>0.67867141429405853</v>
      </c>
      <c r="H64" s="282">
        <v>0.68419376863343029</v>
      </c>
      <c r="I64" s="282">
        <v>0.68875006900302171</v>
      </c>
      <c r="J64" s="283">
        <v>0.69295927033244598</v>
      </c>
      <c r="K64" s="281">
        <v>0.69623817670875632</v>
      </c>
      <c r="L64" s="282">
        <v>0.69951871730491155</v>
      </c>
      <c r="M64" s="282">
        <v>0.70280089355927589</v>
      </c>
      <c r="N64" s="282">
        <v>0.70613110304917259</v>
      </c>
      <c r="O64" s="282">
        <v>0.70946338718321555</v>
      </c>
      <c r="P64" s="282">
        <v>0.71279774778901706</v>
      </c>
      <c r="Q64" s="282">
        <v>0.71613418669633633</v>
      </c>
      <c r="R64" s="282">
        <v>0.71947270573708377</v>
      </c>
      <c r="S64" s="283">
        <v>0.72278509050988893</v>
      </c>
      <c r="T64" s="281">
        <v>0.72606370752376337</v>
      </c>
      <c r="U64" s="282">
        <v>0.72934379136771921</v>
      </c>
      <c r="V64" s="282">
        <v>0.73169014757270956</v>
      </c>
      <c r="W64" s="282">
        <v>0.73341394711904018</v>
      </c>
      <c r="X64" s="282">
        <v>0.7351653386536573</v>
      </c>
      <c r="Y64" s="282">
        <v>0.73691762197377675</v>
      </c>
      <c r="Z64" s="282">
        <v>0.73867079760428611</v>
      </c>
      <c r="AA64" s="282">
        <v>0.74042486607048741</v>
      </c>
      <c r="AB64" s="283">
        <v>0.74217982789809278</v>
      </c>
      <c r="AC64" s="281">
        <v>0.74400501614196901</v>
      </c>
      <c r="AD64" s="282">
        <v>0.74572158625043816</v>
      </c>
      <c r="AE64" s="282">
        <v>0.7474388055093466</v>
      </c>
      <c r="AF64" s="282">
        <v>0.74915667391869445</v>
      </c>
      <c r="AG64" s="282">
        <v>0.75087519147848136</v>
      </c>
      <c r="AH64" s="282">
        <v>0.75223782605429745</v>
      </c>
      <c r="AI64" s="282">
        <v>0.75353443539911091</v>
      </c>
      <c r="AJ64" s="282">
        <v>0.75483200113895932</v>
      </c>
      <c r="AK64" s="282">
        <v>0.75613052327384278</v>
      </c>
      <c r="AL64" s="283">
        <v>0.75743000180376008</v>
      </c>
      <c r="AM64" s="281">
        <v>0.75843000180376008</v>
      </c>
      <c r="AN64" s="282">
        <v>0.75943000180376008</v>
      </c>
      <c r="AO64" s="282">
        <v>0.76043000180376008</v>
      </c>
      <c r="AP64" s="282">
        <v>0.76143000180376008</v>
      </c>
      <c r="AQ64" s="282">
        <v>0.76243000180376008</v>
      </c>
      <c r="AR64" s="282">
        <v>0.76323000180376011</v>
      </c>
      <c r="AS64" s="282">
        <v>0.76403000180376013</v>
      </c>
      <c r="AT64" s="282">
        <v>0.76483000180376004</v>
      </c>
      <c r="AU64" s="282">
        <v>0.76563000180376006</v>
      </c>
      <c r="AV64" s="283">
        <v>0.76643000180376009</v>
      </c>
      <c r="AW64" s="281">
        <v>0.76703000180376013</v>
      </c>
      <c r="AX64" s="282">
        <v>0.76763000180376006</v>
      </c>
      <c r="AY64" s="282">
        <v>0.76823000180376011</v>
      </c>
      <c r="AZ64" s="282">
        <v>0.76883000180376004</v>
      </c>
      <c r="BA64" s="282">
        <v>0.76943000180376009</v>
      </c>
      <c r="BB64" s="282">
        <v>0.76983000180376004</v>
      </c>
      <c r="BC64" s="282">
        <v>0.77023000180376011</v>
      </c>
      <c r="BD64" s="282">
        <v>0.77063000180376007</v>
      </c>
      <c r="BE64" s="282">
        <v>0.77103000180376013</v>
      </c>
      <c r="BF64" s="283">
        <v>0.77143000180376009</v>
      </c>
      <c r="BG64" s="283">
        <f t="shared" si="0"/>
        <v>0.77143000180376009</v>
      </c>
      <c r="BH64" s="237"/>
    </row>
    <row r="65" spans="1:60" x14ac:dyDescent="0.2">
      <c r="A65" s="348">
        <v>17.5</v>
      </c>
      <c r="B65" s="284">
        <v>0.62965327587806263</v>
      </c>
      <c r="C65" s="285">
        <v>0.63781142751270048</v>
      </c>
      <c r="D65" s="285">
        <v>0.64559334656765677</v>
      </c>
      <c r="E65" s="285">
        <v>0.65397938283500046</v>
      </c>
      <c r="F65" s="285">
        <v>0.66087571737108353</v>
      </c>
      <c r="G65" s="285">
        <v>0.66751071028929276</v>
      </c>
      <c r="H65" s="285">
        <v>0.67307643505527248</v>
      </c>
      <c r="I65" s="285">
        <v>0.67820469155005314</v>
      </c>
      <c r="J65" s="286">
        <v>0.68288336797313154</v>
      </c>
      <c r="K65" s="284">
        <v>0.68605971062382054</v>
      </c>
      <c r="L65" s="285">
        <v>0.68923762419062462</v>
      </c>
      <c r="M65" s="285">
        <v>0.69241711005618878</v>
      </c>
      <c r="N65" s="285">
        <v>0.69564556813937461</v>
      </c>
      <c r="O65" s="285">
        <v>0.69887603965007694</v>
      </c>
      <c r="P65" s="285">
        <v>0.70210852636197985</v>
      </c>
      <c r="Q65" s="285">
        <v>0.7053430300508523</v>
      </c>
      <c r="R65" s="285">
        <v>0.70857955249454929</v>
      </c>
      <c r="S65" s="286">
        <v>0.71179061152186462</v>
      </c>
      <c r="T65" s="284">
        <v>0.71496839586445171</v>
      </c>
      <c r="U65" s="285">
        <v>0.71814760663247668</v>
      </c>
      <c r="V65" s="285">
        <v>0.72065750162447828</v>
      </c>
      <c r="W65" s="285">
        <v>0.7224976268603327</v>
      </c>
      <c r="X65" s="285">
        <v>0.7243653317931803</v>
      </c>
      <c r="Y65" s="285">
        <v>0.72623399389614396</v>
      </c>
      <c r="Z65" s="285">
        <v>0.72810361373259802</v>
      </c>
      <c r="AA65" s="285">
        <v>0.7299741918663567</v>
      </c>
      <c r="AB65" s="286">
        <v>0.73184572886167676</v>
      </c>
      <c r="AC65" s="284">
        <v>0.73378837692105803</v>
      </c>
      <c r="AD65" s="285">
        <v>0.73562398985732635</v>
      </c>
      <c r="AE65" s="285">
        <v>0.7374603135205372</v>
      </c>
      <c r="AF65" s="285">
        <v>0.73929734791069046</v>
      </c>
      <c r="AG65" s="285">
        <v>0.74113509302778613</v>
      </c>
      <c r="AH65" s="285">
        <v>0.74271698792953877</v>
      </c>
      <c r="AI65" s="285">
        <v>0.74413183653546344</v>
      </c>
      <c r="AJ65" s="285">
        <v>0.74554778565634927</v>
      </c>
      <c r="AK65" s="285">
        <v>0.74696483529219493</v>
      </c>
      <c r="AL65" s="286">
        <v>0.74838298544300275</v>
      </c>
      <c r="AM65" s="287">
        <v>0.74938298544300275</v>
      </c>
      <c r="AN65" s="288">
        <v>0.75038298544300275</v>
      </c>
      <c r="AO65" s="288">
        <v>0.75138298544300275</v>
      </c>
      <c r="AP65" s="288">
        <v>0.75238298544300275</v>
      </c>
      <c r="AQ65" s="288">
        <v>0.75338298544300275</v>
      </c>
      <c r="AR65" s="288">
        <v>0.75418298544300277</v>
      </c>
      <c r="AS65" s="288">
        <v>0.7549829854430028</v>
      </c>
      <c r="AT65" s="288">
        <v>0.75578298544300271</v>
      </c>
      <c r="AU65" s="288">
        <v>0.75658298544300273</v>
      </c>
      <c r="AV65" s="289">
        <v>0.75738298544300275</v>
      </c>
      <c r="AW65" s="287">
        <v>0.7579829854430028</v>
      </c>
      <c r="AX65" s="288">
        <v>0.75858298544300273</v>
      </c>
      <c r="AY65" s="288">
        <v>0.75918298544300278</v>
      </c>
      <c r="AZ65" s="288">
        <v>0.75978298544300271</v>
      </c>
      <c r="BA65" s="288">
        <v>0.76038298544300276</v>
      </c>
      <c r="BB65" s="288">
        <v>0.76078298544300271</v>
      </c>
      <c r="BC65" s="288">
        <v>0.76118298544300278</v>
      </c>
      <c r="BD65" s="288">
        <v>0.76158298544300274</v>
      </c>
      <c r="BE65" s="288">
        <v>0.7619829854430028</v>
      </c>
      <c r="BF65" s="289">
        <v>0.76238298544300276</v>
      </c>
      <c r="BG65" s="289">
        <f t="shared" si="0"/>
        <v>0.76238298544300276</v>
      </c>
      <c r="BH65" s="237"/>
    </row>
    <row r="66" spans="1:60" x14ac:dyDescent="0.2">
      <c r="A66" s="348">
        <v>18</v>
      </c>
      <c r="B66" s="277">
        <v>0.61894331956615889</v>
      </c>
      <c r="C66" s="278">
        <v>0.6271494245366156</v>
      </c>
      <c r="D66" s="278">
        <v>0.6349673595095735</v>
      </c>
      <c r="E66" s="278">
        <v>0.64338127753875629</v>
      </c>
      <c r="F66" s="278">
        <v>0.65034759889679494</v>
      </c>
      <c r="G66" s="278">
        <v>0.65700695522414443</v>
      </c>
      <c r="H66" s="278">
        <v>0.66234783040295908</v>
      </c>
      <c r="I66" s="278">
        <v>0.6669341330090417</v>
      </c>
      <c r="J66" s="279">
        <v>0.67134744153753279</v>
      </c>
      <c r="K66" s="277">
        <v>0.6748676201763032</v>
      </c>
      <c r="L66" s="278">
        <v>0.67838952369949612</v>
      </c>
      <c r="M66" s="278">
        <v>0.68191315362527327</v>
      </c>
      <c r="N66" s="278">
        <v>0.68548688896079912</v>
      </c>
      <c r="O66" s="278">
        <v>0.6890628565409409</v>
      </c>
      <c r="P66" s="278">
        <v>0.69264105833214484</v>
      </c>
      <c r="Q66" s="278">
        <v>0.69622149630316854</v>
      </c>
      <c r="R66" s="278">
        <v>0.69980417242508264</v>
      </c>
      <c r="S66" s="279">
        <v>0.70336223647425078</v>
      </c>
      <c r="T66" s="277">
        <v>0.70688761804221356</v>
      </c>
      <c r="U66" s="278">
        <v>0.71041458859029361</v>
      </c>
      <c r="V66" s="278">
        <v>0.71317986161611624</v>
      </c>
      <c r="W66" s="278">
        <v>0.7148011883618397</v>
      </c>
      <c r="X66" s="278">
        <v>0.71645000907999767</v>
      </c>
      <c r="Y66" s="278">
        <v>0.71809967554225507</v>
      </c>
      <c r="Z66" s="278">
        <v>0.7197501882464018</v>
      </c>
      <c r="AA66" s="278">
        <v>0.72140154769061626</v>
      </c>
      <c r="AB66" s="279">
        <v>0.72305375437347197</v>
      </c>
      <c r="AC66" s="277">
        <v>0.72477777260465159</v>
      </c>
      <c r="AD66" s="278">
        <v>0.72639596820109231</v>
      </c>
      <c r="AE66" s="278">
        <v>0.72801479261605595</v>
      </c>
      <c r="AF66" s="278">
        <v>0.72963424584954217</v>
      </c>
      <c r="AG66" s="278">
        <v>0.73125432790155243</v>
      </c>
      <c r="AH66" s="278">
        <v>0.73292155651610258</v>
      </c>
      <c r="AI66" s="278">
        <v>0.73445496313871872</v>
      </c>
      <c r="AJ66" s="278">
        <v>0.73598961922115691</v>
      </c>
      <c r="AK66" s="278">
        <v>0.73752552476341715</v>
      </c>
      <c r="AL66" s="279">
        <v>0.73906267976549833</v>
      </c>
      <c r="AM66" s="277">
        <v>0.74005014381239864</v>
      </c>
      <c r="AN66" s="278">
        <v>0.74103760785929895</v>
      </c>
      <c r="AO66" s="278">
        <v>0.74202507190619937</v>
      </c>
      <c r="AP66" s="278">
        <v>0.74301253595309968</v>
      </c>
      <c r="AQ66" s="278">
        <v>0.74399999999999999</v>
      </c>
      <c r="AR66" s="278">
        <v>0.74480000000000002</v>
      </c>
      <c r="AS66" s="278">
        <v>0.74560000000000004</v>
      </c>
      <c r="AT66" s="278">
        <v>0.74639999999999995</v>
      </c>
      <c r="AU66" s="278">
        <v>0.74719999999999998</v>
      </c>
      <c r="AV66" s="279">
        <v>0.748</v>
      </c>
      <c r="AW66" s="277">
        <v>0.74860000000000004</v>
      </c>
      <c r="AX66" s="278">
        <v>0.74919999999999998</v>
      </c>
      <c r="AY66" s="278">
        <v>0.74980000000000002</v>
      </c>
      <c r="AZ66" s="278">
        <v>0.75039999999999996</v>
      </c>
      <c r="BA66" s="278">
        <v>0.751</v>
      </c>
      <c r="BB66" s="278">
        <v>0.75139999999999996</v>
      </c>
      <c r="BC66" s="278">
        <v>0.75180000000000002</v>
      </c>
      <c r="BD66" s="278">
        <v>0.75219999999999998</v>
      </c>
      <c r="BE66" s="278">
        <v>0.75260000000000005</v>
      </c>
      <c r="BF66" s="279">
        <v>0.753</v>
      </c>
      <c r="BG66" s="279">
        <f t="shared" si="0"/>
        <v>0.753</v>
      </c>
      <c r="BH66" s="237"/>
    </row>
    <row r="67" spans="1:60" x14ac:dyDescent="0.2">
      <c r="A67" s="348">
        <v>18.5</v>
      </c>
      <c r="B67" s="277">
        <v>0.60965309682194302</v>
      </c>
      <c r="C67" s="278">
        <v>0.61638877839004325</v>
      </c>
      <c r="D67" s="278">
        <v>0.62480462920043778</v>
      </c>
      <c r="E67" s="278">
        <v>0.63380817827056757</v>
      </c>
      <c r="F67" s="278">
        <v>0.64040722598369015</v>
      </c>
      <c r="G67" s="278">
        <v>0.64652943847437516</v>
      </c>
      <c r="H67" s="278">
        <v>0.65229487476537817</v>
      </c>
      <c r="I67" s="278">
        <v>0.65801949390163006</v>
      </c>
      <c r="J67" s="279">
        <v>0.66344080698124275</v>
      </c>
      <c r="K67" s="277">
        <v>0.6668589926600883</v>
      </c>
      <c r="L67" s="278">
        <v>0.67027883972140678</v>
      </c>
      <c r="M67" s="278">
        <v>0.67370034962746861</v>
      </c>
      <c r="N67" s="278">
        <v>0.67717296960328155</v>
      </c>
      <c r="O67" s="278">
        <v>0.68064776078077727</v>
      </c>
      <c r="P67" s="278">
        <v>0.68412472507262634</v>
      </c>
      <c r="Q67" s="278">
        <v>0.68760386439374821</v>
      </c>
      <c r="R67" s="278">
        <v>0.69108518066131419</v>
      </c>
      <c r="S67" s="279">
        <v>0.69454246962284083</v>
      </c>
      <c r="T67" s="277">
        <v>0.69796746284938571</v>
      </c>
      <c r="U67" s="278">
        <v>0.70139400479566583</v>
      </c>
      <c r="V67" s="278">
        <v>0.70431492065374512</v>
      </c>
      <c r="W67" s="278">
        <v>0.70605347678652997</v>
      </c>
      <c r="X67" s="278">
        <v>0.70781954137119019</v>
      </c>
      <c r="Y67" s="278">
        <v>0.70958651762447544</v>
      </c>
      <c r="Z67" s="278">
        <v>0.71135440608297629</v>
      </c>
      <c r="AA67" s="278">
        <v>0.71312320728370748</v>
      </c>
      <c r="AB67" s="279">
        <v>0.71489292176410224</v>
      </c>
      <c r="AC67" s="277">
        <v>0.71673530947985609</v>
      </c>
      <c r="AD67" s="278">
        <v>0.71847313791552514</v>
      </c>
      <c r="AE67" s="278">
        <v>0.72021165704732293</v>
      </c>
      <c r="AF67" s="278">
        <v>0.72195086687525012</v>
      </c>
      <c r="AG67" s="278">
        <v>0.72369076739930516</v>
      </c>
      <c r="AH67" s="278">
        <v>0.72542787860099811</v>
      </c>
      <c r="AI67" s="278">
        <v>0.72685532986182577</v>
      </c>
      <c r="AJ67" s="278">
        <v>0.72828392908264195</v>
      </c>
      <c r="AK67" s="278">
        <v>0.72971367626344608</v>
      </c>
      <c r="AL67" s="279">
        <v>0.73114457140423872</v>
      </c>
      <c r="AM67" s="277">
        <v>0.73214457140423872</v>
      </c>
      <c r="AN67" s="278">
        <v>0.73314457140423872</v>
      </c>
      <c r="AO67" s="278">
        <v>0.73414457140423872</v>
      </c>
      <c r="AP67" s="278">
        <v>0.73514457140423872</v>
      </c>
      <c r="AQ67" s="278">
        <v>0.73614457140423872</v>
      </c>
      <c r="AR67" s="278">
        <v>0.73694457140423875</v>
      </c>
      <c r="AS67" s="278">
        <v>0.73774457140423877</v>
      </c>
      <c r="AT67" s="278">
        <v>0.73854457140423868</v>
      </c>
      <c r="AU67" s="278">
        <v>0.7393445714042387</v>
      </c>
      <c r="AV67" s="279">
        <v>0.74014457140423873</v>
      </c>
      <c r="AW67" s="277">
        <v>0.74074457140423877</v>
      </c>
      <c r="AX67" s="278">
        <v>0.74134457140423871</v>
      </c>
      <c r="AY67" s="278">
        <v>0.74194457140423875</v>
      </c>
      <c r="AZ67" s="278">
        <v>0.74254457140423868</v>
      </c>
      <c r="BA67" s="278">
        <v>0.74314457140423873</v>
      </c>
      <c r="BB67" s="278">
        <v>0.74354457140423869</v>
      </c>
      <c r="BC67" s="278">
        <v>0.74394457140423875</v>
      </c>
      <c r="BD67" s="278">
        <v>0.74434457140423871</v>
      </c>
      <c r="BE67" s="278">
        <v>0.74474457140423878</v>
      </c>
      <c r="BF67" s="279">
        <v>0.74514457140423873</v>
      </c>
      <c r="BG67" s="279">
        <f t="shared" si="0"/>
        <v>0.74514457140423873</v>
      </c>
      <c r="BH67" s="237"/>
    </row>
    <row r="68" spans="1:60" x14ac:dyDescent="0.2">
      <c r="A68" s="348">
        <v>19</v>
      </c>
      <c r="B68" s="277">
        <v>0.59850257785505989</v>
      </c>
      <c r="C68" s="278">
        <v>0.60508945519037072</v>
      </c>
      <c r="D68" s="278">
        <v>0.61298101696825125</v>
      </c>
      <c r="E68" s="278">
        <v>0.62145131775585627</v>
      </c>
      <c r="F68" s="278">
        <v>0.62904432489545392</v>
      </c>
      <c r="G68" s="278">
        <v>0.63631664522354214</v>
      </c>
      <c r="H68" s="278">
        <v>0.64217174465833016</v>
      </c>
      <c r="I68" s="278">
        <v>0.64678843282084952</v>
      </c>
      <c r="J68" s="279">
        <v>0.65133031618956905</v>
      </c>
      <c r="K68" s="277">
        <v>0.6547574331855075</v>
      </c>
      <c r="L68" s="278">
        <v>0.65818620152487384</v>
      </c>
      <c r="M68" s="278">
        <v>0.66161662266110355</v>
      </c>
      <c r="N68" s="278">
        <v>0.66509889153444612</v>
      </c>
      <c r="O68" s="278">
        <v>0.66858333996262109</v>
      </c>
      <c r="P68" s="278">
        <v>0.67206996986565992</v>
      </c>
      <c r="Q68" s="278">
        <v>0.6755587831658475</v>
      </c>
      <c r="R68" s="278">
        <v>0.67904978178773145</v>
      </c>
      <c r="S68" s="279">
        <v>0.68251752597300519</v>
      </c>
      <c r="T68" s="277">
        <v>0.68595357412151114</v>
      </c>
      <c r="U68" s="278">
        <v>0.68939118130132615</v>
      </c>
      <c r="V68" s="278">
        <v>0.69251349148181152</v>
      </c>
      <c r="W68" s="278">
        <v>0.69436950050813528</v>
      </c>
      <c r="X68" s="278">
        <v>0.69625289710502447</v>
      </c>
      <c r="Y68" s="278">
        <v>0.69813727191131603</v>
      </c>
      <c r="Z68" s="278">
        <v>0.70002262550276628</v>
      </c>
      <c r="AA68" s="278">
        <v>0.70190895845558166</v>
      </c>
      <c r="AB68" s="279">
        <v>0.70379627134642386</v>
      </c>
      <c r="AC68" s="277">
        <v>0.70575671576671872</v>
      </c>
      <c r="AD68" s="278">
        <v>0.70761429806923926</v>
      </c>
      <c r="AE68" s="278">
        <v>0.7094726345279232</v>
      </c>
      <c r="AF68" s="278">
        <v>0.71133172514277077</v>
      </c>
      <c r="AG68" s="278">
        <v>0.71319156991378185</v>
      </c>
      <c r="AH68" s="278">
        <v>0.71516732822746132</v>
      </c>
      <c r="AI68" s="278">
        <v>0.71682676685142144</v>
      </c>
      <c r="AJ68" s="278">
        <v>0.71848763654080305</v>
      </c>
      <c r="AK68" s="278">
        <v>0.72014993729560606</v>
      </c>
      <c r="AL68" s="279">
        <v>0.72181366911583067</v>
      </c>
      <c r="AM68" s="277">
        <v>0.72281366911583067</v>
      </c>
      <c r="AN68" s="278">
        <v>0.72381366911583067</v>
      </c>
      <c r="AO68" s="278">
        <v>0.72481366911583067</v>
      </c>
      <c r="AP68" s="278">
        <v>0.72581366911583067</v>
      </c>
      <c r="AQ68" s="278">
        <v>0.72681366911583067</v>
      </c>
      <c r="AR68" s="278">
        <v>0.7276136691158307</v>
      </c>
      <c r="AS68" s="278">
        <v>0.72841366911583072</v>
      </c>
      <c r="AT68" s="278">
        <v>0.72921366911583063</v>
      </c>
      <c r="AU68" s="278">
        <v>0.73001366911583065</v>
      </c>
      <c r="AV68" s="279">
        <v>0.73081366911583068</v>
      </c>
      <c r="AW68" s="277">
        <v>0.73141366911583072</v>
      </c>
      <c r="AX68" s="278">
        <v>0.73201366911583066</v>
      </c>
      <c r="AY68" s="278">
        <v>0.7326136691158307</v>
      </c>
      <c r="AZ68" s="278">
        <v>0.73321366911583064</v>
      </c>
      <c r="BA68" s="278">
        <v>0.73381366911583068</v>
      </c>
      <c r="BB68" s="278">
        <v>0.73421366911583064</v>
      </c>
      <c r="BC68" s="278">
        <v>0.7346136691158307</v>
      </c>
      <c r="BD68" s="278">
        <v>0.73501366911583066</v>
      </c>
      <c r="BE68" s="278">
        <v>0.73541366911583073</v>
      </c>
      <c r="BF68" s="279">
        <v>0.73581366911583068</v>
      </c>
      <c r="BG68" s="279">
        <f t="shared" si="0"/>
        <v>0.73581366911583068</v>
      </c>
      <c r="BH68" s="237"/>
    </row>
    <row r="69" spans="1:60" x14ac:dyDescent="0.2">
      <c r="A69" s="349">
        <v>19.5</v>
      </c>
      <c r="B69" s="290">
        <v>0.58893004249713732</v>
      </c>
      <c r="C69" s="291">
        <v>0.59627206786021825</v>
      </c>
      <c r="D69" s="291">
        <v>0.60363270573996497</v>
      </c>
      <c r="E69" s="291">
        <v>0.6115654319439211</v>
      </c>
      <c r="F69" s="291">
        <v>0.61911914362825837</v>
      </c>
      <c r="G69" s="291">
        <v>0.6264184106300853</v>
      </c>
      <c r="H69" s="291">
        <v>0.63265811298583352</v>
      </c>
      <c r="I69" s="291">
        <v>0.63785625307957539</v>
      </c>
      <c r="J69" s="292">
        <v>0.64301262007648452</v>
      </c>
      <c r="K69" s="290">
        <v>0.64644959853460526</v>
      </c>
      <c r="L69" s="291">
        <v>0.64988821857318446</v>
      </c>
      <c r="M69" s="291">
        <v>0.65332848163706347</v>
      </c>
      <c r="N69" s="291">
        <v>0.65682157060485813</v>
      </c>
      <c r="O69" s="291">
        <v>0.66031684806327395</v>
      </c>
      <c r="P69" s="291">
        <v>0.66381431594021434</v>
      </c>
      <c r="Q69" s="291">
        <v>0.66731397616584687</v>
      </c>
      <c r="R69" s="291">
        <v>0.67081583067260719</v>
      </c>
      <c r="S69" s="292">
        <v>0.67429506003449313</v>
      </c>
      <c r="T69" s="290">
        <v>0.67774300721092451</v>
      </c>
      <c r="U69" s="291">
        <v>0.68119252404649411</v>
      </c>
      <c r="V69" s="291">
        <v>0.68448454263316838</v>
      </c>
      <c r="W69" s="291">
        <v>0.68634611223618835</v>
      </c>
      <c r="X69" s="291">
        <v>0.6882350098233424</v>
      </c>
      <c r="Y69" s="291">
        <v>0.6901248925826492</v>
      </c>
      <c r="Z69" s="291">
        <v>0.69201576109396301</v>
      </c>
      <c r="AA69" s="291">
        <v>0.69390761593759187</v>
      </c>
      <c r="AB69" s="292">
        <v>0.69580045769430221</v>
      </c>
      <c r="AC69" s="290">
        <v>0.6977670304901753</v>
      </c>
      <c r="AD69" s="291">
        <v>0.69963193214140218</v>
      </c>
      <c r="AE69" s="291">
        <v>0.70149760173975906</v>
      </c>
      <c r="AF69" s="291">
        <v>0.70336403928524416</v>
      </c>
      <c r="AG69" s="291">
        <v>0.70523124477785926</v>
      </c>
      <c r="AH69" s="291">
        <v>0.70724908929110253</v>
      </c>
      <c r="AI69" s="291">
        <v>0.70868701461108663</v>
      </c>
      <c r="AJ69" s="291">
        <v>0.71012613319775963</v>
      </c>
      <c r="AK69" s="291">
        <v>0.71156644505112365</v>
      </c>
      <c r="AL69" s="292">
        <v>0.71300795017117657</v>
      </c>
      <c r="AM69" s="281">
        <v>0.71400795017117658</v>
      </c>
      <c r="AN69" s="282">
        <v>0.71500795017117658</v>
      </c>
      <c r="AO69" s="282">
        <v>0.71600795017117658</v>
      </c>
      <c r="AP69" s="282">
        <v>0.71700795017117658</v>
      </c>
      <c r="AQ69" s="282">
        <v>0.71800795017117658</v>
      </c>
      <c r="AR69" s="282">
        <v>0.7188079501711766</v>
      </c>
      <c r="AS69" s="282">
        <v>0.71960795017117662</v>
      </c>
      <c r="AT69" s="282">
        <v>0.72040795017117654</v>
      </c>
      <c r="AU69" s="282">
        <v>0.72120795017117656</v>
      </c>
      <c r="AV69" s="283">
        <v>0.72200795017117658</v>
      </c>
      <c r="AW69" s="281">
        <v>0.72260795017117663</v>
      </c>
      <c r="AX69" s="282">
        <v>0.72320795017117656</v>
      </c>
      <c r="AY69" s="282">
        <v>0.72380795017117661</v>
      </c>
      <c r="AZ69" s="282">
        <v>0.72440795017117654</v>
      </c>
      <c r="BA69" s="282">
        <v>0.72500795017117659</v>
      </c>
      <c r="BB69" s="282">
        <v>0.72540795017117654</v>
      </c>
      <c r="BC69" s="282">
        <v>0.72580795017117661</v>
      </c>
      <c r="BD69" s="282">
        <v>0.72620795017117656</v>
      </c>
      <c r="BE69" s="282">
        <v>0.72660795017117663</v>
      </c>
      <c r="BF69" s="283">
        <v>0.72700795017117659</v>
      </c>
      <c r="BG69" s="283">
        <f t="shared" si="0"/>
        <v>0.72700795017117659</v>
      </c>
      <c r="BH69" s="237"/>
    </row>
    <row r="70" spans="1:60" x14ac:dyDescent="0.2">
      <c r="A70" s="348">
        <v>20</v>
      </c>
      <c r="B70" s="287">
        <v>0.57864393834290084</v>
      </c>
      <c r="C70" s="288">
        <v>0.58601982692851518</v>
      </c>
      <c r="D70" s="288">
        <v>0.59341497557602729</v>
      </c>
      <c r="E70" s="288">
        <v>0.60137412934944268</v>
      </c>
      <c r="F70" s="288">
        <v>0.60896778166973364</v>
      </c>
      <c r="G70" s="288">
        <v>0.61629413078662321</v>
      </c>
      <c r="H70" s="288">
        <v>0.6226487217218758</v>
      </c>
      <c r="I70" s="288">
        <v>0.62786441128068737</v>
      </c>
      <c r="J70" s="289">
        <v>0.63312818184403918</v>
      </c>
      <c r="K70" s="287">
        <v>0.63657467401072132</v>
      </c>
      <c r="L70" s="288">
        <v>0.64002279752205038</v>
      </c>
      <c r="M70" s="288">
        <v>0.64347255381385826</v>
      </c>
      <c r="N70" s="288">
        <v>0.64697595025993571</v>
      </c>
      <c r="O70" s="288">
        <v>0.65048154372517109</v>
      </c>
      <c r="P70" s="288">
        <v>0.65398933614498034</v>
      </c>
      <c r="Q70" s="288">
        <v>0.65749932945705369</v>
      </c>
      <c r="R70" s="288">
        <v>0.66101152560135712</v>
      </c>
      <c r="S70" s="289">
        <v>0.66450178168122309</v>
      </c>
      <c r="T70" s="287">
        <v>0.66796124616558994</v>
      </c>
      <c r="U70" s="288">
        <v>0.67142229077272686</v>
      </c>
      <c r="V70" s="288">
        <v>0.67488491643193538</v>
      </c>
      <c r="W70" s="288">
        <v>0.67675166608552306</v>
      </c>
      <c r="X70" s="288">
        <v>0.67864560282784969</v>
      </c>
      <c r="Y70" s="288">
        <v>0.68054053145263671</v>
      </c>
      <c r="Z70" s="288">
        <v>0.68243645254368845</v>
      </c>
      <c r="AA70" s="288">
        <v>0.68433336668526501</v>
      </c>
      <c r="AB70" s="289">
        <v>0.68623127446208865</v>
      </c>
      <c r="AC70" s="287">
        <v>0.68820325186334097</v>
      </c>
      <c r="AD70" s="288">
        <v>0.69007498041149118</v>
      </c>
      <c r="AE70" s="288">
        <v>0.6919474903771079</v>
      </c>
      <c r="AF70" s="288">
        <v>0.6938207817601908</v>
      </c>
      <c r="AG70" s="288">
        <v>0.69569485456073998</v>
      </c>
      <c r="AH70" s="288">
        <v>0.69782245962396683</v>
      </c>
      <c r="AI70" s="288">
        <v>0.6993793914709433</v>
      </c>
      <c r="AJ70" s="288">
        <v>0.70093767349795466</v>
      </c>
      <c r="AK70" s="288">
        <v>0.70249730570499924</v>
      </c>
      <c r="AL70" s="289">
        <v>0.70405828809207782</v>
      </c>
      <c r="AM70" s="287">
        <v>0.70505828809207782</v>
      </c>
      <c r="AN70" s="288">
        <v>0.70605828809207782</v>
      </c>
      <c r="AO70" s="288">
        <v>0.70705828809207782</v>
      </c>
      <c r="AP70" s="288">
        <v>0.70805828809207783</v>
      </c>
      <c r="AQ70" s="288">
        <v>0.70905828809207783</v>
      </c>
      <c r="AR70" s="288">
        <v>0.70985828809207785</v>
      </c>
      <c r="AS70" s="288">
        <v>0.71065828809207787</v>
      </c>
      <c r="AT70" s="288">
        <v>0.71145828809207778</v>
      </c>
      <c r="AU70" s="288">
        <v>0.71225828809207781</v>
      </c>
      <c r="AV70" s="289">
        <v>0.71305828809207783</v>
      </c>
      <c r="AW70" s="287">
        <v>0.71365828809207787</v>
      </c>
      <c r="AX70" s="288">
        <v>0.71425828809207781</v>
      </c>
      <c r="AY70" s="288">
        <v>0.71485828809207785</v>
      </c>
      <c r="AZ70" s="288">
        <v>0.71545828809207779</v>
      </c>
      <c r="BA70" s="288">
        <v>0.71605828809207783</v>
      </c>
      <c r="BB70" s="288">
        <v>0.71645828809207779</v>
      </c>
      <c r="BC70" s="288">
        <v>0.71685828809207786</v>
      </c>
      <c r="BD70" s="288">
        <v>0.71725828809207781</v>
      </c>
      <c r="BE70" s="288">
        <v>0.71765828809207788</v>
      </c>
      <c r="BF70" s="289">
        <v>0.71805828809207783</v>
      </c>
      <c r="BG70" s="289">
        <f t="shared" si="0"/>
        <v>0.71805828809207783</v>
      </c>
      <c r="BH70" s="237"/>
    </row>
    <row r="71" spans="1:60" x14ac:dyDescent="0.2">
      <c r="A71" s="348">
        <v>21</v>
      </c>
      <c r="B71" s="277">
        <v>0.55877183209842274</v>
      </c>
      <c r="C71" s="278">
        <v>0.56630754362444802</v>
      </c>
      <c r="D71" s="278">
        <v>0.57434479435486185</v>
      </c>
      <c r="E71" s="278">
        <v>0.58293038207257208</v>
      </c>
      <c r="F71" s="278">
        <v>0.59033011160231597</v>
      </c>
      <c r="G71" s="278">
        <v>0.59713777493597553</v>
      </c>
      <c r="H71" s="278">
        <v>0.6031515642280203</v>
      </c>
      <c r="I71" s="278">
        <v>0.6078295456958126</v>
      </c>
      <c r="J71" s="279">
        <v>0.61255388670265343</v>
      </c>
      <c r="K71" s="277">
        <v>0.61624859546796407</v>
      </c>
      <c r="L71" s="278">
        <v>0.61983034661440839</v>
      </c>
      <c r="M71" s="278">
        <v>0.62341376192027564</v>
      </c>
      <c r="N71" s="278">
        <v>0.62705234122599784</v>
      </c>
      <c r="O71" s="278">
        <v>0.63069320654002103</v>
      </c>
      <c r="P71" s="278">
        <v>0.63433635987615378</v>
      </c>
      <c r="Q71" s="278">
        <v>0.63798180325057097</v>
      </c>
      <c r="R71" s="278">
        <v>0.64162953868181605</v>
      </c>
      <c r="S71" s="279">
        <v>0.64525675623049505</v>
      </c>
      <c r="T71" s="277">
        <v>0.64885420538423655</v>
      </c>
      <c r="U71" s="278">
        <v>0.65245330873799734</v>
      </c>
      <c r="V71" s="278">
        <v>0.65605406726464721</v>
      </c>
      <c r="W71" s="278">
        <v>0.65827625495649966</v>
      </c>
      <c r="X71" s="278">
        <v>0.66018034158004613</v>
      </c>
      <c r="Y71" s="278">
        <v>0.66208543333630809</v>
      </c>
      <c r="Z71" s="278">
        <v>0.66399153081688977</v>
      </c>
      <c r="AA71" s="278">
        <v>0.66589863461385568</v>
      </c>
      <c r="AB71" s="279">
        <v>0.66780674531973905</v>
      </c>
      <c r="AC71" s="277">
        <v>0.66978940143927013</v>
      </c>
      <c r="AD71" s="278">
        <v>0.67167454728195153</v>
      </c>
      <c r="AE71" s="278">
        <v>0.67356050057050965</v>
      </c>
      <c r="AF71" s="278">
        <v>0.67544726130494392</v>
      </c>
      <c r="AG71" s="278">
        <v>0.67733482948525392</v>
      </c>
      <c r="AH71" s="278">
        <v>0.67947608754176902</v>
      </c>
      <c r="AI71" s="278">
        <v>0.68129613640286546</v>
      </c>
      <c r="AJ71" s="278">
        <v>0.68297924675482136</v>
      </c>
      <c r="AK71" s="278">
        <v>0.68466389407487016</v>
      </c>
      <c r="AL71" s="279">
        <v>0.68635007836301187</v>
      </c>
      <c r="AM71" s="277">
        <v>0.68755007836301185</v>
      </c>
      <c r="AN71" s="278">
        <v>0.68875007836301183</v>
      </c>
      <c r="AO71" s="278">
        <v>0.68995007836301192</v>
      </c>
      <c r="AP71" s="278">
        <v>0.6911500783630119</v>
      </c>
      <c r="AQ71" s="278">
        <v>0.69235007836301188</v>
      </c>
      <c r="AR71" s="278">
        <v>0.69335007836301188</v>
      </c>
      <c r="AS71" s="278">
        <v>0.69435007836301188</v>
      </c>
      <c r="AT71" s="278">
        <v>0.69535007836301188</v>
      </c>
      <c r="AU71" s="278">
        <v>0.69635007836301188</v>
      </c>
      <c r="AV71" s="279">
        <v>0.69735007836301188</v>
      </c>
      <c r="AW71" s="277">
        <v>0.69815007836301191</v>
      </c>
      <c r="AX71" s="278">
        <v>0.69895007836301193</v>
      </c>
      <c r="AY71" s="278">
        <v>0.69975007836301184</v>
      </c>
      <c r="AZ71" s="278">
        <v>0.70055007836301186</v>
      </c>
      <c r="BA71" s="278">
        <v>0.70135007836301189</v>
      </c>
      <c r="BB71" s="278">
        <v>0.70195007836301193</v>
      </c>
      <c r="BC71" s="278">
        <v>0.70255007836301187</v>
      </c>
      <c r="BD71" s="278">
        <v>0.70315007836301191</v>
      </c>
      <c r="BE71" s="278">
        <v>0.70375007836301184</v>
      </c>
      <c r="BF71" s="279">
        <v>0.70435007836301189</v>
      </c>
      <c r="BG71" s="279">
        <f t="shared" si="0"/>
        <v>0.70435007836301189</v>
      </c>
      <c r="BH71" s="237"/>
    </row>
    <row r="72" spans="1:60" x14ac:dyDescent="0.2">
      <c r="A72" s="348">
        <v>22</v>
      </c>
      <c r="B72" s="277">
        <v>0.54123415416397225</v>
      </c>
      <c r="C72" s="278">
        <v>0.54976259058687871</v>
      </c>
      <c r="D72" s="278">
        <v>0.55729382931255733</v>
      </c>
      <c r="E72" s="278">
        <v>0.56536054534721847</v>
      </c>
      <c r="F72" s="278">
        <v>0.57193947679294377</v>
      </c>
      <c r="G72" s="278">
        <v>0.57764213409405485</v>
      </c>
      <c r="H72" s="278">
        <v>0.58328633232143368</v>
      </c>
      <c r="I72" s="278">
        <v>0.58915013043314424</v>
      </c>
      <c r="J72" s="279">
        <v>0.59505932408160378</v>
      </c>
      <c r="K72" s="277">
        <v>0.59912226773483235</v>
      </c>
      <c r="L72" s="278">
        <v>0.60272472342474681</v>
      </c>
      <c r="M72" s="278">
        <v>0.60632882075408279</v>
      </c>
      <c r="N72" s="278">
        <v>0.60998962331046191</v>
      </c>
      <c r="O72" s="278">
        <v>0.61365272925690006</v>
      </c>
      <c r="P72" s="278">
        <v>0.61731814062251578</v>
      </c>
      <c r="Q72" s="278">
        <v>0.62098585943881468</v>
      </c>
      <c r="R72" s="278">
        <v>0.62465588773968883</v>
      </c>
      <c r="S72" s="279">
        <v>0.62830665778046479</v>
      </c>
      <c r="T72" s="277">
        <v>0.63192851240874826</v>
      </c>
      <c r="U72" s="278">
        <v>0.63555204300550894</v>
      </c>
      <c r="V72" s="278">
        <v>0.63917725055641494</v>
      </c>
      <c r="W72" s="278">
        <v>0.64183029578120143</v>
      </c>
      <c r="X72" s="278">
        <v>0.64386090289562725</v>
      </c>
      <c r="Y72" s="278">
        <v>0.64589259161675994</v>
      </c>
      <c r="Z72" s="278">
        <v>0.64792536258121636</v>
      </c>
      <c r="AA72" s="278">
        <v>0.64995921642610655</v>
      </c>
      <c r="AB72" s="279">
        <v>0.65199415378904702</v>
      </c>
      <c r="AC72" s="277">
        <v>0.65410414680203188</v>
      </c>
      <c r="AD72" s="278">
        <v>0.65611903792327964</v>
      </c>
      <c r="AE72" s="278">
        <v>0.65813481686969311</v>
      </c>
      <c r="AF72" s="278">
        <v>0.66015148364127452</v>
      </c>
      <c r="AG72" s="278">
        <v>0.66216903823802187</v>
      </c>
      <c r="AH72" s="278">
        <v>0.66444093342809596</v>
      </c>
      <c r="AI72" s="278">
        <v>0.66638923943914841</v>
      </c>
      <c r="AJ72" s="278">
        <v>0.66785030111554256</v>
      </c>
      <c r="AK72" s="278">
        <v>0.66931266086132757</v>
      </c>
      <c r="AL72" s="279">
        <v>0.67077631867650234</v>
      </c>
      <c r="AM72" s="277">
        <v>0.67197631867650232</v>
      </c>
      <c r="AN72" s="278">
        <v>0.67317631867650229</v>
      </c>
      <c r="AO72" s="278">
        <v>0.67437631867650238</v>
      </c>
      <c r="AP72" s="278">
        <v>0.67557631867650236</v>
      </c>
      <c r="AQ72" s="278">
        <v>0.67677631867650234</v>
      </c>
      <c r="AR72" s="278">
        <v>0.67777631867650234</v>
      </c>
      <c r="AS72" s="278">
        <v>0.67877631867650234</v>
      </c>
      <c r="AT72" s="278">
        <v>0.67977631867650234</v>
      </c>
      <c r="AU72" s="278">
        <v>0.68077631867650235</v>
      </c>
      <c r="AV72" s="279">
        <v>0.68177631867650235</v>
      </c>
      <c r="AW72" s="277">
        <v>0.68257631867650237</v>
      </c>
      <c r="AX72" s="278">
        <v>0.68337631867650239</v>
      </c>
      <c r="AY72" s="278">
        <v>0.6841763186765023</v>
      </c>
      <c r="AZ72" s="278">
        <v>0.68497631867650233</v>
      </c>
      <c r="BA72" s="278">
        <v>0.68577631867650235</v>
      </c>
      <c r="BB72" s="278">
        <v>0.68637631867650239</v>
      </c>
      <c r="BC72" s="278">
        <v>0.68697631867650233</v>
      </c>
      <c r="BD72" s="278">
        <v>0.68757631867650237</v>
      </c>
      <c r="BE72" s="278">
        <v>0.68817631867650231</v>
      </c>
      <c r="BF72" s="279">
        <v>0.68877631867650235</v>
      </c>
      <c r="BG72" s="279">
        <f t="shared" si="0"/>
        <v>0.68877631867650235</v>
      </c>
      <c r="BH72" s="237"/>
    </row>
    <row r="73" spans="1:60" x14ac:dyDescent="0.2">
      <c r="A73" s="348">
        <v>23</v>
      </c>
      <c r="B73" s="277">
        <v>0.52354112033448663</v>
      </c>
      <c r="C73" s="278">
        <v>0.53107358182350717</v>
      </c>
      <c r="D73" s="278">
        <v>0.53809275426476599</v>
      </c>
      <c r="E73" s="278">
        <v>0.54563221419205588</v>
      </c>
      <c r="F73" s="278">
        <v>0.5528908919654103</v>
      </c>
      <c r="G73" s="278">
        <v>0.55979934833356937</v>
      </c>
      <c r="H73" s="278">
        <v>0.56637113142520545</v>
      </c>
      <c r="I73" s="278">
        <v>0.57169327047604057</v>
      </c>
      <c r="J73" s="279">
        <v>0.5770592729660643</v>
      </c>
      <c r="K73" s="277">
        <v>0.58112320542008256</v>
      </c>
      <c r="L73" s="278">
        <v>0.58462977402436789</v>
      </c>
      <c r="M73" s="278">
        <v>0.58813790916960496</v>
      </c>
      <c r="N73" s="278">
        <v>0.59170396065382758</v>
      </c>
      <c r="O73" s="278">
        <v>0.59527225850253918</v>
      </c>
      <c r="P73" s="278">
        <v>0.59884280469462425</v>
      </c>
      <c r="Q73" s="278">
        <v>0.60241560121129423</v>
      </c>
      <c r="R73" s="278">
        <v>0.60599065003608632</v>
      </c>
      <c r="S73" s="279">
        <v>0.60954767640695506</v>
      </c>
      <c r="T73" s="277">
        <v>0.61307666824285467</v>
      </c>
      <c r="U73" s="278">
        <v>0.61660730283874854</v>
      </c>
      <c r="V73" s="278">
        <v>0.62013958116077728</v>
      </c>
      <c r="W73" s="278">
        <v>0.62306589720221484</v>
      </c>
      <c r="X73" s="278">
        <v>0.62510720858628199</v>
      </c>
      <c r="Y73" s="278">
        <v>0.6271496151768825</v>
      </c>
      <c r="Z73" s="278">
        <v>0.62919311761863217</v>
      </c>
      <c r="AA73" s="278">
        <v>0.63123771655665761</v>
      </c>
      <c r="AB73" s="279">
        <v>0.63328341263658761</v>
      </c>
      <c r="AC73" s="277">
        <v>0.63540397361744305</v>
      </c>
      <c r="AD73" s="278">
        <v>0.6374322128210741</v>
      </c>
      <c r="AE73" s="278">
        <v>0.6394613652790323</v>
      </c>
      <c r="AF73" s="278">
        <v>0.64149143099131589</v>
      </c>
      <c r="AG73" s="278">
        <v>0.64352240995792576</v>
      </c>
      <c r="AH73" s="278">
        <v>0.64580622247678299</v>
      </c>
      <c r="AI73" s="278">
        <v>0.64802202176491452</v>
      </c>
      <c r="AJ73" s="278">
        <v>0.64960619765814043</v>
      </c>
      <c r="AK73" s="278">
        <v>0.6511918590287753</v>
      </c>
      <c r="AL73" s="279">
        <v>0.65277900587681914</v>
      </c>
      <c r="AM73" s="277">
        <v>0.6541790058768191</v>
      </c>
      <c r="AN73" s="278">
        <v>0.65557900587681917</v>
      </c>
      <c r="AO73" s="278">
        <v>0.65697900587681912</v>
      </c>
      <c r="AP73" s="278">
        <v>0.65837900587681919</v>
      </c>
      <c r="AQ73" s="278">
        <v>0.65977900587681915</v>
      </c>
      <c r="AR73" s="278">
        <v>0.66077900587681915</v>
      </c>
      <c r="AS73" s="278">
        <v>0.66177900587681915</v>
      </c>
      <c r="AT73" s="278">
        <v>0.66277900587681915</v>
      </c>
      <c r="AU73" s="278">
        <v>0.66377900587681915</v>
      </c>
      <c r="AV73" s="279">
        <v>0.66477900587681915</v>
      </c>
      <c r="AW73" s="277">
        <v>0.66557900587681917</v>
      </c>
      <c r="AX73" s="278">
        <v>0.6663790058768192</v>
      </c>
      <c r="AY73" s="278">
        <v>0.66717900587681911</v>
      </c>
      <c r="AZ73" s="278">
        <v>0.66797900587681913</v>
      </c>
      <c r="BA73" s="278">
        <v>0.66877900587681915</v>
      </c>
      <c r="BB73" s="278">
        <v>0.6693790058768192</v>
      </c>
      <c r="BC73" s="278">
        <v>0.66997900587681913</v>
      </c>
      <c r="BD73" s="278">
        <v>0.67057900587681918</v>
      </c>
      <c r="BE73" s="278">
        <v>0.67117900587681911</v>
      </c>
      <c r="BF73" s="279">
        <v>0.67177900587681916</v>
      </c>
      <c r="BG73" s="279">
        <f t="shared" si="0"/>
        <v>0.67177900587681916</v>
      </c>
      <c r="BH73" s="237"/>
    </row>
    <row r="74" spans="1:60" x14ac:dyDescent="0.2">
      <c r="A74" s="349">
        <v>24</v>
      </c>
      <c r="B74" s="281">
        <v>0.50773227968739931</v>
      </c>
      <c r="C74" s="282">
        <v>0.51309947912224341</v>
      </c>
      <c r="D74" s="282">
        <v>0.52018444943859521</v>
      </c>
      <c r="E74" s="282">
        <v>0.52777489401555311</v>
      </c>
      <c r="F74" s="282">
        <v>0.53511402516431616</v>
      </c>
      <c r="G74" s="282">
        <v>0.54207338230241608</v>
      </c>
      <c r="H74" s="282">
        <v>0.54883619408605333</v>
      </c>
      <c r="I74" s="282">
        <v>0.55419421612088726</v>
      </c>
      <c r="J74" s="283">
        <v>0.55959478240755256</v>
      </c>
      <c r="K74" s="281">
        <v>0.56387084940139232</v>
      </c>
      <c r="L74" s="282">
        <v>0.56739738674165685</v>
      </c>
      <c r="M74" s="282">
        <v>0.57092546671171507</v>
      </c>
      <c r="N74" s="282">
        <v>0.57451265968607723</v>
      </c>
      <c r="O74" s="282">
        <v>0.57810211471904538</v>
      </c>
      <c r="P74" s="282">
        <v>0.58169383380333106</v>
      </c>
      <c r="Q74" s="282">
        <v>0.58528781893398607</v>
      </c>
      <c r="R74" s="282">
        <v>0.58888407210840565</v>
      </c>
      <c r="S74" s="283">
        <v>0.5924635422920892</v>
      </c>
      <c r="T74" s="281">
        <v>0.5960158364695014</v>
      </c>
      <c r="U74" s="282">
        <v>0.59956979421139844</v>
      </c>
      <c r="V74" s="282">
        <v>0.60312541649615681</v>
      </c>
      <c r="W74" s="282">
        <v>0.60640007716476785</v>
      </c>
      <c r="X74" s="282">
        <v>0.60857033986602993</v>
      </c>
      <c r="Y74" s="282">
        <v>0.61074177653297823</v>
      </c>
      <c r="Z74" s="282">
        <v>0.61291438785658447</v>
      </c>
      <c r="AA74" s="282">
        <v>0.61508817452836761</v>
      </c>
      <c r="AB74" s="283">
        <v>0.61726313724038628</v>
      </c>
      <c r="AC74" s="281">
        <v>0.61951289673543108</v>
      </c>
      <c r="AD74" s="282">
        <v>0.62167277603400939</v>
      </c>
      <c r="AE74" s="282">
        <v>0.62383365158563331</v>
      </c>
      <c r="AF74" s="282">
        <v>0.62599552339030284</v>
      </c>
      <c r="AG74" s="282">
        <v>0.62815839144801799</v>
      </c>
      <c r="AH74" s="282">
        <v>0.63057329838469001</v>
      </c>
      <c r="AI74" s="282">
        <v>0.63299080105144956</v>
      </c>
      <c r="AJ74" s="282">
        <v>0.63465366911973997</v>
      </c>
      <c r="AK74" s="282">
        <v>0.63612872596794212</v>
      </c>
      <c r="AL74" s="283">
        <v>0.63760515702618903</v>
      </c>
      <c r="AM74" s="281">
        <v>0.63920515702618907</v>
      </c>
      <c r="AN74" s="282">
        <v>0.64080515702618901</v>
      </c>
      <c r="AO74" s="282">
        <v>0.64240515702618906</v>
      </c>
      <c r="AP74" s="282">
        <v>0.64400515702618899</v>
      </c>
      <c r="AQ74" s="282">
        <v>0.64560515702618904</v>
      </c>
      <c r="AR74" s="282">
        <v>0.64660515702618904</v>
      </c>
      <c r="AS74" s="282">
        <v>0.64760515702618904</v>
      </c>
      <c r="AT74" s="282">
        <v>0.64860515702618904</v>
      </c>
      <c r="AU74" s="282">
        <v>0.64960515702618904</v>
      </c>
      <c r="AV74" s="283">
        <v>0.65060515702618904</v>
      </c>
      <c r="AW74" s="281">
        <v>0.65140515702618906</v>
      </c>
      <c r="AX74" s="282">
        <v>0.65220515702618909</v>
      </c>
      <c r="AY74" s="282">
        <v>0.653005157026189</v>
      </c>
      <c r="AZ74" s="282">
        <v>0.65380515702618902</v>
      </c>
      <c r="BA74" s="282">
        <v>0.65460515702618904</v>
      </c>
      <c r="BB74" s="282">
        <v>0.65520515702618909</v>
      </c>
      <c r="BC74" s="282">
        <v>0.65580515702618902</v>
      </c>
      <c r="BD74" s="282">
        <v>0.65640515702618907</v>
      </c>
      <c r="BE74" s="282">
        <v>0.657005157026189</v>
      </c>
      <c r="BF74" s="283">
        <v>0.65760515702618905</v>
      </c>
      <c r="BG74" s="283">
        <f t="shared" si="0"/>
        <v>0.65760515702618905</v>
      </c>
      <c r="BH74" s="237"/>
    </row>
    <row r="75" spans="1:60" x14ac:dyDescent="0.2">
      <c r="A75" s="348">
        <v>25</v>
      </c>
      <c r="B75" s="284">
        <v>0.49048199668846576</v>
      </c>
      <c r="C75" s="285">
        <v>0.49583028674635476</v>
      </c>
      <c r="D75" s="285">
        <v>0.5029812639396205</v>
      </c>
      <c r="E75" s="285">
        <v>0.51062332916175102</v>
      </c>
      <c r="F75" s="285">
        <v>0.51774851270535782</v>
      </c>
      <c r="G75" s="285">
        <v>0.52416783755298957</v>
      </c>
      <c r="H75" s="285">
        <v>0.53053320004275484</v>
      </c>
      <c r="I75" s="285">
        <v>0.53651831597053135</v>
      </c>
      <c r="J75" s="286">
        <v>0.54254484861655072</v>
      </c>
      <c r="K75" s="284">
        <v>0.54733189050441422</v>
      </c>
      <c r="L75" s="285">
        <v>0.55087865685716297</v>
      </c>
      <c r="M75" s="285">
        <v>0.55442694103362011</v>
      </c>
      <c r="N75" s="285">
        <v>0.55803544272157846</v>
      </c>
      <c r="O75" s="285">
        <v>0.56164622179336687</v>
      </c>
      <c r="P75" s="285">
        <v>0.56525928025519545</v>
      </c>
      <c r="Q75" s="285">
        <v>0.56887462011563317</v>
      </c>
      <c r="R75" s="285">
        <v>0.57249224338560845</v>
      </c>
      <c r="S75" s="286">
        <v>0.57609428651528882</v>
      </c>
      <c r="T75" s="284">
        <v>0.57966997713454138</v>
      </c>
      <c r="U75" s="285">
        <v>0.58324735209231016</v>
      </c>
      <c r="V75" s="285">
        <v>0.5868264123791872</v>
      </c>
      <c r="W75" s="285">
        <v>0.59040715898654339</v>
      </c>
      <c r="X75" s="285">
        <v>0.59247086191662968</v>
      </c>
      <c r="Y75" s="285">
        <v>0.59453568705029625</v>
      </c>
      <c r="Z75" s="285">
        <v>0.59660163504804797</v>
      </c>
      <c r="AA75" s="285">
        <v>0.59866870657091509</v>
      </c>
      <c r="AB75" s="286">
        <v>0.60073690228044163</v>
      </c>
      <c r="AC75" s="284">
        <v>0.60287937094498711</v>
      </c>
      <c r="AD75" s="285">
        <v>0.60493435732434298</v>
      </c>
      <c r="AE75" s="285">
        <v>0.60699030479618266</v>
      </c>
      <c r="AF75" s="285">
        <v>0.60904721336050627</v>
      </c>
      <c r="AG75" s="285">
        <v>0.6111050830173137</v>
      </c>
      <c r="AH75" s="285">
        <v>0.61341270670296266</v>
      </c>
      <c r="AI75" s="285">
        <v>0.61572283707883646</v>
      </c>
      <c r="AJ75" s="285">
        <v>0.61767774572077272</v>
      </c>
      <c r="AK75" s="285">
        <v>0.61927672762214492</v>
      </c>
      <c r="AL75" s="286">
        <v>0.62087727620490862</v>
      </c>
      <c r="AM75" s="287">
        <v>0.62247727620490867</v>
      </c>
      <c r="AN75" s="288">
        <v>0.6240772762049086</v>
      </c>
      <c r="AO75" s="288">
        <v>0.62567727620490865</v>
      </c>
      <c r="AP75" s="288">
        <v>0.62727727620490858</v>
      </c>
      <c r="AQ75" s="288">
        <v>0.62887727620490863</v>
      </c>
      <c r="AR75" s="288">
        <v>0.62987727620490863</v>
      </c>
      <c r="AS75" s="288">
        <v>0.63087727620490863</v>
      </c>
      <c r="AT75" s="288">
        <v>0.63187727620490863</v>
      </c>
      <c r="AU75" s="288">
        <v>0.63287727620490863</v>
      </c>
      <c r="AV75" s="289">
        <v>0.63387727620490864</v>
      </c>
      <c r="AW75" s="287">
        <v>0.63467727620490866</v>
      </c>
      <c r="AX75" s="288">
        <v>0.63547727620490868</v>
      </c>
      <c r="AY75" s="288">
        <v>0.63627727620490859</v>
      </c>
      <c r="AZ75" s="288">
        <v>0.63707727620490862</v>
      </c>
      <c r="BA75" s="288">
        <v>0.63787727620490864</v>
      </c>
      <c r="BB75" s="288">
        <v>0.63847727620490868</v>
      </c>
      <c r="BC75" s="288">
        <v>0.63907727620490862</v>
      </c>
      <c r="BD75" s="288">
        <v>0.63967727620490866</v>
      </c>
      <c r="BE75" s="288">
        <v>0.6402772762049086</v>
      </c>
      <c r="BF75" s="289">
        <v>0.64087727620490864</v>
      </c>
      <c r="BG75" s="289">
        <f t="shared" si="0"/>
        <v>0.64087727620490864</v>
      </c>
      <c r="BH75" s="237"/>
    </row>
    <row r="76" spans="1:60" x14ac:dyDescent="0.2">
      <c r="A76" s="348">
        <v>26</v>
      </c>
      <c r="B76" s="277">
        <v>0.47426084758287596</v>
      </c>
      <c r="C76" s="278">
        <v>0.4808539242686834</v>
      </c>
      <c r="D76" s="278">
        <v>0.48804545712028086</v>
      </c>
      <c r="E76" s="278">
        <v>0.4957395666926549</v>
      </c>
      <c r="F76" s="278">
        <v>0.50271904445761006</v>
      </c>
      <c r="G76" s="278">
        <v>0.50858919739969899</v>
      </c>
      <c r="H76" s="278">
        <v>0.51440699812821156</v>
      </c>
      <c r="I76" s="278">
        <v>0.51988487381227788</v>
      </c>
      <c r="J76" s="279">
        <v>0.52535504666134303</v>
      </c>
      <c r="K76" s="277">
        <v>0.53011228711867864</v>
      </c>
      <c r="L76" s="278">
        <v>0.53379847646320444</v>
      </c>
      <c r="M76" s="278">
        <v>0.53748620699888572</v>
      </c>
      <c r="N76" s="278">
        <v>0.54123511123291046</v>
      </c>
      <c r="O76" s="278">
        <v>0.54498638317836601</v>
      </c>
      <c r="P76" s="278">
        <v>0.5487400249210348</v>
      </c>
      <c r="Q76" s="278">
        <v>0.55249603854915164</v>
      </c>
      <c r="R76" s="278">
        <v>0.55625442615340404</v>
      </c>
      <c r="S76" s="279">
        <v>0.55999848888373227</v>
      </c>
      <c r="T76" s="277">
        <v>0.56371707193946019</v>
      </c>
      <c r="U76" s="278">
        <v>0.56743741702335515</v>
      </c>
      <c r="V76" s="278">
        <v>0.57115952517169899</v>
      </c>
      <c r="W76" s="278">
        <v>0.57488339742159034</v>
      </c>
      <c r="X76" s="278">
        <v>0.57719760837879985</v>
      </c>
      <c r="Y76" s="278">
        <v>0.57915412385737974</v>
      </c>
      <c r="Z76" s="278">
        <v>0.58111170846365034</v>
      </c>
      <c r="AA76" s="278">
        <v>0.58307036282700442</v>
      </c>
      <c r="AB76" s="279">
        <v>0.58503008757732855</v>
      </c>
      <c r="AC76" s="277">
        <v>0.58706344565314106</v>
      </c>
      <c r="AD76" s="278">
        <v>0.58901159496223732</v>
      </c>
      <c r="AE76" s="278">
        <v>0.59096066644944378</v>
      </c>
      <c r="AF76" s="278">
        <v>0.59291066011475946</v>
      </c>
      <c r="AG76" s="278">
        <v>0.59486157595818623</v>
      </c>
      <c r="AH76" s="278">
        <v>0.59705972189573187</v>
      </c>
      <c r="AI76" s="278">
        <v>0.59926027522554581</v>
      </c>
      <c r="AJ76" s="278">
        <v>0.60134306827481843</v>
      </c>
      <c r="AK76" s="278">
        <v>0.60294711654666588</v>
      </c>
      <c r="AL76" s="279">
        <v>0.60455276974669347</v>
      </c>
      <c r="AM76" s="277">
        <v>0.60615276974669352</v>
      </c>
      <c r="AN76" s="278">
        <v>0.60775276974669346</v>
      </c>
      <c r="AO76" s="278">
        <v>0.6093527697466935</v>
      </c>
      <c r="AP76" s="278">
        <v>0.61095276974669344</v>
      </c>
      <c r="AQ76" s="278">
        <v>0.61255276974669348</v>
      </c>
      <c r="AR76" s="278">
        <v>0.61375276974669346</v>
      </c>
      <c r="AS76" s="278">
        <v>0.61495276974669344</v>
      </c>
      <c r="AT76" s="278">
        <v>0.61615276974669353</v>
      </c>
      <c r="AU76" s="278">
        <v>0.61735276974669351</v>
      </c>
      <c r="AV76" s="279">
        <v>0.61855276974669349</v>
      </c>
      <c r="AW76" s="277">
        <v>0.61935276974669351</v>
      </c>
      <c r="AX76" s="278">
        <v>0.62015276974669353</v>
      </c>
      <c r="AY76" s="278">
        <v>0.62095276974669344</v>
      </c>
      <c r="AZ76" s="278">
        <v>0.62175276974669347</v>
      </c>
      <c r="BA76" s="278">
        <v>0.62255276974669349</v>
      </c>
      <c r="BB76" s="278">
        <v>0.62315276974669354</v>
      </c>
      <c r="BC76" s="278">
        <v>0.62375276974669347</v>
      </c>
      <c r="BD76" s="278">
        <v>0.62435276974669351</v>
      </c>
      <c r="BE76" s="278">
        <v>0.62495276974669345</v>
      </c>
      <c r="BF76" s="279">
        <v>0.62555276974669349</v>
      </c>
      <c r="BG76" s="279">
        <f t="shared" si="0"/>
        <v>0.62555276974669349</v>
      </c>
      <c r="BH76" s="237"/>
    </row>
    <row r="77" spans="1:60" x14ac:dyDescent="0.2">
      <c r="A77" s="348">
        <v>27</v>
      </c>
      <c r="B77" s="277">
        <v>0.45857082116854636</v>
      </c>
      <c r="C77" s="278">
        <v>0.46522501818062878</v>
      </c>
      <c r="D77" s="278">
        <v>0.47190574399302948</v>
      </c>
      <c r="E77" s="278">
        <v>0.47905212190044955</v>
      </c>
      <c r="F77" s="278">
        <v>0.48581144952389638</v>
      </c>
      <c r="G77" s="278">
        <v>0.49172441237075892</v>
      </c>
      <c r="H77" s="278">
        <v>0.49758650528127646</v>
      </c>
      <c r="I77" s="278">
        <v>0.50365336079533107</v>
      </c>
      <c r="J77" s="279">
        <v>0.5097591348392041</v>
      </c>
      <c r="K77" s="277">
        <v>0.51507465036905975</v>
      </c>
      <c r="L77" s="278">
        <v>0.51854223517581643</v>
      </c>
      <c r="M77" s="278">
        <v>0.52201123693924156</v>
      </c>
      <c r="N77" s="278">
        <v>0.52554218276714604</v>
      </c>
      <c r="O77" s="278">
        <v>0.52907535902069869</v>
      </c>
      <c r="P77" s="278">
        <v>0.53261076766474247</v>
      </c>
      <c r="Q77" s="278">
        <v>0.53614841066643182</v>
      </c>
      <c r="R77" s="278">
        <v>0.53968828999522978</v>
      </c>
      <c r="S77" s="279">
        <v>0.54321487466186769</v>
      </c>
      <c r="T77" s="277">
        <v>0.54671669677921586</v>
      </c>
      <c r="U77" s="278">
        <v>0.55022018672454831</v>
      </c>
      <c r="V77" s="278">
        <v>0.55372534547874874</v>
      </c>
      <c r="W77" s="278">
        <v>0.55723217402346925</v>
      </c>
      <c r="X77" s="278">
        <v>0.55989628276536851</v>
      </c>
      <c r="Y77" s="278">
        <v>0.56198313573481229</v>
      </c>
      <c r="Z77" s="278">
        <v>0.56407113778464735</v>
      </c>
      <c r="AA77" s="278">
        <v>0.56616028959133302</v>
      </c>
      <c r="AB77" s="279">
        <v>0.56825059183186166</v>
      </c>
      <c r="AC77" s="277">
        <v>0.57041372699672599</v>
      </c>
      <c r="AD77" s="278">
        <v>0.57249420698650211</v>
      </c>
      <c r="AE77" s="278">
        <v>0.57457569238790229</v>
      </c>
      <c r="AF77" s="278">
        <v>0.57665818320092777</v>
      </c>
      <c r="AG77" s="278">
        <v>0.57874167942557853</v>
      </c>
      <c r="AH77" s="278">
        <v>0.58106964538973227</v>
      </c>
      <c r="AI77" s="278">
        <v>0.58340023813832265</v>
      </c>
      <c r="AJ77" s="278">
        <v>0.58573345767134799</v>
      </c>
      <c r="AK77" s="278">
        <v>0.58741496465074861</v>
      </c>
      <c r="AL77" s="279">
        <v>0.58902545825173502</v>
      </c>
      <c r="AM77" s="277">
        <v>0.59062545825173507</v>
      </c>
      <c r="AN77" s="278">
        <v>0.592225458251735</v>
      </c>
      <c r="AO77" s="278">
        <v>0.59382545825173505</v>
      </c>
      <c r="AP77" s="278">
        <v>0.59542545825173498</v>
      </c>
      <c r="AQ77" s="278">
        <v>0.59702545825173503</v>
      </c>
      <c r="AR77" s="278">
        <v>0.59822545825173501</v>
      </c>
      <c r="AS77" s="278">
        <v>0.59942545825173499</v>
      </c>
      <c r="AT77" s="278">
        <v>0.60062545825173508</v>
      </c>
      <c r="AU77" s="278">
        <v>0.60182545825173506</v>
      </c>
      <c r="AV77" s="279">
        <v>0.60302545825173504</v>
      </c>
      <c r="AW77" s="277">
        <v>0.60382545825173506</v>
      </c>
      <c r="AX77" s="278">
        <v>0.60462545825173508</v>
      </c>
      <c r="AY77" s="278">
        <v>0.60542545825173499</v>
      </c>
      <c r="AZ77" s="278">
        <v>0.60622545825173502</v>
      </c>
      <c r="BA77" s="278">
        <v>0.60702545825173504</v>
      </c>
      <c r="BB77" s="278">
        <v>0.60762545825173508</v>
      </c>
      <c r="BC77" s="278">
        <v>0.60822545825173502</v>
      </c>
      <c r="BD77" s="278">
        <v>0.60882545825173506</v>
      </c>
      <c r="BE77" s="278">
        <v>0.609425458251735</v>
      </c>
      <c r="BF77" s="279">
        <v>0.61002545825173504</v>
      </c>
      <c r="BG77" s="279">
        <f t="shared" si="0"/>
        <v>0.61002545825173504</v>
      </c>
      <c r="BH77" s="237"/>
    </row>
    <row r="78" spans="1:60" x14ac:dyDescent="0.2">
      <c r="A78" s="348">
        <v>28</v>
      </c>
      <c r="B78" s="277">
        <v>0.44357701607319427</v>
      </c>
      <c r="C78" s="278">
        <v>0.44908070627049756</v>
      </c>
      <c r="D78" s="278">
        <v>0.45567895759763943</v>
      </c>
      <c r="E78" s="278">
        <v>0.46287416674603887</v>
      </c>
      <c r="F78" s="278">
        <v>0.46974881800057228</v>
      </c>
      <c r="G78" s="278">
        <v>0.47570482015505045</v>
      </c>
      <c r="H78" s="278">
        <v>0.48161134994946003</v>
      </c>
      <c r="I78" s="278">
        <v>0.487719309903139</v>
      </c>
      <c r="J78" s="279">
        <v>0.4938649732795895</v>
      </c>
      <c r="K78" s="277">
        <v>0.49948057438873161</v>
      </c>
      <c r="L78" s="278">
        <v>0.50296800166842526</v>
      </c>
      <c r="M78" s="278">
        <v>0.50645681914246243</v>
      </c>
      <c r="N78" s="278">
        <v>0.51000831188482543</v>
      </c>
      <c r="O78" s="278">
        <v>0.51356204843543751</v>
      </c>
      <c r="P78" s="278">
        <v>0.5171180307709301</v>
      </c>
      <c r="Q78" s="278">
        <v>0.5206762608702612</v>
      </c>
      <c r="R78" s="278">
        <v>0.52423674071471071</v>
      </c>
      <c r="S78" s="279">
        <v>0.52778504998822107</v>
      </c>
      <c r="T78" s="277">
        <v>0.53130937318901872</v>
      </c>
      <c r="U78" s="278">
        <v>0.53483538401897657</v>
      </c>
      <c r="V78" s="278">
        <v>0.53836308347062578</v>
      </c>
      <c r="W78" s="278">
        <v>0.54189247253727058</v>
      </c>
      <c r="X78" s="278">
        <v>0.54486357435243982</v>
      </c>
      <c r="Y78" s="278">
        <v>0.5469616607831852</v>
      </c>
      <c r="Z78" s="278">
        <v>0.54906090929258333</v>
      </c>
      <c r="AA78" s="278">
        <v>0.55116132056474709</v>
      </c>
      <c r="AB78" s="279">
        <v>0.55326289528432671</v>
      </c>
      <c r="AC78" s="277">
        <v>0.55543647490148751</v>
      </c>
      <c r="AD78" s="278">
        <v>0.55752962691428998</v>
      </c>
      <c r="AE78" s="278">
        <v>0.55962380534863732</v>
      </c>
      <c r="AF78" s="278">
        <v>0.56171901020453141</v>
      </c>
      <c r="AG78" s="278">
        <v>0.56381524148197126</v>
      </c>
      <c r="AH78" s="278">
        <v>0.56615311245349687</v>
      </c>
      <c r="AI78" s="278">
        <v>0.56849366696277026</v>
      </c>
      <c r="AJ78" s="278">
        <v>0.57083690500979045</v>
      </c>
      <c r="AK78" s="278">
        <v>0.57267000964847559</v>
      </c>
      <c r="AL78" s="279">
        <v>0.57416298062264071</v>
      </c>
      <c r="AM78" s="277">
        <v>0.57576298062264075</v>
      </c>
      <c r="AN78" s="278">
        <v>0.57736298062264069</v>
      </c>
      <c r="AO78" s="278">
        <v>0.57896298062264073</v>
      </c>
      <c r="AP78" s="278">
        <v>0.58056298062264067</v>
      </c>
      <c r="AQ78" s="278">
        <v>0.58216298062264071</v>
      </c>
      <c r="AR78" s="278">
        <v>0.58336298062264069</v>
      </c>
      <c r="AS78" s="278">
        <v>0.58456298062264067</v>
      </c>
      <c r="AT78" s="278">
        <v>0.58576298062264076</v>
      </c>
      <c r="AU78" s="278">
        <v>0.58696298062264074</v>
      </c>
      <c r="AV78" s="279">
        <v>0.58816298062264072</v>
      </c>
      <c r="AW78" s="277">
        <v>0.58896298062264074</v>
      </c>
      <c r="AX78" s="278">
        <v>0.58976298062264076</v>
      </c>
      <c r="AY78" s="278">
        <v>0.59056298062264068</v>
      </c>
      <c r="AZ78" s="278">
        <v>0.5913629806226407</v>
      </c>
      <c r="BA78" s="278">
        <v>0.59216298062264072</v>
      </c>
      <c r="BB78" s="278">
        <v>0.59276298062264077</v>
      </c>
      <c r="BC78" s="278">
        <v>0.5933629806226407</v>
      </c>
      <c r="BD78" s="278">
        <v>0.59396298062264075</v>
      </c>
      <c r="BE78" s="278">
        <v>0.59456298062264068</v>
      </c>
      <c r="BF78" s="279">
        <v>0.59516298062264072</v>
      </c>
      <c r="BG78" s="279">
        <f t="shared" si="0"/>
        <v>0.59516298062264072</v>
      </c>
      <c r="BH78" s="237"/>
    </row>
    <row r="79" spans="1:60" x14ac:dyDescent="0.2">
      <c r="A79" s="348">
        <v>29</v>
      </c>
      <c r="B79" s="277">
        <v>0.42976684682754401</v>
      </c>
      <c r="C79" s="278">
        <v>0.4353220098591713</v>
      </c>
      <c r="D79" s="278">
        <v>0.44141896383771395</v>
      </c>
      <c r="E79" s="278">
        <v>0.44805362711374891</v>
      </c>
      <c r="F79" s="278">
        <v>0.45475265685822769</v>
      </c>
      <c r="G79" s="278">
        <v>0.46136139249499097</v>
      </c>
      <c r="H79" s="278">
        <v>0.46792156998988066</v>
      </c>
      <c r="I79" s="278">
        <v>0.47343722019092754</v>
      </c>
      <c r="J79" s="279">
        <v>0.47840412305602814</v>
      </c>
      <c r="K79" s="277">
        <v>0.48322662786506304</v>
      </c>
      <c r="L79" s="278">
        <v>0.48673388597971196</v>
      </c>
      <c r="M79" s="278">
        <v>0.49024250653554136</v>
      </c>
      <c r="N79" s="278">
        <v>0.49381429462873283</v>
      </c>
      <c r="O79" s="278">
        <v>0.49738833928519127</v>
      </c>
      <c r="P79" s="278">
        <v>0.50096464249278794</v>
      </c>
      <c r="Q79" s="278">
        <v>0.50454320624172566</v>
      </c>
      <c r="R79" s="278">
        <v>0.50812403252455152</v>
      </c>
      <c r="S79" s="279">
        <v>0.51169380975232837</v>
      </c>
      <c r="T79" s="277">
        <v>0.51524040958965101</v>
      </c>
      <c r="U79" s="278">
        <v>0.51878871668488502</v>
      </c>
      <c r="V79" s="278">
        <v>0.52233873204210246</v>
      </c>
      <c r="W79" s="278">
        <v>0.52589045666616274</v>
      </c>
      <c r="X79" s="278">
        <v>0.52917266246779648</v>
      </c>
      <c r="Y79" s="278">
        <v>0.5312817156314974</v>
      </c>
      <c r="Z79" s="278">
        <v>0.53339194365722364</v>
      </c>
      <c r="AA79" s="278">
        <v>0.53550334723661497</v>
      </c>
      <c r="AB79" s="279">
        <v>0.53761592706185224</v>
      </c>
      <c r="AC79" s="277">
        <v>0.53979944796745649</v>
      </c>
      <c r="AD79" s="278">
        <v>0.54190486521496728</v>
      </c>
      <c r="AE79" s="278">
        <v>0.54401132920833073</v>
      </c>
      <c r="AF79" s="278">
        <v>0.54611883994754495</v>
      </c>
      <c r="AG79" s="278">
        <v>0.54822739743261095</v>
      </c>
      <c r="AH79" s="278">
        <v>0.55057406557324606</v>
      </c>
      <c r="AI79" s="278">
        <v>0.55292347199876701</v>
      </c>
      <c r="AJ79" s="278">
        <v>0.55527561670917502</v>
      </c>
      <c r="AK79" s="278">
        <v>0.55740905665739704</v>
      </c>
      <c r="AL79" s="279">
        <v>0.55902786699039408</v>
      </c>
      <c r="AM79" s="277">
        <v>0.56062786699039413</v>
      </c>
      <c r="AN79" s="278">
        <v>0.56222786699039407</v>
      </c>
      <c r="AO79" s="278">
        <v>0.56382786699039411</v>
      </c>
      <c r="AP79" s="278">
        <v>0.56542786699039405</v>
      </c>
      <c r="AQ79" s="278">
        <v>0.56702786699039409</v>
      </c>
      <c r="AR79" s="278">
        <v>0.56822786699039407</v>
      </c>
      <c r="AS79" s="278">
        <v>0.56942786699039405</v>
      </c>
      <c r="AT79" s="278">
        <v>0.57062786699039414</v>
      </c>
      <c r="AU79" s="278">
        <v>0.57182786699039412</v>
      </c>
      <c r="AV79" s="279">
        <v>0.5730278669903941</v>
      </c>
      <c r="AW79" s="277">
        <v>0.57382786699039412</v>
      </c>
      <c r="AX79" s="278">
        <v>0.57462786699039414</v>
      </c>
      <c r="AY79" s="278">
        <v>0.57542786699039405</v>
      </c>
      <c r="AZ79" s="278">
        <v>0.57622786699039408</v>
      </c>
      <c r="BA79" s="278">
        <v>0.5770278669903941</v>
      </c>
      <c r="BB79" s="278">
        <v>0.57762786699039415</v>
      </c>
      <c r="BC79" s="278">
        <v>0.57822786699039408</v>
      </c>
      <c r="BD79" s="278">
        <v>0.57882786699039412</v>
      </c>
      <c r="BE79" s="278">
        <v>0.57942786699039406</v>
      </c>
      <c r="BF79" s="279">
        <v>0.5800278669903941</v>
      </c>
      <c r="BG79" s="279">
        <f t="shared" si="0"/>
        <v>0.5800278669903941</v>
      </c>
      <c r="BH79" s="237"/>
    </row>
    <row r="80" spans="1:60" ht="13.5" thickBot="1" x14ac:dyDescent="0.25">
      <c r="A80" s="350">
        <v>30</v>
      </c>
      <c r="B80" s="294">
        <v>0.41685344883364728</v>
      </c>
      <c r="C80" s="295">
        <v>0.42122956536469652</v>
      </c>
      <c r="D80" s="295">
        <v>0.42711279095163124</v>
      </c>
      <c r="E80" s="295">
        <v>0.4337925611381539</v>
      </c>
      <c r="F80" s="295">
        <v>0.44041150516258892</v>
      </c>
      <c r="G80" s="295">
        <v>0.44645410092833815</v>
      </c>
      <c r="H80" s="295">
        <v>0.452449740794442</v>
      </c>
      <c r="I80" s="295">
        <v>0.45827219479012021</v>
      </c>
      <c r="J80" s="296">
        <v>0.46388434789801319</v>
      </c>
      <c r="K80" s="294">
        <v>0.46949861014927857</v>
      </c>
      <c r="L80" s="295">
        <v>0.47290343188662876</v>
      </c>
      <c r="M80" s="295">
        <v>0.47630954187389218</v>
      </c>
      <c r="N80" s="295">
        <v>0.47977938337361103</v>
      </c>
      <c r="O80" s="295">
        <v>0.48325141622590118</v>
      </c>
      <c r="P80" s="295">
        <v>0.48672564236118687</v>
      </c>
      <c r="Q80" s="295">
        <v>0.49020206371216019</v>
      </c>
      <c r="R80" s="295">
        <v>0.49368068221378414</v>
      </c>
      <c r="S80" s="296">
        <v>0.49714923363404356</v>
      </c>
      <c r="T80" s="294">
        <v>0.5005952746813882</v>
      </c>
      <c r="U80" s="295">
        <v>0.50404298266656833</v>
      </c>
      <c r="V80" s="295">
        <v>0.50749235856994035</v>
      </c>
      <c r="W80" s="295">
        <v>0.51094340337263566</v>
      </c>
      <c r="X80" s="295">
        <v>0.5144180423551612</v>
      </c>
      <c r="Y80" s="295">
        <v>0.51653825383026941</v>
      </c>
      <c r="Z80" s="295">
        <v>0.51865965292905092</v>
      </c>
      <c r="AA80" s="295">
        <v>0.52078224035065601</v>
      </c>
      <c r="AB80" s="296">
        <v>0.52290601679478466</v>
      </c>
      <c r="AC80" s="294">
        <v>0.52509965613357279</v>
      </c>
      <c r="AD80" s="295">
        <v>0.52721737717181127</v>
      </c>
      <c r="AE80" s="295">
        <v>0.52933616464966604</v>
      </c>
      <c r="AF80" s="295">
        <v>0.5314560185671392</v>
      </c>
      <c r="AG80" s="295">
        <v>0.53357693892422975</v>
      </c>
      <c r="AH80" s="295">
        <v>0.53593246319934429</v>
      </c>
      <c r="AI80" s="295">
        <v>0.53829077863120256</v>
      </c>
      <c r="AJ80" s="295">
        <v>0.54065188521980378</v>
      </c>
      <c r="AK80" s="295">
        <v>0.54301578296514985</v>
      </c>
      <c r="AL80" s="296">
        <v>0.5446382610800663</v>
      </c>
      <c r="AM80" s="294">
        <v>0.54603826108006626</v>
      </c>
      <c r="AN80" s="295">
        <v>0.54743826108006632</v>
      </c>
      <c r="AO80" s="295">
        <v>0.54883826108006628</v>
      </c>
      <c r="AP80" s="295">
        <v>0.55023826108006635</v>
      </c>
      <c r="AQ80" s="295">
        <v>0.55163826108006631</v>
      </c>
      <c r="AR80" s="295">
        <v>0.55291060886405308</v>
      </c>
      <c r="AS80" s="295">
        <v>0.55418295664803985</v>
      </c>
      <c r="AT80" s="295">
        <v>0.55545530443202651</v>
      </c>
      <c r="AU80" s="295">
        <v>0.55672765221601328</v>
      </c>
      <c r="AV80" s="296">
        <v>0.55800000000000005</v>
      </c>
      <c r="AW80" s="294">
        <v>0.55880000000000007</v>
      </c>
      <c r="AX80" s="295">
        <v>0.5596000000000001</v>
      </c>
      <c r="AY80" s="295">
        <v>0.56040000000000001</v>
      </c>
      <c r="AZ80" s="295">
        <v>0.56120000000000003</v>
      </c>
      <c r="BA80" s="295">
        <v>0.56200000000000006</v>
      </c>
      <c r="BB80" s="295">
        <v>0.5626000000000001</v>
      </c>
      <c r="BC80" s="295">
        <v>0.56320000000000003</v>
      </c>
      <c r="BD80" s="295">
        <v>0.56380000000000008</v>
      </c>
      <c r="BE80" s="295">
        <v>0.56440000000000001</v>
      </c>
      <c r="BF80" s="296">
        <v>0.56500000000000006</v>
      </c>
      <c r="BG80" s="296">
        <f t="shared" si="0"/>
        <v>0.56500000000000006</v>
      </c>
      <c r="BH80" s="237"/>
    </row>
    <row r="81" spans="1:60" ht="14.25" thickTop="1" thickBot="1" x14ac:dyDescent="0.25">
      <c r="A81" s="350">
        <f>A80+0.001</f>
        <v>30.001000000000001</v>
      </c>
      <c r="B81" s="294">
        <f>B80</f>
        <v>0.41685344883364728</v>
      </c>
      <c r="C81" s="295">
        <f t="shared" ref="C81:BF81" si="1">C80</f>
        <v>0.42122956536469652</v>
      </c>
      <c r="D81" s="295">
        <f t="shared" si="1"/>
        <v>0.42711279095163124</v>
      </c>
      <c r="E81" s="295">
        <f t="shared" si="1"/>
        <v>0.4337925611381539</v>
      </c>
      <c r="F81" s="295">
        <f t="shared" si="1"/>
        <v>0.44041150516258892</v>
      </c>
      <c r="G81" s="295">
        <f t="shared" si="1"/>
        <v>0.44645410092833815</v>
      </c>
      <c r="H81" s="295">
        <f t="shared" si="1"/>
        <v>0.452449740794442</v>
      </c>
      <c r="I81" s="295">
        <f t="shared" si="1"/>
        <v>0.45827219479012021</v>
      </c>
      <c r="J81" s="296">
        <f t="shared" si="1"/>
        <v>0.46388434789801319</v>
      </c>
      <c r="K81" s="294">
        <f t="shared" si="1"/>
        <v>0.46949861014927857</v>
      </c>
      <c r="L81" s="295">
        <f t="shared" si="1"/>
        <v>0.47290343188662876</v>
      </c>
      <c r="M81" s="295">
        <f t="shared" si="1"/>
        <v>0.47630954187389218</v>
      </c>
      <c r="N81" s="295">
        <f t="shared" si="1"/>
        <v>0.47977938337361103</v>
      </c>
      <c r="O81" s="295">
        <f t="shared" si="1"/>
        <v>0.48325141622590118</v>
      </c>
      <c r="P81" s="295">
        <f t="shared" si="1"/>
        <v>0.48672564236118687</v>
      </c>
      <c r="Q81" s="295">
        <f t="shared" si="1"/>
        <v>0.49020206371216019</v>
      </c>
      <c r="R81" s="295">
        <f t="shared" si="1"/>
        <v>0.49368068221378414</v>
      </c>
      <c r="S81" s="296">
        <f t="shared" si="1"/>
        <v>0.49714923363404356</v>
      </c>
      <c r="T81" s="294">
        <f t="shared" si="1"/>
        <v>0.5005952746813882</v>
      </c>
      <c r="U81" s="295">
        <f t="shared" si="1"/>
        <v>0.50404298266656833</v>
      </c>
      <c r="V81" s="295">
        <f t="shared" si="1"/>
        <v>0.50749235856994035</v>
      </c>
      <c r="W81" s="295">
        <f t="shared" si="1"/>
        <v>0.51094340337263566</v>
      </c>
      <c r="X81" s="295">
        <f t="shared" si="1"/>
        <v>0.5144180423551612</v>
      </c>
      <c r="Y81" s="295">
        <f t="shared" si="1"/>
        <v>0.51653825383026941</v>
      </c>
      <c r="Z81" s="295">
        <f t="shared" si="1"/>
        <v>0.51865965292905092</v>
      </c>
      <c r="AA81" s="295">
        <f t="shared" si="1"/>
        <v>0.52078224035065601</v>
      </c>
      <c r="AB81" s="296">
        <f t="shared" si="1"/>
        <v>0.52290601679478466</v>
      </c>
      <c r="AC81" s="294">
        <f t="shared" si="1"/>
        <v>0.52509965613357279</v>
      </c>
      <c r="AD81" s="295">
        <f t="shared" si="1"/>
        <v>0.52721737717181127</v>
      </c>
      <c r="AE81" s="295">
        <f t="shared" si="1"/>
        <v>0.52933616464966604</v>
      </c>
      <c r="AF81" s="295">
        <f t="shared" si="1"/>
        <v>0.5314560185671392</v>
      </c>
      <c r="AG81" s="295">
        <f t="shared" si="1"/>
        <v>0.53357693892422975</v>
      </c>
      <c r="AH81" s="295">
        <f t="shared" si="1"/>
        <v>0.53593246319934429</v>
      </c>
      <c r="AI81" s="295">
        <f t="shared" si="1"/>
        <v>0.53829077863120256</v>
      </c>
      <c r="AJ81" s="295">
        <f t="shared" si="1"/>
        <v>0.54065188521980378</v>
      </c>
      <c r="AK81" s="295">
        <f t="shared" si="1"/>
        <v>0.54301578296514985</v>
      </c>
      <c r="AL81" s="296">
        <f t="shared" si="1"/>
        <v>0.5446382610800663</v>
      </c>
      <c r="AM81" s="294">
        <f t="shared" si="1"/>
        <v>0.54603826108006626</v>
      </c>
      <c r="AN81" s="295">
        <f t="shared" si="1"/>
        <v>0.54743826108006632</v>
      </c>
      <c r="AO81" s="295">
        <f t="shared" si="1"/>
        <v>0.54883826108006628</v>
      </c>
      <c r="AP81" s="295">
        <f t="shared" si="1"/>
        <v>0.55023826108006635</v>
      </c>
      <c r="AQ81" s="295">
        <f t="shared" si="1"/>
        <v>0.55163826108006631</v>
      </c>
      <c r="AR81" s="295">
        <f t="shared" si="1"/>
        <v>0.55291060886405308</v>
      </c>
      <c r="AS81" s="295">
        <f t="shared" si="1"/>
        <v>0.55418295664803985</v>
      </c>
      <c r="AT81" s="295">
        <f t="shared" si="1"/>
        <v>0.55545530443202651</v>
      </c>
      <c r="AU81" s="295">
        <f t="shared" si="1"/>
        <v>0.55672765221601328</v>
      </c>
      <c r="AV81" s="296">
        <f t="shared" si="1"/>
        <v>0.55800000000000005</v>
      </c>
      <c r="AW81" s="294">
        <f t="shared" si="1"/>
        <v>0.55880000000000007</v>
      </c>
      <c r="AX81" s="295">
        <f t="shared" si="1"/>
        <v>0.5596000000000001</v>
      </c>
      <c r="AY81" s="295">
        <f t="shared" si="1"/>
        <v>0.56040000000000001</v>
      </c>
      <c r="AZ81" s="295">
        <f t="shared" si="1"/>
        <v>0.56120000000000003</v>
      </c>
      <c r="BA81" s="295">
        <f t="shared" si="1"/>
        <v>0.56200000000000006</v>
      </c>
      <c r="BB81" s="295">
        <f t="shared" si="1"/>
        <v>0.5626000000000001</v>
      </c>
      <c r="BC81" s="295">
        <f t="shared" si="1"/>
        <v>0.56320000000000003</v>
      </c>
      <c r="BD81" s="295">
        <f t="shared" si="1"/>
        <v>0.56380000000000008</v>
      </c>
      <c r="BE81" s="295">
        <f t="shared" si="1"/>
        <v>0.56440000000000001</v>
      </c>
      <c r="BF81" s="296">
        <f t="shared" si="1"/>
        <v>0.56500000000000006</v>
      </c>
      <c r="BG81" s="296">
        <f>BF80</f>
        <v>0.56500000000000006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703"/>
      <c r="C84" s="703"/>
      <c r="D84" s="703"/>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8"/>
      <c r="B85" s="699" t="s">
        <v>28</v>
      </c>
      <c r="C85" s="700"/>
      <c r="D85" s="700"/>
      <c r="E85" s="700"/>
      <c r="F85" s="700"/>
      <c r="G85" s="700"/>
      <c r="H85" s="700"/>
      <c r="I85" s="700"/>
      <c r="J85" s="700"/>
      <c r="K85" s="328"/>
      <c r="L85" s="328"/>
      <c r="M85" s="328"/>
      <c r="N85" s="328"/>
      <c r="O85" s="328"/>
      <c r="P85" s="328"/>
      <c r="Q85" s="328"/>
      <c r="R85" s="328"/>
      <c r="S85" s="328"/>
      <c r="T85" s="328"/>
      <c r="U85" s="328"/>
      <c r="V85" s="328"/>
      <c r="W85" s="328"/>
      <c r="X85" s="328"/>
      <c r="Y85" s="328"/>
      <c r="Z85" s="328"/>
      <c r="AA85" s="328"/>
      <c r="AB85" s="328"/>
      <c r="AC85" s="328"/>
      <c r="AD85" s="328"/>
      <c r="AE85" s="328"/>
      <c r="AF85" s="328"/>
      <c r="AG85" s="328"/>
      <c r="AH85" s="328"/>
      <c r="AI85" s="328"/>
      <c r="AJ85" s="328"/>
      <c r="AK85" s="328"/>
      <c r="AL85" s="328"/>
      <c r="AM85" s="328"/>
      <c r="AN85" s="299"/>
    </row>
    <row r="86" spans="1:60" ht="14.25" thickTop="1" thickBot="1" x14ac:dyDescent="0.25">
      <c r="A86" s="351"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2">
        <v>4</v>
      </c>
      <c r="B87" s="304">
        <v>0.92400000000000004</v>
      </c>
      <c r="C87" s="304">
        <v>0.93300000000000005</v>
      </c>
      <c r="D87" s="304">
        <v>0.93966709792000003</v>
      </c>
      <c r="E87" s="304">
        <v>0.94599999999999995</v>
      </c>
      <c r="F87" s="304">
        <v>0.95030426816000002</v>
      </c>
      <c r="G87" s="304">
        <v>0.95428437522999998</v>
      </c>
      <c r="H87" s="304">
        <v>0.95699999999999996</v>
      </c>
      <c r="I87" s="304">
        <v>0.96024864617000005</v>
      </c>
      <c r="J87" s="305">
        <v>0.96245919424000004</v>
      </c>
      <c r="K87" s="304">
        <v>0.96428279791000004</v>
      </c>
      <c r="L87" s="304">
        <v>0.96579878048000001</v>
      </c>
      <c r="M87" s="304">
        <v>0.96699999999999997</v>
      </c>
      <c r="N87" s="304">
        <v>0.96816640192000003</v>
      </c>
      <c r="O87" s="304">
        <v>0.96912060299000014</v>
      </c>
      <c r="P87" s="304">
        <v>0.96997410016000007</v>
      </c>
      <c r="Q87" s="304">
        <v>0.9707555107300001</v>
      </c>
      <c r="R87" s="304">
        <v>0.97199999999999998</v>
      </c>
      <c r="S87" s="305">
        <v>0.97218017767000009</v>
      </c>
      <c r="T87" s="304">
        <v>0.97284699423999998</v>
      </c>
      <c r="U87" s="304">
        <v>0.97349063741000008</v>
      </c>
      <c r="V87" s="304">
        <v>0.9741114284800001</v>
      </c>
      <c r="W87" s="304">
        <v>0.97449999999999992</v>
      </c>
      <c r="X87" s="304">
        <v>0.97527178592000008</v>
      </c>
      <c r="Y87" s="304">
        <v>0.97580073049000005</v>
      </c>
      <c r="Z87" s="304">
        <v>0.97628737216000006</v>
      </c>
      <c r="AA87" s="304">
        <v>0.97672614623000031</v>
      </c>
      <c r="AB87" s="305">
        <v>0.97699999999999998</v>
      </c>
      <c r="AC87" s="304">
        <v>0.97744628917000032</v>
      </c>
      <c r="AD87" s="304">
        <v>0.97772767424000018</v>
      </c>
      <c r="AE87" s="304">
        <v>0.9779630169100002</v>
      </c>
      <c r="AF87" s="304">
        <v>0.97816327648000034</v>
      </c>
      <c r="AG87" s="304">
        <v>0.97849999999999993</v>
      </c>
      <c r="AH87" s="304">
        <v>0.97853324992000024</v>
      </c>
      <c r="AI87" s="304">
        <v>0.9787584379900004</v>
      </c>
      <c r="AJ87" s="304">
        <v>0.97906128416000016</v>
      </c>
      <c r="AK87" s="304">
        <v>0.97949168173000034</v>
      </c>
      <c r="AL87" s="305">
        <v>0.98</v>
      </c>
      <c r="AM87" s="305">
        <f>AL87</f>
        <v>0.98</v>
      </c>
      <c r="AN87" s="299"/>
    </row>
    <row r="88" spans="1:60" x14ac:dyDescent="0.2">
      <c r="A88" s="353">
        <v>5</v>
      </c>
      <c r="B88" s="307">
        <v>0.93100000000000005</v>
      </c>
      <c r="C88" s="307">
        <v>0.94099999999999995</v>
      </c>
      <c r="D88" s="307">
        <v>0.94893626943999998</v>
      </c>
      <c r="E88" s="307">
        <v>0.95599999999999996</v>
      </c>
      <c r="F88" s="307">
        <v>0.96150097151999991</v>
      </c>
      <c r="G88" s="307">
        <v>0.96628436895999992</v>
      </c>
      <c r="H88" s="307">
        <v>0.97</v>
      </c>
      <c r="I88" s="307">
        <v>0.97357423943999999</v>
      </c>
      <c r="J88" s="308">
        <v>0.9763226828799999</v>
      </c>
      <c r="K88" s="307">
        <v>0.97861101551999996</v>
      </c>
      <c r="L88" s="307">
        <v>0.98052588095999993</v>
      </c>
      <c r="M88" s="307">
        <v>0.98199999999999998</v>
      </c>
      <c r="N88" s="307">
        <v>0.98352178943999991</v>
      </c>
      <c r="O88" s="307">
        <v>0.98471873087999995</v>
      </c>
      <c r="P88" s="307">
        <v>0.98577573951999997</v>
      </c>
      <c r="Q88" s="307">
        <v>0.9867272829599999</v>
      </c>
      <c r="R88" s="307">
        <v>0.98799999999999999</v>
      </c>
      <c r="S88" s="308">
        <v>0.98841356943999992</v>
      </c>
      <c r="T88" s="307">
        <v>0.98918157888000002</v>
      </c>
      <c r="U88" s="307">
        <v>0.98991239351999982</v>
      </c>
      <c r="V88" s="307">
        <v>0.99061002495999984</v>
      </c>
      <c r="W88" s="307">
        <v>0.99099999999999999</v>
      </c>
      <c r="X88" s="307">
        <v>0.99190522943999992</v>
      </c>
      <c r="Y88" s="307">
        <v>0.99249687687999988</v>
      </c>
      <c r="Z88" s="307">
        <v>0.99304522751999968</v>
      </c>
      <c r="AA88" s="307">
        <v>0.9935455569599998</v>
      </c>
      <c r="AB88" s="308">
        <v>0.99399999999999999</v>
      </c>
      <c r="AC88" s="307">
        <v>0.99438841944</v>
      </c>
      <c r="AD88" s="307">
        <v>0.99472927487999985</v>
      </c>
      <c r="AE88" s="307">
        <v>0.99502049151999972</v>
      </c>
      <c r="AF88" s="307">
        <v>0.99527032895999956</v>
      </c>
      <c r="AG88" s="307">
        <v>0.99550000000000005</v>
      </c>
      <c r="AH88" s="307">
        <v>0.99570578943999977</v>
      </c>
      <c r="AI88" s="307">
        <v>0.99593742287999987</v>
      </c>
      <c r="AJ88" s="307">
        <v>0.99622143551999964</v>
      </c>
      <c r="AK88" s="307">
        <v>0.99660079095999943</v>
      </c>
      <c r="AL88" s="308">
        <v>0.997</v>
      </c>
      <c r="AM88" s="308">
        <f t="shared" ref="AM88:AM123" si="2">AL88</f>
        <v>0.997</v>
      </c>
      <c r="AN88" s="299"/>
    </row>
    <row r="89" spans="1:60" x14ac:dyDescent="0.2">
      <c r="A89" s="352">
        <v>6</v>
      </c>
      <c r="B89" s="304">
        <v>0.9355</v>
      </c>
      <c r="C89" s="304">
        <v>0.9464999999999999</v>
      </c>
      <c r="D89" s="304">
        <v>0.95510052711999993</v>
      </c>
      <c r="E89" s="304">
        <v>0.96299999999999997</v>
      </c>
      <c r="F89" s="304">
        <v>0.96882788351999993</v>
      </c>
      <c r="G89" s="304">
        <v>0.97407531320499996</v>
      </c>
      <c r="H89" s="304">
        <v>0.97799999999999998</v>
      </c>
      <c r="I89" s="304">
        <v>0.98211400009499994</v>
      </c>
      <c r="J89" s="305">
        <v>0.98516539648000001</v>
      </c>
      <c r="K89" s="304">
        <v>0.98771915354500006</v>
      </c>
      <c r="L89" s="304">
        <v>0.98986812168000005</v>
      </c>
      <c r="M89" s="304">
        <v>0.99149999999999994</v>
      </c>
      <c r="N89" s="304">
        <v>0.99325820032000001</v>
      </c>
      <c r="O89" s="304">
        <v>0.99462298300499996</v>
      </c>
      <c r="P89" s="304">
        <v>0.99583223032000001</v>
      </c>
      <c r="Q89" s="304">
        <v>0.99692249165499991</v>
      </c>
      <c r="R89" s="304">
        <v>0.99849999999999994</v>
      </c>
      <c r="S89" s="305">
        <v>0.99885122654500003</v>
      </c>
      <c r="T89" s="304">
        <v>0.99972463528</v>
      </c>
      <c r="U89" s="304">
        <v>1.0005508375949999</v>
      </c>
      <c r="V89" s="304">
        <v>1.00133394688</v>
      </c>
      <c r="W89" s="304">
        <v>1.001936953125</v>
      </c>
      <c r="X89" s="304">
        <v>1.00277017752</v>
      </c>
      <c r="Y89" s="304">
        <v>1.0034172270549999</v>
      </c>
      <c r="Z89" s="304">
        <v>1.00401094912</v>
      </c>
      <c r="AA89" s="304">
        <v>1.004546886105</v>
      </c>
      <c r="AB89" s="305">
        <v>1.0049999999999999</v>
      </c>
      <c r="AC89" s="304">
        <v>1.005434276995</v>
      </c>
      <c r="AD89" s="304">
        <v>1.0057863820799997</v>
      </c>
      <c r="AE89" s="304">
        <v>1.0060839136449999</v>
      </c>
      <c r="AF89" s="304">
        <v>1.0063377080799998</v>
      </c>
      <c r="AG89" s="304">
        <v>1.00675</v>
      </c>
      <c r="AH89" s="304">
        <v>1.0067879987199997</v>
      </c>
      <c r="AI89" s="304">
        <v>1.0070395991049996</v>
      </c>
      <c r="AJ89" s="304">
        <v>1.0073595799199997</v>
      </c>
      <c r="AK89" s="304">
        <v>1.0077979365549998</v>
      </c>
      <c r="AL89" s="305">
        <v>1.0085</v>
      </c>
      <c r="AM89" s="305">
        <f t="shared" si="2"/>
        <v>1.0085</v>
      </c>
      <c r="AN89" s="299"/>
    </row>
    <row r="90" spans="1:60" x14ac:dyDescent="0.2">
      <c r="A90" s="352">
        <v>7</v>
      </c>
      <c r="B90" s="304">
        <v>0.94</v>
      </c>
      <c r="C90" s="304">
        <v>0.95199999999999996</v>
      </c>
      <c r="D90" s="304">
        <v>0.96126478479999999</v>
      </c>
      <c r="E90" s="304">
        <v>0.97</v>
      </c>
      <c r="F90" s="304">
        <v>0.97615479552000006</v>
      </c>
      <c r="G90" s="304">
        <v>0.98186625745</v>
      </c>
      <c r="H90" s="304">
        <v>0.98599999999999999</v>
      </c>
      <c r="I90" s="304">
        <v>0.99065376075</v>
      </c>
      <c r="J90" s="305">
        <v>0.99400811008000001</v>
      </c>
      <c r="K90" s="304">
        <v>0.99682729157000005</v>
      </c>
      <c r="L90" s="304">
        <v>0.99921036240000005</v>
      </c>
      <c r="M90" s="304">
        <v>1.0009999999999999</v>
      </c>
      <c r="N90" s="304">
        <v>1.0029946112000001</v>
      </c>
      <c r="O90" s="304">
        <v>1.0045272351300001</v>
      </c>
      <c r="P90" s="304">
        <v>1.0058887211200001</v>
      </c>
      <c r="Q90" s="304">
        <v>1.00711770035</v>
      </c>
      <c r="R90" s="304">
        <v>1.0089999999999999</v>
      </c>
      <c r="S90" s="305">
        <v>1.00928888365</v>
      </c>
      <c r="T90" s="304">
        <v>1.01026769168</v>
      </c>
      <c r="U90" s="304">
        <v>1.0111892816699999</v>
      </c>
      <c r="V90" s="304">
        <v>1.0120578687999999</v>
      </c>
      <c r="W90" s="304">
        <v>1.0128739062500001</v>
      </c>
      <c r="X90" s="304">
        <v>1.0136351256</v>
      </c>
      <c r="Y90" s="304">
        <v>1.0143375772300001</v>
      </c>
      <c r="Z90" s="304">
        <v>1.0149766707200003</v>
      </c>
      <c r="AA90" s="304">
        <v>1.0155482152499999</v>
      </c>
      <c r="AB90" s="305">
        <v>1.016</v>
      </c>
      <c r="AC90" s="304">
        <v>1.0164801345499999</v>
      </c>
      <c r="AD90" s="304">
        <v>1.0168434892799998</v>
      </c>
      <c r="AE90" s="304">
        <v>1.01714733577</v>
      </c>
      <c r="AF90" s="304">
        <v>1.0174050871999998</v>
      </c>
      <c r="AG90" s="304">
        <v>1.018</v>
      </c>
      <c r="AH90" s="304">
        <v>1.0178702079999997</v>
      </c>
      <c r="AI90" s="304">
        <v>1.0181417753299995</v>
      </c>
      <c r="AJ90" s="304">
        <v>1.01849772432</v>
      </c>
      <c r="AK90" s="304">
        <v>1.01899508215</v>
      </c>
      <c r="AL90" s="305">
        <v>1.02</v>
      </c>
      <c r="AM90" s="305">
        <f t="shared" si="2"/>
        <v>1.02</v>
      </c>
      <c r="AN90" s="299"/>
    </row>
    <row r="91" spans="1:60" x14ac:dyDescent="0.2">
      <c r="A91" s="352">
        <v>8</v>
      </c>
      <c r="B91" s="304">
        <v>0.94233333333333325</v>
      </c>
      <c r="C91" s="304">
        <v>0.95466666666666666</v>
      </c>
      <c r="D91" s="304">
        <v>0.96439916085333333</v>
      </c>
      <c r="E91" s="304">
        <v>0.97333333333333327</v>
      </c>
      <c r="F91" s="304">
        <v>0.98004376789333336</v>
      </c>
      <c r="G91" s="304">
        <v>0.98608243594333334</v>
      </c>
      <c r="H91" s="304">
        <v>0.9906666666666667</v>
      </c>
      <c r="I91" s="304">
        <v>0.99543104120333337</v>
      </c>
      <c r="J91" s="305">
        <v>0.99902274005333336</v>
      </c>
      <c r="K91" s="304">
        <v>1.00205308161</v>
      </c>
      <c r="L91" s="304">
        <v>1.0046232606933334</v>
      </c>
      <c r="M91" s="304">
        <v>1.0066666666666666</v>
      </c>
      <c r="N91" s="304">
        <v>1.00871859072</v>
      </c>
      <c r="O91" s="304">
        <v>1.0103798269033335</v>
      </c>
      <c r="P91" s="304">
        <v>1.0118550814933334</v>
      </c>
      <c r="Q91" s="304">
        <v>1.01318527611</v>
      </c>
      <c r="R91" s="304">
        <v>1.0149999999999999</v>
      </c>
      <c r="S91" s="305">
        <v>1.0155299819033334</v>
      </c>
      <c r="T91" s="304">
        <v>1.0165851619199999</v>
      </c>
      <c r="U91" s="304">
        <v>1.0175786300433332</v>
      </c>
      <c r="V91" s="304">
        <v>1.0185161646933332</v>
      </c>
      <c r="W91" s="304">
        <v>1.0192492708333334</v>
      </c>
      <c r="X91" s="304">
        <v>1.0202274872533335</v>
      </c>
      <c r="Y91" s="304">
        <v>1.0209967876033332</v>
      </c>
      <c r="Z91" s="304">
        <v>1.0217031897600002</v>
      </c>
      <c r="AA91" s="304">
        <v>1.0223424589433332</v>
      </c>
      <c r="AB91" s="305">
        <v>1.0229999999999999</v>
      </c>
      <c r="AC91" s="304">
        <v>1.0234087292699998</v>
      </c>
      <c r="AD91" s="304">
        <v>1.0238363464533331</v>
      </c>
      <c r="AE91" s="304">
        <v>1.0242000731433334</v>
      </c>
      <c r="AF91" s="304">
        <v>1.0245107913599998</v>
      </c>
      <c r="AG91" s="304">
        <v>1.0249999999999999</v>
      </c>
      <c r="AH91" s="304">
        <v>1.0250479304533331</v>
      </c>
      <c r="AI91" s="304">
        <v>1.0253303309699995</v>
      </c>
      <c r="AJ91" s="304">
        <v>1.0256736926933334</v>
      </c>
      <c r="AK91" s="304">
        <v>1.0261291444433334</v>
      </c>
      <c r="AL91" s="305">
        <v>1.0269999999999999</v>
      </c>
      <c r="AM91" s="305">
        <f t="shared" si="2"/>
        <v>1.0269999999999999</v>
      </c>
      <c r="AN91" s="299"/>
    </row>
    <row r="92" spans="1:60" x14ac:dyDescent="0.2">
      <c r="A92" s="352">
        <v>9</v>
      </c>
      <c r="B92" s="304">
        <v>0.94466666666666665</v>
      </c>
      <c r="C92" s="304">
        <v>0.95733333333333326</v>
      </c>
      <c r="D92" s="304">
        <v>0.96753353690666666</v>
      </c>
      <c r="E92" s="304">
        <v>0.97666666666666668</v>
      </c>
      <c r="F92" s="304">
        <v>0.98393274026666666</v>
      </c>
      <c r="G92" s="304">
        <v>0.99029861443666667</v>
      </c>
      <c r="H92" s="304">
        <v>0.99533333333333329</v>
      </c>
      <c r="I92" s="304">
        <v>1.0002083216566668</v>
      </c>
      <c r="J92" s="305">
        <v>1.0040373700266667</v>
      </c>
      <c r="K92" s="304">
        <v>1.0072788716500001</v>
      </c>
      <c r="L92" s="304">
        <v>1.0100361589866667</v>
      </c>
      <c r="M92" s="304">
        <v>1.0123333333333333</v>
      </c>
      <c r="N92" s="304">
        <v>1.01444257024</v>
      </c>
      <c r="O92" s="304">
        <v>1.0162324186766667</v>
      </c>
      <c r="P92" s="304">
        <v>1.0178214418666667</v>
      </c>
      <c r="Q92" s="304">
        <v>1.0192528518700001</v>
      </c>
      <c r="R92" s="304">
        <v>1.0209999999999999</v>
      </c>
      <c r="S92" s="305">
        <v>1.0217710801566666</v>
      </c>
      <c r="T92" s="304">
        <v>1.0229026321600001</v>
      </c>
      <c r="U92" s="304">
        <v>1.0239679784166666</v>
      </c>
      <c r="V92" s="304">
        <v>1.0249744605866666</v>
      </c>
      <c r="W92" s="304">
        <v>1.0256246354166667</v>
      </c>
      <c r="X92" s="304">
        <v>1.0268198489066667</v>
      </c>
      <c r="Y92" s="304">
        <v>1.0276559979766666</v>
      </c>
      <c r="Z92" s="304">
        <v>1.0284297088000001</v>
      </c>
      <c r="AA92" s="304">
        <v>1.0291367026366667</v>
      </c>
      <c r="AB92" s="305">
        <v>1.03</v>
      </c>
      <c r="AC92" s="304">
        <v>1.0303373239899998</v>
      </c>
      <c r="AD92" s="304">
        <v>1.0308292036266666</v>
      </c>
      <c r="AE92" s="304">
        <v>1.0312528105166667</v>
      </c>
      <c r="AF92" s="304">
        <v>1.03161649552</v>
      </c>
      <c r="AG92" s="304">
        <v>1.032</v>
      </c>
      <c r="AH92" s="304">
        <v>1.0322256529066667</v>
      </c>
      <c r="AI92" s="304">
        <v>1.0325188866099997</v>
      </c>
      <c r="AJ92" s="304">
        <v>1.0328496610666671</v>
      </c>
      <c r="AK92" s="304">
        <v>1.0332632067366667</v>
      </c>
      <c r="AL92" s="305">
        <v>1.034</v>
      </c>
      <c r="AM92" s="305">
        <f t="shared" si="2"/>
        <v>1.034</v>
      </c>
      <c r="AN92" s="299"/>
    </row>
    <row r="93" spans="1:60" x14ac:dyDescent="0.2">
      <c r="A93" s="353">
        <v>10</v>
      </c>
      <c r="B93" s="307">
        <v>0.94699999999999995</v>
      </c>
      <c r="C93" s="307">
        <v>0.96</v>
      </c>
      <c r="D93" s="307">
        <v>0.97066791295999999</v>
      </c>
      <c r="E93" s="307">
        <v>0.98</v>
      </c>
      <c r="F93" s="307">
        <v>0.98782171263999996</v>
      </c>
      <c r="G93" s="307">
        <v>0.99451479293</v>
      </c>
      <c r="H93" s="307">
        <v>1</v>
      </c>
      <c r="I93" s="307">
        <v>1.0049856021100001</v>
      </c>
      <c r="J93" s="308">
        <v>1.0090520000000001</v>
      </c>
      <c r="K93" s="307">
        <v>1.01250466169</v>
      </c>
      <c r="L93" s="307">
        <v>1.0154490572799999</v>
      </c>
      <c r="M93" s="307">
        <v>1.018</v>
      </c>
      <c r="N93" s="307">
        <v>1.0201665497599999</v>
      </c>
      <c r="O93" s="307">
        <v>1.0220850104500001</v>
      </c>
      <c r="P93" s="307">
        <v>1.02378780224</v>
      </c>
      <c r="Q93" s="307">
        <v>1.0253204276300001</v>
      </c>
      <c r="R93" s="307">
        <v>1.0269999999999999</v>
      </c>
      <c r="S93" s="308">
        <v>1.02801217841</v>
      </c>
      <c r="T93" s="307">
        <v>1.0292201024000001</v>
      </c>
      <c r="U93" s="307">
        <v>1.0303573267899999</v>
      </c>
      <c r="V93" s="307">
        <v>1.0314327564799999</v>
      </c>
      <c r="W93" s="307">
        <v>1.032</v>
      </c>
      <c r="X93" s="307">
        <v>1.0334122105600001</v>
      </c>
      <c r="Y93" s="307">
        <v>1.0343152083499998</v>
      </c>
      <c r="Z93" s="307">
        <v>1.0351562278399999</v>
      </c>
      <c r="AA93" s="307">
        <v>1.0359309463299999</v>
      </c>
      <c r="AB93" s="308">
        <v>1.0369999999999999</v>
      </c>
      <c r="AC93" s="307">
        <v>1.0372659187099997</v>
      </c>
      <c r="AD93" s="307">
        <v>1.0378220607999999</v>
      </c>
      <c r="AE93" s="307">
        <v>1.0383055478900001</v>
      </c>
      <c r="AF93" s="307">
        <v>1.03872219968</v>
      </c>
      <c r="AG93" s="307">
        <v>1.0389999999999999</v>
      </c>
      <c r="AH93" s="307">
        <v>1.03940337536</v>
      </c>
      <c r="AI93" s="307">
        <v>1.0397074422499997</v>
      </c>
      <c r="AJ93" s="307">
        <v>1.0400256294400005</v>
      </c>
      <c r="AK93" s="307">
        <v>1.0403972690300001</v>
      </c>
      <c r="AL93" s="308">
        <v>1.0409999999999999</v>
      </c>
      <c r="AM93" s="308">
        <f t="shared" si="2"/>
        <v>1.0409999999999999</v>
      </c>
      <c r="AN93" s="299"/>
    </row>
    <row r="94" spans="1:60" x14ac:dyDescent="0.2">
      <c r="A94" s="352">
        <v>11</v>
      </c>
      <c r="B94" s="304">
        <v>0.94819999999999993</v>
      </c>
      <c r="C94" s="304">
        <v>0.96139999999999992</v>
      </c>
      <c r="D94" s="304">
        <v>0.97229229443200005</v>
      </c>
      <c r="E94" s="304">
        <v>0.98180000000000001</v>
      </c>
      <c r="F94" s="304">
        <v>0.98992655616000003</v>
      </c>
      <c r="G94" s="304">
        <v>0.99677711238400002</v>
      </c>
      <c r="H94" s="304">
        <v>1.0022</v>
      </c>
      <c r="I94" s="304">
        <v>1.007460716892</v>
      </c>
      <c r="J94" s="305">
        <v>1.011601997056</v>
      </c>
      <c r="K94" s="304">
        <v>1.0151186826800001</v>
      </c>
      <c r="L94" s="304">
        <v>1.018121896224</v>
      </c>
      <c r="M94" s="304">
        <v>1.0207999999999999</v>
      </c>
      <c r="N94" s="304">
        <v>1.022957130752</v>
      </c>
      <c r="O94" s="304">
        <v>1.0249393467360002</v>
      </c>
      <c r="P94" s="304">
        <v>1.0267106248</v>
      </c>
      <c r="Q94" s="304">
        <v>1.0283164699640002</v>
      </c>
      <c r="R94" s="304">
        <v>1.0302</v>
      </c>
      <c r="S94" s="305">
        <v>1.031165417512</v>
      </c>
      <c r="T94" s="304">
        <v>1.0324542820160001</v>
      </c>
      <c r="U94" s="304">
        <v>1.0336713820199999</v>
      </c>
      <c r="V94" s="304">
        <v>1.0348234071039999</v>
      </c>
      <c r="W94" s="304">
        <v>1.0354000000000001</v>
      </c>
      <c r="X94" s="304">
        <v>1.0369373286720001</v>
      </c>
      <c r="Y94" s="304">
        <v>1.0378941583959997</v>
      </c>
      <c r="Z94" s="304">
        <v>1.0387779238399999</v>
      </c>
      <c r="AA94" s="304">
        <v>1.0395833011439999</v>
      </c>
      <c r="AB94" s="305">
        <v>1.0406</v>
      </c>
      <c r="AC94" s="304">
        <v>1.0409427357319998</v>
      </c>
      <c r="AD94" s="304">
        <v>1.041494501376</v>
      </c>
      <c r="AE94" s="304">
        <v>1.04196543976</v>
      </c>
      <c r="AF94" s="304">
        <v>1.0423650155840001</v>
      </c>
      <c r="AG94" s="304">
        <v>1.0427</v>
      </c>
      <c r="AH94" s="304">
        <v>1.0430198801920001</v>
      </c>
      <c r="AI94" s="304">
        <v>1.0433292564559997</v>
      </c>
      <c r="AJ94" s="304">
        <v>1.0436775892800005</v>
      </c>
      <c r="AK94" s="304">
        <v>1.044115933924</v>
      </c>
      <c r="AL94" s="305">
        <v>1.0448</v>
      </c>
      <c r="AM94" s="305">
        <f t="shared" si="2"/>
        <v>1.0448</v>
      </c>
      <c r="AN94" s="299"/>
    </row>
    <row r="95" spans="1:60" x14ac:dyDescent="0.2">
      <c r="A95" s="352">
        <v>12</v>
      </c>
      <c r="B95" s="304">
        <v>0.94939999999999991</v>
      </c>
      <c r="C95" s="304">
        <v>0.96279999999999999</v>
      </c>
      <c r="D95" s="304">
        <v>0.973916675904</v>
      </c>
      <c r="E95" s="304">
        <v>0.98360000000000003</v>
      </c>
      <c r="F95" s="304">
        <v>0.99203139967999998</v>
      </c>
      <c r="G95" s="304">
        <v>0.99903943183800004</v>
      </c>
      <c r="H95" s="304">
        <v>1.0044</v>
      </c>
      <c r="I95" s="304">
        <v>1.0099358316740001</v>
      </c>
      <c r="J95" s="305">
        <v>1.0141519941120001</v>
      </c>
      <c r="K95" s="304">
        <v>1.0177327036700001</v>
      </c>
      <c r="L95" s="304">
        <v>1.020794735168</v>
      </c>
      <c r="M95" s="304">
        <v>1.0236000000000001</v>
      </c>
      <c r="N95" s="304">
        <v>1.0257477117439999</v>
      </c>
      <c r="O95" s="304">
        <v>1.027793683022</v>
      </c>
      <c r="P95" s="304">
        <v>1.02963344736</v>
      </c>
      <c r="Q95" s="304">
        <v>1.0313125122980003</v>
      </c>
      <c r="R95" s="304">
        <v>1.0333999999999999</v>
      </c>
      <c r="S95" s="305">
        <v>1.0343186566139999</v>
      </c>
      <c r="T95" s="304">
        <v>1.0356884616320001</v>
      </c>
      <c r="U95" s="304">
        <v>1.0369854372499998</v>
      </c>
      <c r="V95" s="304">
        <v>1.0382140577279999</v>
      </c>
      <c r="W95" s="304">
        <v>1.0387999999999999</v>
      </c>
      <c r="X95" s="304">
        <v>1.040462446784</v>
      </c>
      <c r="Y95" s="304">
        <v>1.0414731084419999</v>
      </c>
      <c r="Z95" s="304">
        <v>1.0423996198399998</v>
      </c>
      <c r="AA95" s="304">
        <v>1.0432356559579998</v>
      </c>
      <c r="AB95" s="305">
        <v>1.0442</v>
      </c>
      <c r="AC95" s="304">
        <v>1.0446195527539999</v>
      </c>
      <c r="AD95" s="304">
        <v>1.045166941952</v>
      </c>
      <c r="AE95" s="304">
        <v>1.0456253316300002</v>
      </c>
      <c r="AF95" s="304">
        <v>1.0460078314879999</v>
      </c>
      <c r="AG95" s="304">
        <v>1.0464</v>
      </c>
      <c r="AH95" s="304">
        <v>1.0466363850240001</v>
      </c>
      <c r="AI95" s="304">
        <v>1.046951070662</v>
      </c>
      <c r="AJ95" s="304">
        <v>1.0473295491200005</v>
      </c>
      <c r="AK95" s="304">
        <v>1.047834598818</v>
      </c>
      <c r="AL95" s="305">
        <v>1.0486</v>
      </c>
      <c r="AM95" s="305">
        <f t="shared" si="2"/>
        <v>1.0486</v>
      </c>
      <c r="AN95" s="299"/>
    </row>
    <row r="96" spans="1:60" x14ac:dyDescent="0.2">
      <c r="A96" s="352">
        <v>13</v>
      </c>
      <c r="B96" s="304">
        <v>0.9506</v>
      </c>
      <c r="C96" s="304">
        <v>0.96419999999999995</v>
      </c>
      <c r="D96" s="304">
        <v>0.97554105737600005</v>
      </c>
      <c r="E96" s="304">
        <v>0.98539999999999994</v>
      </c>
      <c r="F96" s="304">
        <v>0.99413624320000005</v>
      </c>
      <c r="G96" s="304">
        <v>1.0013017512919999</v>
      </c>
      <c r="H96" s="304">
        <v>1.0065999999999999</v>
      </c>
      <c r="I96" s="304">
        <v>1.012410946456</v>
      </c>
      <c r="J96" s="305">
        <v>1.016701991168</v>
      </c>
      <c r="K96" s="304">
        <v>1.02034672466</v>
      </c>
      <c r="L96" s="304">
        <v>1.0234675741119998</v>
      </c>
      <c r="M96" s="304">
        <v>1.0264</v>
      </c>
      <c r="N96" s="304">
        <v>1.0285382927360001</v>
      </c>
      <c r="O96" s="304">
        <v>1.0306480193080001</v>
      </c>
      <c r="P96" s="304">
        <v>1.0325562699200002</v>
      </c>
      <c r="Q96" s="304">
        <v>1.0343085546320001</v>
      </c>
      <c r="R96" s="304">
        <v>1.0366</v>
      </c>
      <c r="S96" s="305">
        <v>1.0374718957160001</v>
      </c>
      <c r="T96" s="304">
        <v>1.0389226412479999</v>
      </c>
      <c r="U96" s="304">
        <v>1.04029949248</v>
      </c>
      <c r="V96" s="304">
        <v>1.0416047083519999</v>
      </c>
      <c r="W96" s="304">
        <v>1.0422</v>
      </c>
      <c r="X96" s="304">
        <v>1.043987564896</v>
      </c>
      <c r="Y96" s="304">
        <v>1.0450520584879999</v>
      </c>
      <c r="Z96" s="304">
        <v>1.04602131584</v>
      </c>
      <c r="AA96" s="304">
        <v>1.046888010772</v>
      </c>
      <c r="AB96" s="305">
        <v>1.0477999999999998</v>
      </c>
      <c r="AC96" s="304">
        <v>1.0482963697760002</v>
      </c>
      <c r="AD96" s="304">
        <v>1.048839382528</v>
      </c>
      <c r="AE96" s="304">
        <v>1.0492852235000001</v>
      </c>
      <c r="AF96" s="304">
        <v>1.049650647392</v>
      </c>
      <c r="AG96" s="304">
        <v>1.0501</v>
      </c>
      <c r="AH96" s="304">
        <v>1.050252889856</v>
      </c>
      <c r="AI96" s="304">
        <v>1.050572884868</v>
      </c>
      <c r="AJ96" s="304">
        <v>1.0509815089600005</v>
      </c>
      <c r="AK96" s="304">
        <v>1.051553263712</v>
      </c>
      <c r="AL96" s="305">
        <v>1.0524</v>
      </c>
      <c r="AM96" s="305">
        <f t="shared" si="2"/>
        <v>1.0524</v>
      </c>
      <c r="AN96" s="299"/>
    </row>
    <row r="97" spans="1:40" x14ac:dyDescent="0.2">
      <c r="A97" s="352">
        <v>14</v>
      </c>
      <c r="B97" s="304">
        <v>0.95179999999999998</v>
      </c>
      <c r="C97" s="304">
        <v>0.96560000000000001</v>
      </c>
      <c r="D97" s="304">
        <v>0.977165438848</v>
      </c>
      <c r="E97" s="304">
        <v>0.98719999999999997</v>
      </c>
      <c r="F97" s="304">
        <v>0.99624108672</v>
      </c>
      <c r="G97" s="304">
        <v>1.0035640707460001</v>
      </c>
      <c r="H97" s="304">
        <v>1.0087999999999999</v>
      </c>
      <c r="I97" s="304">
        <v>1.0148860612380002</v>
      </c>
      <c r="J97" s="305">
        <v>1.0192519882240001</v>
      </c>
      <c r="K97" s="304">
        <v>1.0229607456500001</v>
      </c>
      <c r="L97" s="304">
        <v>1.0261404130559999</v>
      </c>
      <c r="M97" s="304">
        <v>1.0292000000000001</v>
      </c>
      <c r="N97" s="304">
        <v>1.031328873728</v>
      </c>
      <c r="O97" s="304">
        <v>1.0335023555939999</v>
      </c>
      <c r="P97" s="304">
        <v>1.0354790924800001</v>
      </c>
      <c r="Q97" s="304">
        <v>1.0373045969660002</v>
      </c>
      <c r="R97" s="304">
        <v>1.0397999999999998</v>
      </c>
      <c r="S97" s="305">
        <v>1.040625134818</v>
      </c>
      <c r="T97" s="304">
        <v>1.042156820864</v>
      </c>
      <c r="U97" s="304">
        <v>1.0436135477099999</v>
      </c>
      <c r="V97" s="304">
        <v>1.0449953589759999</v>
      </c>
      <c r="W97" s="304">
        <v>1.0455999999999999</v>
      </c>
      <c r="X97" s="304">
        <v>1.0475126830079999</v>
      </c>
      <c r="Y97" s="304">
        <v>1.048631008534</v>
      </c>
      <c r="Z97" s="304">
        <v>1.04964301184</v>
      </c>
      <c r="AA97" s="304">
        <v>1.0505403655859999</v>
      </c>
      <c r="AB97" s="305">
        <v>1.0513999999999999</v>
      </c>
      <c r="AC97" s="304">
        <v>1.0519731867980002</v>
      </c>
      <c r="AD97" s="304">
        <v>1.052511823104</v>
      </c>
      <c r="AE97" s="304">
        <v>1.0529451153700002</v>
      </c>
      <c r="AF97" s="304">
        <v>1.0532934632959998</v>
      </c>
      <c r="AG97" s="304">
        <v>1.0538000000000001</v>
      </c>
      <c r="AH97" s="304">
        <v>1.053869394688</v>
      </c>
      <c r="AI97" s="304">
        <v>1.0541946990740003</v>
      </c>
      <c r="AJ97" s="304">
        <v>1.0546334688000005</v>
      </c>
      <c r="AK97" s="304">
        <v>1.0552719286059999</v>
      </c>
      <c r="AL97" s="305">
        <v>1.0562</v>
      </c>
      <c r="AM97" s="305">
        <f t="shared" si="2"/>
        <v>1.0562</v>
      </c>
      <c r="AN97" s="299"/>
    </row>
    <row r="98" spans="1:40" x14ac:dyDescent="0.2">
      <c r="A98" s="353">
        <v>15</v>
      </c>
      <c r="B98" s="307">
        <v>0.95299999999999996</v>
      </c>
      <c r="C98" s="307">
        <v>0.96699999999999997</v>
      </c>
      <c r="D98" s="307">
        <v>0.97878982032000006</v>
      </c>
      <c r="E98" s="307">
        <v>0.98899999999999999</v>
      </c>
      <c r="F98" s="307">
        <v>0.99834593024000007</v>
      </c>
      <c r="G98" s="307">
        <v>1.0058263902</v>
      </c>
      <c r="H98" s="307">
        <v>1.0109999999999999</v>
      </c>
      <c r="I98" s="307">
        <v>1.0173611760200001</v>
      </c>
      <c r="J98" s="308">
        <v>1.02180198528</v>
      </c>
      <c r="K98" s="307">
        <v>1.0255747666400001</v>
      </c>
      <c r="L98" s="307">
        <v>1.028813252</v>
      </c>
      <c r="M98" s="307">
        <v>1.032</v>
      </c>
      <c r="N98" s="307">
        <v>1.0341194547200001</v>
      </c>
      <c r="O98" s="307">
        <v>1.03635669188</v>
      </c>
      <c r="P98" s="307">
        <v>1.0384019150400001</v>
      </c>
      <c r="Q98" s="307">
        <v>1.0403006393000003</v>
      </c>
      <c r="R98" s="307">
        <v>1.0429999999999999</v>
      </c>
      <c r="S98" s="308">
        <v>1.0437783739199999</v>
      </c>
      <c r="T98" s="307">
        <v>1.04539100048</v>
      </c>
      <c r="U98" s="307">
        <v>1.0469276029399999</v>
      </c>
      <c r="V98" s="307">
        <v>1.0483860095999999</v>
      </c>
      <c r="W98" s="307">
        <v>1.0489999999999999</v>
      </c>
      <c r="X98" s="307">
        <v>1.0510378011199999</v>
      </c>
      <c r="Y98" s="307">
        <v>1.05220995858</v>
      </c>
      <c r="Z98" s="307">
        <v>1.0532647078399999</v>
      </c>
      <c r="AA98" s="307">
        <v>1.0541927203999999</v>
      </c>
      <c r="AB98" s="308">
        <v>1.0549999999999999</v>
      </c>
      <c r="AC98" s="307">
        <v>1.0556500038200003</v>
      </c>
      <c r="AD98" s="307">
        <v>1.0561842636800001</v>
      </c>
      <c r="AE98" s="307">
        <v>1.0566050072400002</v>
      </c>
      <c r="AF98" s="307">
        <v>1.0569362791999999</v>
      </c>
      <c r="AG98" s="307">
        <v>1.0575000000000001</v>
      </c>
      <c r="AH98" s="307">
        <v>1.05748589952</v>
      </c>
      <c r="AI98" s="307">
        <v>1.0578165132800004</v>
      </c>
      <c r="AJ98" s="307">
        <v>1.0582854286400005</v>
      </c>
      <c r="AK98" s="307">
        <v>1.0589905934999999</v>
      </c>
      <c r="AL98" s="308">
        <v>1.06</v>
      </c>
      <c r="AM98" s="308">
        <f t="shared" si="2"/>
        <v>1.06</v>
      </c>
      <c r="AN98" s="299"/>
    </row>
    <row r="99" spans="1:40" x14ac:dyDescent="0.2">
      <c r="A99" s="352">
        <v>16</v>
      </c>
      <c r="B99" s="304">
        <v>0.9536</v>
      </c>
      <c r="C99" s="304">
        <v>0.96760000000000002</v>
      </c>
      <c r="D99" s="304">
        <v>0.97963170288000001</v>
      </c>
      <c r="E99" s="304">
        <v>0.99</v>
      </c>
      <c r="F99" s="304">
        <v>0.99943025088000004</v>
      </c>
      <c r="G99" s="304">
        <v>1.0070341300800001</v>
      </c>
      <c r="H99" s="304">
        <v>1.0124</v>
      </c>
      <c r="I99" s="304">
        <v>1.01880859698</v>
      </c>
      <c r="J99" s="305">
        <v>1.02336230208</v>
      </c>
      <c r="K99" s="304">
        <v>1.0272417310800002</v>
      </c>
      <c r="L99" s="304">
        <v>1.03057982448</v>
      </c>
      <c r="M99" s="304">
        <v>1.0338000000000001</v>
      </c>
      <c r="N99" s="304">
        <v>1.0360624300800001</v>
      </c>
      <c r="O99" s="304">
        <v>1.0383762568799999</v>
      </c>
      <c r="P99" s="304">
        <v>1.0404905572800001</v>
      </c>
      <c r="Q99" s="304">
        <v>1.0424512453800001</v>
      </c>
      <c r="R99" s="304">
        <v>1.0451999999999999</v>
      </c>
      <c r="S99" s="305">
        <v>1.0460338546799999</v>
      </c>
      <c r="T99" s="304">
        <v>1.0476907876799999</v>
      </c>
      <c r="U99" s="304">
        <v>1.04926731198</v>
      </c>
      <c r="V99" s="304">
        <v>1.0507620652799998</v>
      </c>
      <c r="W99" s="304">
        <v>1.0513999999999999</v>
      </c>
      <c r="X99" s="304">
        <v>1.0534789732799998</v>
      </c>
      <c r="Y99" s="304">
        <v>1.0546813369800001</v>
      </c>
      <c r="Z99" s="304">
        <v>1.05576552768</v>
      </c>
      <c r="AA99" s="304">
        <v>1.0567226566799999</v>
      </c>
      <c r="AB99" s="305">
        <v>1.0575999999999999</v>
      </c>
      <c r="AC99" s="304">
        <v>1.0582380883800002</v>
      </c>
      <c r="AD99" s="304">
        <v>1.0588012972800001</v>
      </c>
      <c r="AE99" s="304">
        <v>1.0592504368800002</v>
      </c>
      <c r="AF99" s="304">
        <v>1.0596088420799998</v>
      </c>
      <c r="AG99" s="304">
        <v>1.0602</v>
      </c>
      <c r="AH99" s="304">
        <v>1.0602044524800001</v>
      </c>
      <c r="AI99" s="304">
        <v>1.0605507610800002</v>
      </c>
      <c r="AJ99" s="304">
        <v>1.0610277220800004</v>
      </c>
      <c r="AK99" s="304">
        <v>1.0617306439800001</v>
      </c>
      <c r="AL99" s="305">
        <v>1.0628</v>
      </c>
      <c r="AM99" s="305">
        <f t="shared" si="2"/>
        <v>1.0628</v>
      </c>
      <c r="AN99" s="299"/>
    </row>
    <row r="100" spans="1:40" x14ac:dyDescent="0.2">
      <c r="A100" s="352">
        <v>17</v>
      </c>
      <c r="B100" s="304">
        <v>0.95419999999999994</v>
      </c>
      <c r="C100" s="304">
        <v>0.96819999999999995</v>
      </c>
      <c r="D100" s="304">
        <v>0.98047358543999996</v>
      </c>
      <c r="E100" s="304">
        <v>0.99099999999999999</v>
      </c>
      <c r="F100" s="304">
        <v>1.0005145715200001</v>
      </c>
      <c r="G100" s="304">
        <v>1.00824186996</v>
      </c>
      <c r="H100" s="304">
        <v>1.0138</v>
      </c>
      <c r="I100" s="304">
        <v>1.02025601794</v>
      </c>
      <c r="J100" s="305">
        <v>1.02492261888</v>
      </c>
      <c r="K100" s="304">
        <v>1.02890869552</v>
      </c>
      <c r="L100" s="304">
        <v>1.03234639696</v>
      </c>
      <c r="M100" s="304">
        <v>1.0356000000000001</v>
      </c>
      <c r="N100" s="304">
        <v>1.0380054054400001</v>
      </c>
      <c r="O100" s="304">
        <v>1.04039582188</v>
      </c>
      <c r="P100" s="304">
        <v>1.04257919952</v>
      </c>
      <c r="Q100" s="304">
        <v>1.0446018514600002</v>
      </c>
      <c r="R100" s="304">
        <v>1.0473999999999999</v>
      </c>
      <c r="S100" s="305">
        <v>1.04828933544</v>
      </c>
      <c r="T100" s="304">
        <v>1.04999057488</v>
      </c>
      <c r="U100" s="304">
        <v>1.0516070210199999</v>
      </c>
      <c r="V100" s="304">
        <v>1.0531381209599999</v>
      </c>
      <c r="W100" s="304">
        <v>1.0537999999999998</v>
      </c>
      <c r="X100" s="304">
        <v>1.0559201454399998</v>
      </c>
      <c r="Y100" s="304">
        <v>1.0571527153800002</v>
      </c>
      <c r="Z100" s="304">
        <v>1.05826634752</v>
      </c>
      <c r="AA100" s="304">
        <v>1.0592525929599999</v>
      </c>
      <c r="AB100" s="305">
        <v>1.0602</v>
      </c>
      <c r="AC100" s="304">
        <v>1.0608261729400001</v>
      </c>
      <c r="AD100" s="304">
        <v>1.06141833088</v>
      </c>
      <c r="AE100" s="304">
        <v>1.06189586652</v>
      </c>
      <c r="AF100" s="304">
        <v>1.0622814049599998</v>
      </c>
      <c r="AG100" s="304">
        <v>1.0629000000000002</v>
      </c>
      <c r="AH100" s="304">
        <v>1.0629230054400001</v>
      </c>
      <c r="AI100" s="304">
        <v>1.0632850088800001</v>
      </c>
      <c r="AJ100" s="304">
        <v>1.0637700155200005</v>
      </c>
      <c r="AK100" s="304">
        <v>1.0644706944600002</v>
      </c>
      <c r="AL100" s="305">
        <v>1.0656000000000001</v>
      </c>
      <c r="AM100" s="305">
        <f t="shared" si="2"/>
        <v>1.0656000000000001</v>
      </c>
      <c r="AN100" s="299"/>
    </row>
    <row r="101" spans="1:40" x14ac:dyDescent="0.2">
      <c r="A101" s="352">
        <v>18</v>
      </c>
      <c r="B101" s="304">
        <v>0.95479999999999998</v>
      </c>
      <c r="C101" s="304">
        <v>0.96879999999999999</v>
      </c>
      <c r="D101" s="304">
        <v>0.98131546800000002</v>
      </c>
      <c r="E101" s="304">
        <v>0.99199999999999999</v>
      </c>
      <c r="F101" s="304">
        <v>1.0015988921600001</v>
      </c>
      <c r="G101" s="304">
        <v>1.0094496098400001</v>
      </c>
      <c r="H101" s="304">
        <v>1.0151999999999999</v>
      </c>
      <c r="I101" s="304">
        <v>1.0217034389000001</v>
      </c>
      <c r="J101" s="305">
        <v>1.0264829356799998</v>
      </c>
      <c r="K101" s="304">
        <v>1.03057565996</v>
      </c>
      <c r="L101" s="304">
        <v>1.03411296944</v>
      </c>
      <c r="M101" s="304">
        <v>1.0373999999999999</v>
      </c>
      <c r="N101" s="304">
        <v>1.0399483808000001</v>
      </c>
      <c r="O101" s="304">
        <v>1.0424153868799999</v>
      </c>
      <c r="P101" s="304">
        <v>1.0446678417600002</v>
      </c>
      <c r="Q101" s="304">
        <v>1.04675245754</v>
      </c>
      <c r="R101" s="304">
        <v>1.0496000000000001</v>
      </c>
      <c r="S101" s="305">
        <v>1.0505448162</v>
      </c>
      <c r="T101" s="304">
        <v>1.0522903620799999</v>
      </c>
      <c r="U101" s="304">
        <v>1.0539467300600001</v>
      </c>
      <c r="V101" s="304">
        <v>1.0555141766399998</v>
      </c>
      <c r="W101" s="304">
        <v>1.0562</v>
      </c>
      <c r="X101" s="304">
        <v>1.0583613176</v>
      </c>
      <c r="Y101" s="304">
        <v>1.0596240937800001</v>
      </c>
      <c r="Z101" s="304">
        <v>1.0607671673599999</v>
      </c>
      <c r="AA101" s="304">
        <v>1.0617825292400001</v>
      </c>
      <c r="AB101" s="305">
        <v>1.0628</v>
      </c>
      <c r="AC101" s="304">
        <v>1.0634142575000003</v>
      </c>
      <c r="AD101" s="304">
        <v>1.06403536448</v>
      </c>
      <c r="AE101" s="304">
        <v>1.06454129616</v>
      </c>
      <c r="AF101" s="304">
        <v>1.0649539678399997</v>
      </c>
      <c r="AG101" s="304">
        <v>1.0656000000000001</v>
      </c>
      <c r="AH101" s="304">
        <v>1.0656415584000003</v>
      </c>
      <c r="AI101" s="304">
        <v>1.0660192566799997</v>
      </c>
      <c r="AJ101" s="304">
        <v>1.0665123089600004</v>
      </c>
      <c r="AK101" s="304">
        <v>1.0672107449400001</v>
      </c>
      <c r="AL101" s="305">
        <v>1.0684</v>
      </c>
      <c r="AM101" s="305">
        <f t="shared" si="2"/>
        <v>1.0684</v>
      </c>
      <c r="AN101" s="299"/>
    </row>
    <row r="102" spans="1:40" x14ac:dyDescent="0.2">
      <c r="A102" s="352">
        <v>19</v>
      </c>
      <c r="B102" s="304">
        <v>0.95539999999999992</v>
      </c>
      <c r="C102" s="304">
        <v>0.96939999999999993</v>
      </c>
      <c r="D102" s="304">
        <v>0.98215735055999998</v>
      </c>
      <c r="E102" s="304">
        <v>0.99299999999999999</v>
      </c>
      <c r="F102" s="304">
        <v>1.0026832128000001</v>
      </c>
      <c r="G102" s="304">
        <v>1.01065734972</v>
      </c>
      <c r="H102" s="304">
        <v>1.0165999999999999</v>
      </c>
      <c r="I102" s="304">
        <v>1.0231508598600001</v>
      </c>
      <c r="J102" s="305">
        <v>1.0280432524799998</v>
      </c>
      <c r="K102" s="304">
        <v>1.0322426243999998</v>
      </c>
      <c r="L102" s="304">
        <v>1.03587954192</v>
      </c>
      <c r="M102" s="304">
        <v>1.0391999999999999</v>
      </c>
      <c r="N102" s="304">
        <v>1.0418913561600001</v>
      </c>
      <c r="O102" s="304">
        <v>1.04443495188</v>
      </c>
      <c r="P102" s="304">
        <v>1.0467564840000001</v>
      </c>
      <c r="Q102" s="304">
        <v>1.0489030636200001</v>
      </c>
      <c r="R102" s="304">
        <v>1.0518000000000001</v>
      </c>
      <c r="S102" s="305">
        <v>1.0528002969600001</v>
      </c>
      <c r="T102" s="304">
        <v>1.0545901492800001</v>
      </c>
      <c r="U102" s="304">
        <v>1.0562864391</v>
      </c>
      <c r="V102" s="304">
        <v>1.0578902323199999</v>
      </c>
      <c r="W102" s="304">
        <v>1.0586</v>
      </c>
      <c r="X102" s="304">
        <v>1.0608024897599999</v>
      </c>
      <c r="Y102" s="304">
        <v>1.0620954721800002</v>
      </c>
      <c r="Z102" s="304">
        <v>1.0632679871999999</v>
      </c>
      <c r="AA102" s="304">
        <v>1.06431246552</v>
      </c>
      <c r="AB102" s="305">
        <v>1.0654000000000001</v>
      </c>
      <c r="AC102" s="304">
        <v>1.0660023420600002</v>
      </c>
      <c r="AD102" s="304">
        <v>1.06665239808</v>
      </c>
      <c r="AE102" s="304">
        <v>1.0671867257999998</v>
      </c>
      <c r="AF102" s="304">
        <v>1.0676265307199997</v>
      </c>
      <c r="AG102" s="304">
        <v>1.0683000000000002</v>
      </c>
      <c r="AH102" s="304">
        <v>1.0683601113600003</v>
      </c>
      <c r="AI102" s="304">
        <v>1.0687535044799996</v>
      </c>
      <c r="AJ102" s="304">
        <v>1.0692546024000005</v>
      </c>
      <c r="AK102" s="304">
        <v>1.0699507954200003</v>
      </c>
      <c r="AL102" s="305">
        <v>1.0712000000000002</v>
      </c>
      <c r="AM102" s="305">
        <f t="shared" si="2"/>
        <v>1.0712000000000002</v>
      </c>
      <c r="AN102" s="299"/>
    </row>
    <row r="103" spans="1:40" x14ac:dyDescent="0.2">
      <c r="A103" s="353">
        <v>20</v>
      </c>
      <c r="B103" s="307">
        <v>0.95599999999999996</v>
      </c>
      <c r="C103" s="307">
        <v>0.97</v>
      </c>
      <c r="D103" s="307">
        <v>0.98299923311999993</v>
      </c>
      <c r="E103" s="307">
        <v>0.99399999999999999</v>
      </c>
      <c r="F103" s="307">
        <v>1.00376753344</v>
      </c>
      <c r="G103" s="307">
        <v>1.0118650896000001</v>
      </c>
      <c r="H103" s="307">
        <v>1.018</v>
      </c>
      <c r="I103" s="307">
        <v>1.02459828082</v>
      </c>
      <c r="J103" s="308">
        <v>1.0296035692799999</v>
      </c>
      <c r="K103" s="307">
        <v>1.0339095888399998</v>
      </c>
      <c r="L103" s="307">
        <v>1.0376461144</v>
      </c>
      <c r="M103" s="307">
        <v>1.0409999999999999</v>
      </c>
      <c r="N103" s="307">
        <v>1.04383433152</v>
      </c>
      <c r="O103" s="307">
        <v>1.0464545168799999</v>
      </c>
      <c r="P103" s="307">
        <v>1.04884512624</v>
      </c>
      <c r="Q103" s="307">
        <v>1.0510536696999999</v>
      </c>
      <c r="R103" s="307">
        <v>1.054</v>
      </c>
      <c r="S103" s="308">
        <v>1.05505577772</v>
      </c>
      <c r="T103" s="307">
        <v>1.05688993648</v>
      </c>
      <c r="U103" s="307">
        <v>1.0586261481400001</v>
      </c>
      <c r="V103" s="307">
        <v>1.0602662879999998</v>
      </c>
      <c r="W103" s="307">
        <v>1.0609999999999999</v>
      </c>
      <c r="X103" s="307">
        <v>1.0632436619199999</v>
      </c>
      <c r="Y103" s="307">
        <v>1.0645668505800003</v>
      </c>
      <c r="Z103" s="307">
        <v>1.06576880704</v>
      </c>
      <c r="AA103" s="307">
        <v>1.0668424018</v>
      </c>
      <c r="AB103" s="308">
        <v>1.0680000000000001</v>
      </c>
      <c r="AC103" s="307">
        <v>1.0685904266200001</v>
      </c>
      <c r="AD103" s="307">
        <v>1.06926943168</v>
      </c>
      <c r="AE103" s="307">
        <v>1.0698321554399999</v>
      </c>
      <c r="AF103" s="307">
        <v>1.0702990935999996</v>
      </c>
      <c r="AG103" s="307">
        <v>1.0710000000000002</v>
      </c>
      <c r="AH103" s="307">
        <v>1.0710786643200003</v>
      </c>
      <c r="AI103" s="307">
        <v>1.0714877522799995</v>
      </c>
      <c r="AJ103" s="307">
        <v>1.0719968958400004</v>
      </c>
      <c r="AK103" s="307">
        <v>1.0726908459000004</v>
      </c>
      <c r="AL103" s="308">
        <v>1.0740000000000001</v>
      </c>
      <c r="AM103" s="308">
        <f t="shared" si="2"/>
        <v>1.0740000000000001</v>
      </c>
      <c r="AN103" s="299"/>
    </row>
    <row r="104" spans="1:40" x14ac:dyDescent="0.2">
      <c r="A104" s="352">
        <v>21</v>
      </c>
      <c r="B104" s="304">
        <v>0.95629999999999993</v>
      </c>
      <c r="C104" s="304">
        <v>0.97039999999999993</v>
      </c>
      <c r="D104" s="304">
        <v>0.98340803588799997</v>
      </c>
      <c r="E104" s="304">
        <v>0.99439999999999995</v>
      </c>
      <c r="F104" s="304">
        <v>1.004275092032</v>
      </c>
      <c r="G104" s="304">
        <v>1.0124161529140001</v>
      </c>
      <c r="H104" s="304">
        <v>1.0185999999999999</v>
      </c>
      <c r="I104" s="304">
        <v>1.0252280751080001</v>
      </c>
      <c r="J104" s="305">
        <v>1.0302696899199999</v>
      </c>
      <c r="K104" s="304">
        <v>1.0346105968219999</v>
      </c>
      <c r="L104" s="304">
        <v>1.038380909744</v>
      </c>
      <c r="M104" s="304">
        <v>1.0417999999999998</v>
      </c>
      <c r="N104" s="304">
        <v>1.0446343921280001</v>
      </c>
      <c r="O104" s="304">
        <v>1.04728638473</v>
      </c>
      <c r="P104" s="304">
        <v>1.0497083713120001</v>
      </c>
      <c r="Q104" s="304">
        <v>1.0519478861239999</v>
      </c>
      <c r="R104" s="304">
        <v>1.0548999999999999</v>
      </c>
      <c r="S104" s="305">
        <v>1.056010591198</v>
      </c>
      <c r="T104" s="304">
        <v>1.0578742162399999</v>
      </c>
      <c r="U104" s="304">
        <v>1.059639180752</v>
      </c>
      <c r="V104" s="304">
        <v>1.0613072103039998</v>
      </c>
      <c r="W104" s="304">
        <v>1.0620499999999999</v>
      </c>
      <c r="X104" s="304">
        <v>1.0643370915679999</v>
      </c>
      <c r="Y104" s="304">
        <v>1.0656845317000003</v>
      </c>
      <c r="Z104" s="304">
        <v>1.066909155392</v>
      </c>
      <c r="AA104" s="304">
        <v>1.068003650534</v>
      </c>
      <c r="AB104" s="305">
        <v>1.0692000000000002</v>
      </c>
      <c r="AC104" s="304">
        <v>1.0697875024880001</v>
      </c>
      <c r="AD104" s="304">
        <v>1.0704811433599999</v>
      </c>
      <c r="AE104" s="304">
        <v>1.0710561654819999</v>
      </c>
      <c r="AF104" s="304">
        <v>1.0715329900639996</v>
      </c>
      <c r="AG104" s="304">
        <v>1.0722000000000003</v>
      </c>
      <c r="AH104" s="304">
        <v>1.0723249982080003</v>
      </c>
      <c r="AI104" s="304">
        <v>1.0727367034699995</v>
      </c>
      <c r="AJ104" s="304">
        <v>1.0732501962720002</v>
      </c>
      <c r="AK104" s="304">
        <v>1.0739384021440004</v>
      </c>
      <c r="AL104" s="305">
        <v>1.0752000000000002</v>
      </c>
      <c r="AM104" s="305">
        <f t="shared" si="2"/>
        <v>1.0752000000000002</v>
      </c>
      <c r="AN104" s="299"/>
    </row>
    <row r="105" spans="1:40" x14ac:dyDescent="0.2">
      <c r="A105" s="352">
        <v>22</v>
      </c>
      <c r="B105" s="304">
        <v>0.95660000000000001</v>
      </c>
      <c r="C105" s="304">
        <v>0.9708</v>
      </c>
      <c r="D105" s="304">
        <v>0.983816838656</v>
      </c>
      <c r="E105" s="304">
        <v>0.99480000000000002</v>
      </c>
      <c r="F105" s="304">
        <v>1.0047826506240001</v>
      </c>
      <c r="G105" s="304">
        <v>1.0129672162280001</v>
      </c>
      <c r="H105" s="304">
        <v>1.0191999999999999</v>
      </c>
      <c r="I105" s="304">
        <v>1.0258578693960001</v>
      </c>
      <c r="J105" s="305">
        <v>1.0309358105599999</v>
      </c>
      <c r="K105" s="304">
        <v>1.0353116048039999</v>
      </c>
      <c r="L105" s="304">
        <v>1.039115705088</v>
      </c>
      <c r="M105" s="304">
        <v>1.0426</v>
      </c>
      <c r="N105" s="304">
        <v>1.045434452736</v>
      </c>
      <c r="O105" s="304">
        <v>1.0481182525799999</v>
      </c>
      <c r="P105" s="304">
        <v>1.050571616384</v>
      </c>
      <c r="Q105" s="304">
        <v>1.0528421025479999</v>
      </c>
      <c r="R105" s="304">
        <v>1.0558000000000001</v>
      </c>
      <c r="S105" s="305">
        <v>1.056965404676</v>
      </c>
      <c r="T105" s="304">
        <v>1.058858496</v>
      </c>
      <c r="U105" s="304">
        <v>1.0606522133640002</v>
      </c>
      <c r="V105" s="304">
        <v>1.0623481326079998</v>
      </c>
      <c r="W105" s="304">
        <v>1.0630999999999999</v>
      </c>
      <c r="X105" s="304">
        <v>1.0654305212159998</v>
      </c>
      <c r="Y105" s="304">
        <v>1.0668022128200003</v>
      </c>
      <c r="Z105" s="304">
        <v>1.0680495037439999</v>
      </c>
      <c r="AA105" s="304">
        <v>1.0691648992679998</v>
      </c>
      <c r="AB105" s="305">
        <v>1.0704</v>
      </c>
      <c r="AC105" s="304">
        <v>1.0709845783560001</v>
      </c>
      <c r="AD105" s="304">
        <v>1.07169285504</v>
      </c>
      <c r="AE105" s="304">
        <v>1.0722801755239999</v>
      </c>
      <c r="AF105" s="304">
        <v>1.0727668865279996</v>
      </c>
      <c r="AG105" s="304">
        <v>1.0734000000000001</v>
      </c>
      <c r="AH105" s="304">
        <v>1.0735713320960001</v>
      </c>
      <c r="AI105" s="304">
        <v>1.0739856546599995</v>
      </c>
      <c r="AJ105" s="304">
        <v>1.0745034967040001</v>
      </c>
      <c r="AK105" s="304">
        <v>1.0751859583880004</v>
      </c>
      <c r="AL105" s="305">
        <v>1.0764</v>
      </c>
      <c r="AM105" s="305">
        <f t="shared" si="2"/>
        <v>1.0764</v>
      </c>
      <c r="AN105" s="299"/>
    </row>
    <row r="106" spans="1:40" x14ac:dyDescent="0.2">
      <c r="A106" s="352">
        <v>23</v>
      </c>
      <c r="B106" s="304">
        <v>0.95689999999999997</v>
      </c>
      <c r="C106" s="304">
        <v>0.97119999999999995</v>
      </c>
      <c r="D106" s="304">
        <v>0.98422564142399993</v>
      </c>
      <c r="E106" s="304">
        <v>0.99519999999999997</v>
      </c>
      <c r="F106" s="304">
        <v>1.0052902092160001</v>
      </c>
      <c r="G106" s="304">
        <v>1.0135182795420001</v>
      </c>
      <c r="H106" s="304">
        <v>1.0198</v>
      </c>
      <c r="I106" s="304">
        <v>1.0264876636840001</v>
      </c>
      <c r="J106" s="305">
        <v>1.0316019312</v>
      </c>
      <c r="K106" s="304">
        <v>1.0360126127859999</v>
      </c>
      <c r="L106" s="304">
        <v>1.039850500432</v>
      </c>
      <c r="M106" s="304">
        <v>1.0433999999999999</v>
      </c>
      <c r="N106" s="304">
        <v>1.0462345133440001</v>
      </c>
      <c r="O106" s="304">
        <v>1.04895012043</v>
      </c>
      <c r="P106" s="304">
        <v>1.0514348614560001</v>
      </c>
      <c r="Q106" s="304">
        <v>1.0537363189719999</v>
      </c>
      <c r="R106" s="304">
        <v>1.0567</v>
      </c>
      <c r="S106" s="305">
        <v>1.0579202181539999</v>
      </c>
      <c r="T106" s="304">
        <v>1.05984277576</v>
      </c>
      <c r="U106" s="304">
        <v>1.0616652459760001</v>
      </c>
      <c r="V106" s="304">
        <v>1.063389054912</v>
      </c>
      <c r="W106" s="304">
        <v>1.0641499999999999</v>
      </c>
      <c r="X106" s="304">
        <v>1.0665239508639999</v>
      </c>
      <c r="Y106" s="304">
        <v>1.0679198939400001</v>
      </c>
      <c r="Z106" s="304">
        <v>1.0691898520959999</v>
      </c>
      <c r="AA106" s="304">
        <v>1.0703261480019999</v>
      </c>
      <c r="AB106" s="305">
        <v>1.0716000000000001</v>
      </c>
      <c r="AC106" s="304">
        <v>1.0721816542239999</v>
      </c>
      <c r="AD106" s="304">
        <v>1.0729045667199999</v>
      </c>
      <c r="AE106" s="304">
        <v>1.0735041855659999</v>
      </c>
      <c r="AF106" s="304">
        <v>1.0740007829919997</v>
      </c>
      <c r="AG106" s="304">
        <v>1.0746000000000002</v>
      </c>
      <c r="AH106" s="304">
        <v>1.0748176659840001</v>
      </c>
      <c r="AI106" s="304">
        <v>1.0752346058499995</v>
      </c>
      <c r="AJ106" s="304">
        <v>1.075756797136</v>
      </c>
      <c r="AK106" s="304">
        <v>1.0764335146320001</v>
      </c>
      <c r="AL106" s="305">
        <v>1.0776000000000001</v>
      </c>
      <c r="AM106" s="305">
        <f t="shared" si="2"/>
        <v>1.0776000000000001</v>
      </c>
      <c r="AN106" s="299"/>
    </row>
    <row r="107" spans="1:40" x14ac:dyDescent="0.2">
      <c r="A107" s="352">
        <v>24</v>
      </c>
      <c r="B107" s="304">
        <v>0.95720000000000005</v>
      </c>
      <c r="C107" s="304">
        <v>0.97160000000000002</v>
      </c>
      <c r="D107" s="304">
        <v>0.98463444419199997</v>
      </c>
      <c r="E107" s="304">
        <v>0.99560000000000004</v>
      </c>
      <c r="F107" s="304">
        <v>1.0057977678080001</v>
      </c>
      <c r="G107" s="304">
        <v>1.0140693428560001</v>
      </c>
      <c r="H107" s="304">
        <v>1.0204</v>
      </c>
      <c r="I107" s="304">
        <v>1.0271174579720002</v>
      </c>
      <c r="J107" s="305">
        <v>1.03226805184</v>
      </c>
      <c r="K107" s="304">
        <v>1.0367136207679999</v>
      </c>
      <c r="L107" s="304">
        <v>1.040585295776</v>
      </c>
      <c r="M107" s="304">
        <v>1.0442</v>
      </c>
      <c r="N107" s="304">
        <v>1.0470345739519999</v>
      </c>
      <c r="O107" s="304">
        <v>1.0497819882799999</v>
      </c>
      <c r="P107" s="304">
        <v>1.0522981065279999</v>
      </c>
      <c r="Q107" s="304">
        <v>1.0546305353959999</v>
      </c>
      <c r="R107" s="304">
        <v>1.0576000000000001</v>
      </c>
      <c r="S107" s="305">
        <v>1.0588750316319999</v>
      </c>
      <c r="T107" s="304">
        <v>1.0608270555200001</v>
      </c>
      <c r="U107" s="304">
        <v>1.0626782785880002</v>
      </c>
      <c r="V107" s="304">
        <v>1.064429977216</v>
      </c>
      <c r="W107" s="304">
        <v>1.0651999999999999</v>
      </c>
      <c r="X107" s="304">
        <v>1.0676173805119997</v>
      </c>
      <c r="Y107" s="304">
        <v>1.0690375750600001</v>
      </c>
      <c r="Z107" s="304">
        <v>1.0703302004479998</v>
      </c>
      <c r="AA107" s="304">
        <v>1.0714873967359997</v>
      </c>
      <c r="AB107" s="305">
        <v>1.0728</v>
      </c>
      <c r="AC107" s="304">
        <v>1.0733787300919999</v>
      </c>
      <c r="AD107" s="304">
        <v>1.0741162784</v>
      </c>
      <c r="AE107" s="304">
        <v>1.0747281956079999</v>
      </c>
      <c r="AF107" s="304">
        <v>1.0752346794559997</v>
      </c>
      <c r="AG107" s="304">
        <v>1.0758000000000001</v>
      </c>
      <c r="AH107" s="304">
        <v>1.0760639998719999</v>
      </c>
      <c r="AI107" s="304">
        <v>1.0764835570399995</v>
      </c>
      <c r="AJ107" s="304">
        <v>1.0770100975679999</v>
      </c>
      <c r="AK107" s="304">
        <v>1.0776810708760001</v>
      </c>
      <c r="AL107" s="305">
        <v>1.0788</v>
      </c>
      <c r="AM107" s="305">
        <f t="shared" si="2"/>
        <v>1.0788</v>
      </c>
      <c r="AN107" s="299"/>
    </row>
    <row r="108" spans="1:40" x14ac:dyDescent="0.2">
      <c r="A108" s="353">
        <v>25</v>
      </c>
      <c r="B108" s="307">
        <v>0.95750000000000002</v>
      </c>
      <c r="C108" s="307">
        <v>0.97199999999999998</v>
      </c>
      <c r="D108" s="307">
        <v>0.98504324696000001</v>
      </c>
      <c r="E108" s="307">
        <v>0.996</v>
      </c>
      <c r="F108" s="307">
        <v>1.0063053264000001</v>
      </c>
      <c r="G108" s="307">
        <v>1.0146204061700002</v>
      </c>
      <c r="H108" s="307">
        <v>1.0209999999999999</v>
      </c>
      <c r="I108" s="307">
        <v>1.0277472522600002</v>
      </c>
      <c r="J108" s="308">
        <v>1.0329341724800001</v>
      </c>
      <c r="K108" s="307">
        <v>1.0374146287499999</v>
      </c>
      <c r="L108" s="307">
        <v>1.04132009112</v>
      </c>
      <c r="M108" s="307">
        <v>1.0449999999999999</v>
      </c>
      <c r="N108" s="307">
        <v>1.04783463456</v>
      </c>
      <c r="O108" s="307">
        <v>1.05061385613</v>
      </c>
      <c r="P108" s="307">
        <v>1.0531613516</v>
      </c>
      <c r="Q108" s="307">
        <v>1.0555247518199999</v>
      </c>
      <c r="R108" s="307">
        <v>1.0585</v>
      </c>
      <c r="S108" s="308">
        <v>1.0598298451099999</v>
      </c>
      <c r="T108" s="307">
        <v>1.06181133528</v>
      </c>
      <c r="U108" s="307">
        <v>1.0636913112000002</v>
      </c>
      <c r="V108" s="307">
        <v>1.06547089952</v>
      </c>
      <c r="W108" s="307">
        <v>1.0662499999999999</v>
      </c>
      <c r="X108" s="307">
        <v>1.0687108101599998</v>
      </c>
      <c r="Y108" s="307">
        <v>1.0701552561800001</v>
      </c>
      <c r="Z108" s="307">
        <v>1.0714705487999998</v>
      </c>
      <c r="AA108" s="307">
        <v>1.0726486454699997</v>
      </c>
      <c r="AB108" s="308">
        <v>1.0740000000000001</v>
      </c>
      <c r="AC108" s="307">
        <v>1.0745758059599999</v>
      </c>
      <c r="AD108" s="307">
        <v>1.0753279900799999</v>
      </c>
      <c r="AE108" s="307">
        <v>1.0759522056499999</v>
      </c>
      <c r="AF108" s="307">
        <v>1.0764685759199997</v>
      </c>
      <c r="AG108" s="307">
        <v>1.0770000000000002</v>
      </c>
      <c r="AH108" s="307">
        <v>1.0773103337599998</v>
      </c>
      <c r="AI108" s="307">
        <v>1.0777325082299996</v>
      </c>
      <c r="AJ108" s="307">
        <v>1.0782633979999998</v>
      </c>
      <c r="AK108" s="307">
        <v>1.07892862712</v>
      </c>
      <c r="AL108" s="308">
        <v>1.08</v>
      </c>
      <c r="AM108" s="308">
        <f t="shared" si="2"/>
        <v>1.08</v>
      </c>
      <c r="AN108" s="299"/>
    </row>
    <row r="109" spans="1:40" x14ac:dyDescent="0.2">
      <c r="A109" s="352">
        <v>26</v>
      </c>
      <c r="B109" s="304">
        <v>0.95779999999999998</v>
      </c>
      <c r="C109" s="304">
        <v>0.97239999999999993</v>
      </c>
      <c r="D109" s="304">
        <v>0.98545204972800005</v>
      </c>
      <c r="E109" s="304">
        <v>0.99639999999999995</v>
      </c>
      <c r="F109" s="304">
        <v>1.0068128849920002</v>
      </c>
      <c r="G109" s="304">
        <v>1.0151714694840002</v>
      </c>
      <c r="H109" s="304">
        <v>1.0215999999999998</v>
      </c>
      <c r="I109" s="304">
        <v>1.0283770465480002</v>
      </c>
      <c r="J109" s="305">
        <v>1.0336002931200001</v>
      </c>
      <c r="K109" s="304">
        <v>1.0381156367319999</v>
      </c>
      <c r="L109" s="304">
        <v>1.042054886464</v>
      </c>
      <c r="M109" s="304">
        <v>1.0457999999999998</v>
      </c>
      <c r="N109" s="304">
        <v>1.0486346951680001</v>
      </c>
      <c r="O109" s="304">
        <v>1.0514457239800001</v>
      </c>
      <c r="P109" s="304">
        <v>1.0540245966720001</v>
      </c>
      <c r="Q109" s="304">
        <v>1.0564189682439999</v>
      </c>
      <c r="R109" s="304">
        <v>1.0593999999999999</v>
      </c>
      <c r="S109" s="305">
        <v>1.0607846585879999</v>
      </c>
      <c r="T109" s="304">
        <v>1.06279561504</v>
      </c>
      <c r="U109" s="304">
        <v>1.0647043438120001</v>
      </c>
      <c r="V109" s="304">
        <v>1.066511821824</v>
      </c>
      <c r="W109" s="304">
        <v>1.0672999999999999</v>
      </c>
      <c r="X109" s="304">
        <v>1.0698042398079999</v>
      </c>
      <c r="Y109" s="304">
        <v>1.0712729373000001</v>
      </c>
      <c r="Z109" s="304">
        <v>1.0726108971519999</v>
      </c>
      <c r="AA109" s="304">
        <v>1.0738098942039997</v>
      </c>
      <c r="AB109" s="305">
        <v>1.0752000000000002</v>
      </c>
      <c r="AC109" s="304">
        <v>1.0757728818279999</v>
      </c>
      <c r="AD109" s="304">
        <v>1.0765397017599998</v>
      </c>
      <c r="AE109" s="304">
        <v>1.0771762156919999</v>
      </c>
      <c r="AF109" s="304">
        <v>1.0777024723839996</v>
      </c>
      <c r="AG109" s="304">
        <v>1.0782000000000003</v>
      </c>
      <c r="AH109" s="304">
        <v>1.0785566676479998</v>
      </c>
      <c r="AI109" s="304">
        <v>1.0789814594199996</v>
      </c>
      <c r="AJ109" s="304">
        <v>1.0795166984319997</v>
      </c>
      <c r="AK109" s="304">
        <v>1.080176183364</v>
      </c>
      <c r="AL109" s="305">
        <v>1.0812000000000002</v>
      </c>
      <c r="AM109" s="305">
        <f t="shared" si="2"/>
        <v>1.0812000000000002</v>
      </c>
      <c r="AN109" s="299"/>
    </row>
    <row r="110" spans="1:40" x14ac:dyDescent="0.2">
      <c r="A110" s="352">
        <v>27</v>
      </c>
      <c r="B110" s="304">
        <v>0.95809999999999995</v>
      </c>
      <c r="C110" s="304">
        <v>0.9728</v>
      </c>
      <c r="D110" s="304">
        <v>0.98586085249600008</v>
      </c>
      <c r="E110" s="304">
        <v>0.99680000000000002</v>
      </c>
      <c r="F110" s="304">
        <v>1.0073204435840002</v>
      </c>
      <c r="G110" s="304">
        <v>1.0157225327980002</v>
      </c>
      <c r="H110" s="304">
        <v>1.0222</v>
      </c>
      <c r="I110" s="304">
        <v>1.0290068408360002</v>
      </c>
      <c r="J110" s="305">
        <v>1.0342664137600002</v>
      </c>
      <c r="K110" s="304">
        <v>1.0388166447139999</v>
      </c>
      <c r="L110" s="304">
        <v>1.042789681808</v>
      </c>
      <c r="M110" s="304">
        <v>1.0466</v>
      </c>
      <c r="N110" s="304">
        <v>1.049434755776</v>
      </c>
      <c r="O110" s="304">
        <v>1.05227759183</v>
      </c>
      <c r="P110" s="304">
        <v>1.054887841744</v>
      </c>
      <c r="Q110" s="304">
        <v>1.057313184668</v>
      </c>
      <c r="R110" s="304">
        <v>1.0603</v>
      </c>
      <c r="S110" s="305">
        <v>1.0617394720659998</v>
      </c>
      <c r="T110" s="304">
        <v>1.0637798948000001</v>
      </c>
      <c r="U110" s="304">
        <v>1.0657173764240002</v>
      </c>
      <c r="V110" s="304">
        <v>1.0675527441279999</v>
      </c>
      <c r="W110" s="304">
        <v>1.0683499999999999</v>
      </c>
      <c r="X110" s="304">
        <v>1.070897669456</v>
      </c>
      <c r="Y110" s="304">
        <v>1.0723906184200001</v>
      </c>
      <c r="Z110" s="304">
        <v>1.0737512455039997</v>
      </c>
      <c r="AA110" s="304">
        <v>1.0749711429379998</v>
      </c>
      <c r="AB110" s="305">
        <v>1.0764</v>
      </c>
      <c r="AC110" s="304">
        <v>1.0769699576959999</v>
      </c>
      <c r="AD110" s="304">
        <v>1.0777514134399999</v>
      </c>
      <c r="AE110" s="304">
        <v>1.078400225734</v>
      </c>
      <c r="AF110" s="304">
        <v>1.0789363688479996</v>
      </c>
      <c r="AG110" s="304">
        <v>1.0794000000000001</v>
      </c>
      <c r="AH110" s="304">
        <v>1.0798030015359996</v>
      </c>
      <c r="AI110" s="304">
        <v>1.0802304106099996</v>
      </c>
      <c r="AJ110" s="304">
        <v>1.0807699988639996</v>
      </c>
      <c r="AK110" s="304">
        <v>1.081423739608</v>
      </c>
      <c r="AL110" s="305">
        <v>1.0824</v>
      </c>
      <c r="AM110" s="305">
        <f t="shared" si="2"/>
        <v>1.0824</v>
      </c>
      <c r="AN110" s="299"/>
    </row>
    <row r="111" spans="1:40" x14ac:dyDescent="0.2">
      <c r="A111" s="352">
        <v>28</v>
      </c>
      <c r="B111" s="304">
        <v>0.95840000000000003</v>
      </c>
      <c r="C111" s="304">
        <v>0.97319999999999995</v>
      </c>
      <c r="D111" s="304">
        <v>0.98626965526400001</v>
      </c>
      <c r="E111" s="304">
        <v>0.99719999999999998</v>
      </c>
      <c r="F111" s="304">
        <v>1.007828002176</v>
      </c>
      <c r="G111" s="304">
        <v>1.016273596112</v>
      </c>
      <c r="H111" s="304">
        <v>1.0227999999999999</v>
      </c>
      <c r="I111" s="304">
        <v>1.0296366351240001</v>
      </c>
      <c r="J111" s="305">
        <v>1.0349325344</v>
      </c>
      <c r="K111" s="304">
        <v>1.0395176526959999</v>
      </c>
      <c r="L111" s="304">
        <v>1.043524477152</v>
      </c>
      <c r="M111" s="304">
        <v>1.0473999999999999</v>
      </c>
      <c r="N111" s="304">
        <v>1.0502348163840001</v>
      </c>
      <c r="O111" s="304">
        <v>1.0531094596800001</v>
      </c>
      <c r="P111" s="304">
        <v>1.0557510868160001</v>
      </c>
      <c r="Q111" s="304">
        <v>1.058207401092</v>
      </c>
      <c r="R111" s="304">
        <v>1.0611999999999999</v>
      </c>
      <c r="S111" s="305">
        <v>1.062694285544</v>
      </c>
      <c r="T111" s="304">
        <v>1.0647641745600001</v>
      </c>
      <c r="U111" s="304">
        <v>1.0667304090360001</v>
      </c>
      <c r="V111" s="304">
        <v>1.0685936664320002</v>
      </c>
      <c r="W111" s="304">
        <v>1.0693999999999999</v>
      </c>
      <c r="X111" s="304">
        <v>1.0719910991039998</v>
      </c>
      <c r="Y111" s="304">
        <v>1.07350829954</v>
      </c>
      <c r="Z111" s="304">
        <v>1.0748915938559997</v>
      </c>
      <c r="AA111" s="304">
        <v>1.0761323916719996</v>
      </c>
      <c r="AB111" s="305">
        <v>1.0776000000000001</v>
      </c>
      <c r="AC111" s="304">
        <v>1.0781670335639999</v>
      </c>
      <c r="AD111" s="304">
        <v>1.0789631251199998</v>
      </c>
      <c r="AE111" s="304">
        <v>1.079624235776</v>
      </c>
      <c r="AF111" s="304">
        <v>1.0801702653119998</v>
      </c>
      <c r="AG111" s="304">
        <v>1.0806000000000002</v>
      </c>
      <c r="AH111" s="304">
        <v>1.0810493354239996</v>
      </c>
      <c r="AI111" s="304">
        <v>1.0814793617999996</v>
      </c>
      <c r="AJ111" s="304">
        <v>1.0820232992959995</v>
      </c>
      <c r="AK111" s="304">
        <v>1.0826712958519997</v>
      </c>
      <c r="AL111" s="305">
        <v>1.0836000000000001</v>
      </c>
      <c r="AM111" s="305">
        <f t="shared" si="2"/>
        <v>1.0836000000000001</v>
      </c>
      <c r="AN111" s="299"/>
    </row>
    <row r="112" spans="1:40" x14ac:dyDescent="0.2">
      <c r="A112" s="352">
        <v>29</v>
      </c>
      <c r="B112" s="304">
        <v>0.9587</v>
      </c>
      <c r="C112" s="304">
        <v>0.97360000000000002</v>
      </c>
      <c r="D112" s="304">
        <v>0.98667845803200005</v>
      </c>
      <c r="E112" s="304">
        <v>0.99760000000000004</v>
      </c>
      <c r="F112" s="304">
        <v>1.008335560768</v>
      </c>
      <c r="G112" s="304">
        <v>1.016824659426</v>
      </c>
      <c r="H112" s="304">
        <v>1.0234000000000001</v>
      </c>
      <c r="I112" s="304">
        <v>1.0302664294120001</v>
      </c>
      <c r="J112" s="305">
        <v>1.03559865504</v>
      </c>
      <c r="K112" s="304">
        <v>1.040218660678</v>
      </c>
      <c r="L112" s="304">
        <v>1.044259272496</v>
      </c>
      <c r="M112" s="304">
        <v>1.0482</v>
      </c>
      <c r="N112" s="304">
        <v>1.0510348769919999</v>
      </c>
      <c r="O112" s="304">
        <v>1.05394132753</v>
      </c>
      <c r="P112" s="304">
        <v>1.0566143318879999</v>
      </c>
      <c r="Q112" s="304">
        <v>1.059101617516</v>
      </c>
      <c r="R112" s="304">
        <v>1.0621</v>
      </c>
      <c r="S112" s="305">
        <v>1.063649099022</v>
      </c>
      <c r="T112" s="304">
        <v>1.0657484543200002</v>
      </c>
      <c r="U112" s="304">
        <v>1.0677434416480003</v>
      </c>
      <c r="V112" s="304">
        <v>1.0696345887360001</v>
      </c>
      <c r="W112" s="304">
        <v>1.0704499999999999</v>
      </c>
      <c r="X112" s="304">
        <v>1.0730845287519999</v>
      </c>
      <c r="Y112" s="304">
        <v>1.07462598066</v>
      </c>
      <c r="Z112" s="304">
        <v>1.0760319422079996</v>
      </c>
      <c r="AA112" s="304">
        <v>1.0772936404059996</v>
      </c>
      <c r="AB112" s="305">
        <v>1.0788</v>
      </c>
      <c r="AC112" s="304">
        <v>1.0793641094319999</v>
      </c>
      <c r="AD112" s="304">
        <v>1.0801748367999999</v>
      </c>
      <c r="AE112" s="304">
        <v>1.080848245818</v>
      </c>
      <c r="AF112" s="304">
        <v>1.0814041617759997</v>
      </c>
      <c r="AG112" s="304">
        <v>1.0818000000000001</v>
      </c>
      <c r="AH112" s="304">
        <v>1.0822956693119994</v>
      </c>
      <c r="AI112" s="304">
        <v>1.0827283129899996</v>
      </c>
      <c r="AJ112" s="304">
        <v>1.0832765997279994</v>
      </c>
      <c r="AK112" s="304">
        <v>1.0839188520959997</v>
      </c>
      <c r="AL112" s="305">
        <v>1.0848</v>
      </c>
      <c r="AM112" s="305">
        <f t="shared" si="2"/>
        <v>1.0848</v>
      </c>
      <c r="AN112" s="299"/>
    </row>
    <row r="113" spans="1:40" x14ac:dyDescent="0.2">
      <c r="A113" s="353">
        <v>30</v>
      </c>
      <c r="B113" s="307">
        <v>0.95899999999999996</v>
      </c>
      <c r="C113" s="307">
        <v>0.97399999999999998</v>
      </c>
      <c r="D113" s="307">
        <v>0.98708726080000009</v>
      </c>
      <c r="E113" s="307">
        <v>0.998</v>
      </c>
      <c r="F113" s="307">
        <v>1.00884311936</v>
      </c>
      <c r="G113" s="307">
        <v>1.01737572274</v>
      </c>
      <c r="H113" s="307">
        <v>1.024</v>
      </c>
      <c r="I113" s="307">
        <v>1.0308962237000001</v>
      </c>
      <c r="J113" s="308">
        <v>1.0362647756800001</v>
      </c>
      <c r="K113" s="307">
        <v>1.04091966866</v>
      </c>
      <c r="L113" s="307">
        <v>1.04499406784</v>
      </c>
      <c r="M113" s="307">
        <v>1.0489999999999999</v>
      </c>
      <c r="N113" s="307">
        <v>1.0518349376</v>
      </c>
      <c r="O113" s="307">
        <v>1.0547731953800001</v>
      </c>
      <c r="P113" s="307">
        <v>1.05747757696</v>
      </c>
      <c r="Q113" s="307">
        <v>1.05999583394</v>
      </c>
      <c r="R113" s="307">
        <v>1.0629999999999999</v>
      </c>
      <c r="S113" s="308">
        <v>1.0646039125</v>
      </c>
      <c r="T113" s="307">
        <v>1.0667327340800001</v>
      </c>
      <c r="U113" s="307">
        <v>1.0687564742600002</v>
      </c>
      <c r="V113" s="307">
        <v>1.0706755110400001</v>
      </c>
      <c r="W113" s="307">
        <v>1.0714999999999999</v>
      </c>
      <c r="X113" s="307">
        <v>1.0741779584</v>
      </c>
      <c r="Y113" s="307">
        <v>1.07574366178</v>
      </c>
      <c r="Z113" s="307">
        <v>1.0771722905599996</v>
      </c>
      <c r="AA113" s="307">
        <v>1.0784548891399997</v>
      </c>
      <c r="AB113" s="308">
        <v>1.08</v>
      </c>
      <c r="AC113" s="307">
        <v>1.0805611852999999</v>
      </c>
      <c r="AD113" s="307">
        <v>1.0813865484799998</v>
      </c>
      <c r="AE113" s="307">
        <v>1.08207225586</v>
      </c>
      <c r="AF113" s="307">
        <v>1.0826380582399997</v>
      </c>
      <c r="AG113" s="307">
        <v>1.0830000000000002</v>
      </c>
      <c r="AH113" s="307">
        <v>1.0835420031999994</v>
      </c>
      <c r="AI113" s="307">
        <v>1.0839772641799996</v>
      </c>
      <c r="AJ113" s="307">
        <v>1.0845299001599993</v>
      </c>
      <c r="AK113" s="307">
        <v>1.0851664083399997</v>
      </c>
      <c r="AL113" s="308">
        <v>1.0860000000000001</v>
      </c>
      <c r="AM113" s="308">
        <f t="shared" si="2"/>
        <v>1.0860000000000001</v>
      </c>
      <c r="AN113" s="299"/>
    </row>
    <row r="114" spans="1:40" x14ac:dyDescent="0.2">
      <c r="A114" s="352">
        <v>31</v>
      </c>
      <c r="B114" s="304">
        <v>0.95899999999999996</v>
      </c>
      <c r="C114" s="304">
        <v>0.97399999999999998</v>
      </c>
      <c r="D114" s="304">
        <v>0.9871066710880001</v>
      </c>
      <c r="E114" s="304">
        <v>0.99809999999999999</v>
      </c>
      <c r="F114" s="304">
        <v>1.0088903811200001</v>
      </c>
      <c r="G114" s="304">
        <v>1.0174395317260001</v>
      </c>
      <c r="H114" s="304">
        <v>1.024</v>
      </c>
      <c r="I114" s="304">
        <v>1.030994635928</v>
      </c>
      <c r="J114" s="305">
        <v>1.0363800845440001</v>
      </c>
      <c r="K114" s="304">
        <v>1.04105100045</v>
      </c>
      <c r="L114" s="304">
        <v>1.0451402123360001</v>
      </c>
      <c r="M114" s="304">
        <v>1.0491999999999999</v>
      </c>
      <c r="N114" s="304">
        <v>1.0520061463679999</v>
      </c>
      <c r="O114" s="304">
        <v>1.0549543770140002</v>
      </c>
      <c r="P114" s="304">
        <v>1.05766694968</v>
      </c>
      <c r="Q114" s="304">
        <v>1.060191631296</v>
      </c>
      <c r="R114" s="304">
        <v>1.0631999999999999</v>
      </c>
      <c r="S114" s="305">
        <v>1.064807559658</v>
      </c>
      <c r="T114" s="304">
        <v>1.0669380543840001</v>
      </c>
      <c r="U114" s="304">
        <v>1.0689621830600002</v>
      </c>
      <c r="V114" s="304">
        <v>1.070880513856</v>
      </c>
      <c r="W114" s="304">
        <v>1.0716999999999999</v>
      </c>
      <c r="X114" s="304">
        <v>1.074379088048</v>
      </c>
      <c r="Y114" s="304">
        <v>1.075942044904</v>
      </c>
      <c r="Z114" s="304">
        <v>1.0773676598399997</v>
      </c>
      <c r="AA114" s="304">
        <v>1.0786471652659997</v>
      </c>
      <c r="AB114" s="305">
        <v>1.0802</v>
      </c>
      <c r="AC114" s="304">
        <v>1.080747673788</v>
      </c>
      <c r="AD114" s="304">
        <v>1.0815705818239998</v>
      </c>
      <c r="AE114" s="304">
        <v>1.08225421927</v>
      </c>
      <c r="AF114" s="304">
        <v>1.0828183457759997</v>
      </c>
      <c r="AG114" s="304">
        <v>1.0832000000000002</v>
      </c>
      <c r="AH114" s="304">
        <v>1.0837198641279995</v>
      </c>
      <c r="AI114" s="304">
        <v>1.0841540783939996</v>
      </c>
      <c r="AJ114" s="304">
        <v>1.0847014555999994</v>
      </c>
      <c r="AK114" s="304">
        <v>1.0853401456359997</v>
      </c>
      <c r="AL114" s="305">
        <v>1.0862000000000001</v>
      </c>
      <c r="AM114" s="305">
        <f t="shared" si="2"/>
        <v>1.0862000000000001</v>
      </c>
      <c r="AN114" s="299"/>
    </row>
    <row r="115" spans="1:40" x14ac:dyDescent="0.2">
      <c r="A115" s="352">
        <v>32</v>
      </c>
      <c r="B115" s="304">
        <v>0.95899999999999996</v>
      </c>
      <c r="C115" s="304">
        <v>0.97399999999999998</v>
      </c>
      <c r="D115" s="304">
        <v>0.98712608137600011</v>
      </c>
      <c r="E115" s="304">
        <v>0.99819999999999998</v>
      </c>
      <c r="F115" s="304">
        <v>1.0089376428800001</v>
      </c>
      <c r="G115" s="304">
        <v>1.017503340712</v>
      </c>
      <c r="H115" s="304">
        <v>1.024</v>
      </c>
      <c r="I115" s="304">
        <v>1.0310930481560001</v>
      </c>
      <c r="J115" s="305">
        <v>1.0364953934080001</v>
      </c>
      <c r="K115" s="304">
        <v>1.04118233224</v>
      </c>
      <c r="L115" s="304">
        <v>1.0452863568320001</v>
      </c>
      <c r="M115" s="304">
        <v>1.0493999999999999</v>
      </c>
      <c r="N115" s="304">
        <v>1.0521773551360001</v>
      </c>
      <c r="O115" s="304">
        <v>1.0551355586480002</v>
      </c>
      <c r="P115" s="304">
        <v>1.0578563223999999</v>
      </c>
      <c r="Q115" s="304">
        <v>1.0603874286520001</v>
      </c>
      <c r="R115" s="304">
        <v>1.0633999999999999</v>
      </c>
      <c r="S115" s="305">
        <v>1.065011206816</v>
      </c>
      <c r="T115" s="304">
        <v>1.0671433746880001</v>
      </c>
      <c r="U115" s="304">
        <v>1.0691678918600003</v>
      </c>
      <c r="V115" s="304">
        <v>1.0710855166720001</v>
      </c>
      <c r="W115" s="304">
        <v>1.0718999999999999</v>
      </c>
      <c r="X115" s="304">
        <v>1.074580217696</v>
      </c>
      <c r="Y115" s="304">
        <v>1.076140428028</v>
      </c>
      <c r="Z115" s="304">
        <v>1.0775630291199998</v>
      </c>
      <c r="AA115" s="304">
        <v>1.0788394413919997</v>
      </c>
      <c r="AB115" s="305">
        <v>1.0804</v>
      </c>
      <c r="AC115" s="304">
        <v>1.080934162276</v>
      </c>
      <c r="AD115" s="304">
        <v>1.0817546151679998</v>
      </c>
      <c r="AE115" s="304">
        <v>1.0824361826800002</v>
      </c>
      <c r="AF115" s="304">
        <v>1.0829986333119999</v>
      </c>
      <c r="AG115" s="304">
        <v>1.0834000000000001</v>
      </c>
      <c r="AH115" s="304">
        <v>1.0838977250559996</v>
      </c>
      <c r="AI115" s="304">
        <v>1.0843308926079995</v>
      </c>
      <c r="AJ115" s="304">
        <v>1.0848730110399996</v>
      </c>
      <c r="AK115" s="304">
        <v>1.0855138829319997</v>
      </c>
      <c r="AL115" s="305">
        <v>1.0864</v>
      </c>
      <c r="AM115" s="305">
        <f t="shared" si="2"/>
        <v>1.0864</v>
      </c>
      <c r="AN115" s="299"/>
    </row>
    <row r="116" spans="1:40" x14ac:dyDescent="0.2">
      <c r="A116" s="352">
        <v>33</v>
      </c>
      <c r="B116" s="304">
        <v>0.95899999999999996</v>
      </c>
      <c r="C116" s="304">
        <v>0.97399999999999998</v>
      </c>
      <c r="D116" s="304">
        <v>0.98714549166400001</v>
      </c>
      <c r="E116" s="304">
        <v>0.99829999999999997</v>
      </c>
      <c r="F116" s="304">
        <v>1.0089849046400001</v>
      </c>
      <c r="G116" s="304">
        <v>1.0175671496980001</v>
      </c>
      <c r="H116" s="304">
        <v>1.024</v>
      </c>
      <c r="I116" s="304">
        <v>1.031191460384</v>
      </c>
      <c r="J116" s="305">
        <v>1.0366107022720001</v>
      </c>
      <c r="K116" s="304">
        <v>1.04131366403</v>
      </c>
      <c r="L116" s="304">
        <v>1.0454325013279999</v>
      </c>
      <c r="M116" s="304">
        <v>1.0495999999999999</v>
      </c>
      <c r="N116" s="304">
        <v>1.052348563904</v>
      </c>
      <c r="O116" s="304">
        <v>1.0553167402820001</v>
      </c>
      <c r="P116" s="304">
        <v>1.0580456951200001</v>
      </c>
      <c r="Q116" s="304">
        <v>1.0605832260079999</v>
      </c>
      <c r="R116" s="304">
        <v>1.0636000000000001</v>
      </c>
      <c r="S116" s="305">
        <v>1.0652148539740001</v>
      </c>
      <c r="T116" s="304">
        <v>1.0673486949919999</v>
      </c>
      <c r="U116" s="304">
        <v>1.0693736006600001</v>
      </c>
      <c r="V116" s="304">
        <v>1.071290519488</v>
      </c>
      <c r="W116" s="304">
        <v>1.0721000000000001</v>
      </c>
      <c r="X116" s="304">
        <v>1.074781347344</v>
      </c>
      <c r="Y116" s="304">
        <v>1.076338811152</v>
      </c>
      <c r="Z116" s="304">
        <v>1.0777583983999997</v>
      </c>
      <c r="AA116" s="304">
        <v>1.0790317175179998</v>
      </c>
      <c r="AB116" s="305">
        <v>1.0806</v>
      </c>
      <c r="AC116" s="304">
        <v>1.0811206507639999</v>
      </c>
      <c r="AD116" s="304">
        <v>1.0819386485119999</v>
      </c>
      <c r="AE116" s="304">
        <v>1.0826181460900002</v>
      </c>
      <c r="AF116" s="304">
        <v>1.0831789208479998</v>
      </c>
      <c r="AG116" s="304">
        <v>1.0836000000000001</v>
      </c>
      <c r="AH116" s="304">
        <v>1.0840755859839997</v>
      </c>
      <c r="AI116" s="304">
        <v>1.0845077068219997</v>
      </c>
      <c r="AJ116" s="304">
        <v>1.0850445664799995</v>
      </c>
      <c r="AK116" s="304">
        <v>1.0856876202279999</v>
      </c>
      <c r="AL116" s="305">
        <v>1.0866000000000002</v>
      </c>
      <c r="AM116" s="305">
        <f t="shared" si="2"/>
        <v>1.0866000000000002</v>
      </c>
      <c r="AN116" s="299"/>
    </row>
    <row r="117" spans="1:40" x14ac:dyDescent="0.2">
      <c r="A117" s="352">
        <v>34</v>
      </c>
      <c r="B117" s="304">
        <v>0.95899999999999996</v>
      </c>
      <c r="C117" s="304">
        <v>0.97399999999999998</v>
      </c>
      <c r="D117" s="304">
        <v>0.98716490195200002</v>
      </c>
      <c r="E117" s="304">
        <v>0.99839999999999995</v>
      </c>
      <c r="F117" s="304">
        <v>1.0090321664000002</v>
      </c>
      <c r="G117" s="304">
        <v>1.017630958684</v>
      </c>
      <c r="H117" s="304">
        <v>1.024</v>
      </c>
      <c r="I117" s="304">
        <v>1.0312898726120001</v>
      </c>
      <c r="J117" s="305">
        <v>1.0367260111360002</v>
      </c>
      <c r="K117" s="304">
        <v>1.0414449958200001</v>
      </c>
      <c r="L117" s="304">
        <v>1.045578645824</v>
      </c>
      <c r="M117" s="304">
        <v>1.0497999999999998</v>
      </c>
      <c r="N117" s="304">
        <v>1.0525197726720001</v>
      </c>
      <c r="O117" s="304">
        <v>1.0554979219160001</v>
      </c>
      <c r="P117" s="304">
        <v>1.0582350678400001</v>
      </c>
      <c r="Q117" s="304">
        <v>1.060779023364</v>
      </c>
      <c r="R117" s="304">
        <v>1.0638000000000001</v>
      </c>
      <c r="S117" s="305">
        <v>1.0654185011320001</v>
      </c>
      <c r="T117" s="304">
        <v>1.0675540152959999</v>
      </c>
      <c r="U117" s="304">
        <v>1.0695793094600001</v>
      </c>
      <c r="V117" s="304">
        <v>1.0714955223040001</v>
      </c>
      <c r="W117" s="304">
        <v>1.0723</v>
      </c>
      <c r="X117" s="304">
        <v>1.074982476992</v>
      </c>
      <c r="Y117" s="304">
        <v>1.076537194276</v>
      </c>
      <c r="Z117" s="304">
        <v>1.0779537676799997</v>
      </c>
      <c r="AA117" s="304">
        <v>1.0792239936439998</v>
      </c>
      <c r="AB117" s="305">
        <v>1.0808</v>
      </c>
      <c r="AC117" s="304">
        <v>1.0813071392519999</v>
      </c>
      <c r="AD117" s="304">
        <v>1.0821226818559999</v>
      </c>
      <c r="AE117" s="304">
        <v>1.0828001095000004</v>
      </c>
      <c r="AF117" s="304">
        <v>1.083359208384</v>
      </c>
      <c r="AG117" s="304">
        <v>1.0838000000000001</v>
      </c>
      <c r="AH117" s="304">
        <v>1.0842534469119998</v>
      </c>
      <c r="AI117" s="304">
        <v>1.0846845210359997</v>
      </c>
      <c r="AJ117" s="304">
        <v>1.0852161219199996</v>
      </c>
      <c r="AK117" s="304">
        <v>1.0858613575239999</v>
      </c>
      <c r="AL117" s="305">
        <v>1.0868000000000002</v>
      </c>
      <c r="AM117" s="305">
        <f t="shared" si="2"/>
        <v>1.0868000000000002</v>
      </c>
      <c r="AN117" s="299"/>
    </row>
    <row r="118" spans="1:40" x14ac:dyDescent="0.2">
      <c r="A118" s="353">
        <v>35</v>
      </c>
      <c r="B118" s="307">
        <v>0.95899999999999996</v>
      </c>
      <c r="C118" s="307">
        <v>0.97399999999999998</v>
      </c>
      <c r="D118" s="307">
        <v>0.98718431224000003</v>
      </c>
      <c r="E118" s="307">
        <v>0.99849999999999994</v>
      </c>
      <c r="F118" s="307">
        <v>1.0090794281600002</v>
      </c>
      <c r="G118" s="307">
        <v>1.0176947676700001</v>
      </c>
      <c r="H118" s="307">
        <v>1.024</v>
      </c>
      <c r="I118" s="307">
        <v>1.03138828484</v>
      </c>
      <c r="J118" s="308">
        <v>1.0368413200000002</v>
      </c>
      <c r="K118" s="307">
        <v>1.0415763276100001</v>
      </c>
      <c r="L118" s="307">
        <v>1.04572479032</v>
      </c>
      <c r="M118" s="307">
        <v>1.0499999999999998</v>
      </c>
      <c r="N118" s="307">
        <v>1.0526909814400001</v>
      </c>
      <c r="O118" s="307">
        <v>1.0556791035500002</v>
      </c>
      <c r="P118" s="307">
        <v>1.0584244405600001</v>
      </c>
      <c r="Q118" s="307">
        <v>1.06097482072</v>
      </c>
      <c r="R118" s="307">
        <v>1.0640000000000001</v>
      </c>
      <c r="S118" s="308">
        <v>1.0656221482900001</v>
      </c>
      <c r="T118" s="307">
        <v>1.0677593355999999</v>
      </c>
      <c r="U118" s="307">
        <v>1.0697850182600002</v>
      </c>
      <c r="V118" s="307">
        <v>1.07170052512</v>
      </c>
      <c r="W118" s="307">
        <v>1.0725</v>
      </c>
      <c r="X118" s="307">
        <v>1.07518360664</v>
      </c>
      <c r="Y118" s="307">
        <v>1.0767355774</v>
      </c>
      <c r="Z118" s="307">
        <v>1.0781491369599998</v>
      </c>
      <c r="AA118" s="307">
        <v>1.0794162697699998</v>
      </c>
      <c r="AB118" s="308">
        <v>1.081</v>
      </c>
      <c r="AC118" s="307">
        <v>1.08149362774</v>
      </c>
      <c r="AD118" s="307">
        <v>1.0823067151999999</v>
      </c>
      <c r="AE118" s="307">
        <v>1.0829820729100004</v>
      </c>
      <c r="AF118" s="307">
        <v>1.08353949592</v>
      </c>
      <c r="AG118" s="307">
        <v>1.0840000000000001</v>
      </c>
      <c r="AH118" s="307">
        <v>1.0844313078399999</v>
      </c>
      <c r="AI118" s="307">
        <v>1.0848613352499996</v>
      </c>
      <c r="AJ118" s="307">
        <v>1.0853876773599997</v>
      </c>
      <c r="AK118" s="307">
        <v>1.0860350948199999</v>
      </c>
      <c r="AL118" s="308">
        <v>1.0870000000000002</v>
      </c>
      <c r="AM118" s="308">
        <f t="shared" si="2"/>
        <v>1.0870000000000002</v>
      </c>
      <c r="AN118" s="299"/>
    </row>
    <row r="119" spans="1:40" x14ac:dyDescent="0.2">
      <c r="A119" s="352">
        <v>36</v>
      </c>
      <c r="B119" s="304">
        <v>0.95899999999999996</v>
      </c>
      <c r="C119" s="304">
        <v>0.97399999999999998</v>
      </c>
      <c r="D119" s="304">
        <v>0.98720372252800004</v>
      </c>
      <c r="E119" s="304">
        <v>0.99859999999999993</v>
      </c>
      <c r="F119" s="304">
        <v>1.0091266899200002</v>
      </c>
      <c r="G119" s="304">
        <v>1.017758576656</v>
      </c>
      <c r="H119" s="304">
        <v>1.024</v>
      </c>
      <c r="I119" s="304">
        <v>1.0314866970679999</v>
      </c>
      <c r="J119" s="305">
        <v>1.0369566288640002</v>
      </c>
      <c r="K119" s="304">
        <v>1.0417076594000001</v>
      </c>
      <c r="L119" s="304">
        <v>1.045870934816</v>
      </c>
      <c r="M119" s="304">
        <v>1.0501999999999998</v>
      </c>
      <c r="N119" s="304">
        <v>1.052862190208</v>
      </c>
      <c r="O119" s="304">
        <v>1.0558602851840002</v>
      </c>
      <c r="P119" s="304">
        <v>1.05861381328</v>
      </c>
      <c r="Q119" s="304">
        <v>1.0611706180760001</v>
      </c>
      <c r="R119" s="304">
        <v>1.0642</v>
      </c>
      <c r="S119" s="305">
        <v>1.0658257954480002</v>
      </c>
      <c r="T119" s="304">
        <v>1.0679646559039999</v>
      </c>
      <c r="U119" s="304">
        <v>1.0699907270600002</v>
      </c>
      <c r="V119" s="304">
        <v>1.0719055279359999</v>
      </c>
      <c r="W119" s="304">
        <v>1.0727</v>
      </c>
      <c r="X119" s="304">
        <v>1.075384736288</v>
      </c>
      <c r="Y119" s="304">
        <v>1.076933960524</v>
      </c>
      <c r="Z119" s="304">
        <v>1.0783445062399999</v>
      </c>
      <c r="AA119" s="304">
        <v>1.0796085458959999</v>
      </c>
      <c r="AB119" s="305">
        <v>1.0811999999999999</v>
      </c>
      <c r="AC119" s="304">
        <v>1.0816801162280001</v>
      </c>
      <c r="AD119" s="304">
        <v>1.0824907485439998</v>
      </c>
      <c r="AE119" s="304">
        <v>1.0831640363200004</v>
      </c>
      <c r="AF119" s="304">
        <v>1.083719783456</v>
      </c>
      <c r="AG119" s="304">
        <v>1.0842000000000001</v>
      </c>
      <c r="AH119" s="304">
        <v>1.084609168768</v>
      </c>
      <c r="AI119" s="304">
        <v>1.0850381494639996</v>
      </c>
      <c r="AJ119" s="304">
        <v>1.0855592327999999</v>
      </c>
      <c r="AK119" s="304">
        <v>1.0862088321159999</v>
      </c>
      <c r="AL119" s="305">
        <v>1.0872000000000002</v>
      </c>
      <c r="AM119" s="305">
        <f t="shared" si="2"/>
        <v>1.0872000000000002</v>
      </c>
      <c r="AN119" s="299"/>
    </row>
    <row r="120" spans="1:40" x14ac:dyDescent="0.2">
      <c r="A120" s="352">
        <v>37</v>
      </c>
      <c r="B120" s="304">
        <v>0.95899999999999996</v>
      </c>
      <c r="C120" s="304">
        <v>0.97399999999999998</v>
      </c>
      <c r="D120" s="304">
        <v>0.98722313281600005</v>
      </c>
      <c r="E120" s="304">
        <v>0.99869999999999992</v>
      </c>
      <c r="F120" s="304">
        <v>1.0091739516800002</v>
      </c>
      <c r="G120" s="304">
        <v>1.0178223856420001</v>
      </c>
      <c r="H120" s="304">
        <v>1.024</v>
      </c>
      <c r="I120" s="304">
        <v>1.031585109296</v>
      </c>
      <c r="J120" s="305">
        <v>1.0370719377280002</v>
      </c>
      <c r="K120" s="304">
        <v>1.0418389911900001</v>
      </c>
      <c r="L120" s="304">
        <v>1.0460170793120001</v>
      </c>
      <c r="M120" s="304">
        <v>1.0503999999999998</v>
      </c>
      <c r="N120" s="304">
        <v>1.0530333989760001</v>
      </c>
      <c r="O120" s="304">
        <v>1.056041466818</v>
      </c>
      <c r="P120" s="304">
        <v>1.058803186</v>
      </c>
      <c r="Q120" s="304">
        <v>1.0613664154320002</v>
      </c>
      <c r="R120" s="304">
        <v>1.0644</v>
      </c>
      <c r="S120" s="305">
        <v>1.0660294426060002</v>
      </c>
      <c r="T120" s="304">
        <v>1.0681699762079999</v>
      </c>
      <c r="U120" s="304">
        <v>1.0701964358600002</v>
      </c>
      <c r="V120" s="304">
        <v>1.072110530752</v>
      </c>
      <c r="W120" s="304">
        <v>1.0729</v>
      </c>
      <c r="X120" s="304">
        <v>1.075585865936</v>
      </c>
      <c r="Y120" s="304">
        <v>1.077132343648</v>
      </c>
      <c r="Z120" s="304">
        <v>1.07853987552</v>
      </c>
      <c r="AA120" s="304">
        <v>1.0798008220219999</v>
      </c>
      <c r="AB120" s="305">
        <v>1.0813999999999999</v>
      </c>
      <c r="AC120" s="304">
        <v>1.0818666047159999</v>
      </c>
      <c r="AD120" s="304">
        <v>1.0826747818879998</v>
      </c>
      <c r="AE120" s="304">
        <v>1.0833459997300006</v>
      </c>
      <c r="AF120" s="304">
        <v>1.0839000709920001</v>
      </c>
      <c r="AG120" s="304">
        <v>1.0844</v>
      </c>
      <c r="AH120" s="304">
        <v>1.084787029696</v>
      </c>
      <c r="AI120" s="304">
        <v>1.0852149636779995</v>
      </c>
      <c r="AJ120" s="304">
        <v>1.08573078824</v>
      </c>
      <c r="AK120" s="304">
        <v>1.086382569412</v>
      </c>
      <c r="AL120" s="305">
        <v>1.0874000000000001</v>
      </c>
      <c r="AM120" s="305">
        <f t="shared" si="2"/>
        <v>1.0874000000000001</v>
      </c>
      <c r="AN120" s="299"/>
    </row>
    <row r="121" spans="1:40" x14ac:dyDescent="0.2">
      <c r="A121" s="352">
        <v>38</v>
      </c>
      <c r="B121" s="304">
        <v>0.95899999999999996</v>
      </c>
      <c r="C121" s="304">
        <v>0.97399999999999998</v>
      </c>
      <c r="D121" s="304">
        <v>0.98724254310399995</v>
      </c>
      <c r="E121" s="304">
        <v>0.99880000000000002</v>
      </c>
      <c r="F121" s="304">
        <v>1.00922121344</v>
      </c>
      <c r="G121" s="304">
        <v>1.017886194628</v>
      </c>
      <c r="H121" s="304">
        <v>1.024</v>
      </c>
      <c r="I121" s="304">
        <v>1.0316835215239999</v>
      </c>
      <c r="J121" s="305">
        <v>1.037187246592</v>
      </c>
      <c r="K121" s="304">
        <v>1.0419703229800001</v>
      </c>
      <c r="L121" s="304">
        <v>1.0461632238079999</v>
      </c>
      <c r="M121" s="304">
        <v>1.0506</v>
      </c>
      <c r="N121" s="304">
        <v>1.053204607744</v>
      </c>
      <c r="O121" s="304">
        <v>1.0562226484520001</v>
      </c>
      <c r="P121" s="304">
        <v>1.05899255872</v>
      </c>
      <c r="Q121" s="304">
        <v>1.061562212788</v>
      </c>
      <c r="R121" s="304">
        <v>1.0646</v>
      </c>
      <c r="S121" s="305">
        <v>1.066233089764</v>
      </c>
      <c r="T121" s="304">
        <v>1.0683752965119999</v>
      </c>
      <c r="U121" s="304">
        <v>1.0704021446600001</v>
      </c>
      <c r="V121" s="304">
        <v>1.0723155335679999</v>
      </c>
      <c r="W121" s="304">
        <v>1.0731000000000002</v>
      </c>
      <c r="X121" s="304">
        <v>1.0757869955840003</v>
      </c>
      <c r="Y121" s="304">
        <v>1.0773307267720003</v>
      </c>
      <c r="Z121" s="304">
        <v>1.0787352447999998</v>
      </c>
      <c r="AA121" s="304">
        <v>1.0799930981479999</v>
      </c>
      <c r="AB121" s="305">
        <v>1.0816000000000001</v>
      </c>
      <c r="AC121" s="304">
        <v>1.082053093204</v>
      </c>
      <c r="AD121" s="304">
        <v>1.082858815232</v>
      </c>
      <c r="AE121" s="304">
        <v>1.0835279631400005</v>
      </c>
      <c r="AF121" s="304">
        <v>1.0840803585280001</v>
      </c>
      <c r="AG121" s="304">
        <v>1.0846</v>
      </c>
      <c r="AH121" s="304">
        <v>1.0849648906240001</v>
      </c>
      <c r="AI121" s="304">
        <v>1.0853917778919997</v>
      </c>
      <c r="AJ121" s="304">
        <v>1.0859023436799999</v>
      </c>
      <c r="AK121" s="304">
        <v>1.0865563067080002</v>
      </c>
      <c r="AL121" s="305">
        <v>1.0876000000000001</v>
      </c>
      <c r="AM121" s="305">
        <f t="shared" si="2"/>
        <v>1.0876000000000001</v>
      </c>
      <c r="AN121" s="299"/>
    </row>
    <row r="122" spans="1:40" x14ac:dyDescent="0.2">
      <c r="A122" s="352">
        <v>39</v>
      </c>
      <c r="B122" s="304">
        <v>0.95899999999999996</v>
      </c>
      <c r="C122" s="304">
        <v>0.97399999999999998</v>
      </c>
      <c r="D122" s="304">
        <v>0.98726195339199996</v>
      </c>
      <c r="E122" s="304">
        <v>0.99890000000000001</v>
      </c>
      <c r="F122" s="304">
        <v>1.0092684752000001</v>
      </c>
      <c r="G122" s="304">
        <v>1.0179500036140001</v>
      </c>
      <c r="H122" s="304">
        <v>1.024</v>
      </c>
      <c r="I122" s="304">
        <v>1.031781933752</v>
      </c>
      <c r="J122" s="305">
        <v>1.037302555456</v>
      </c>
      <c r="K122" s="304">
        <v>1.0421016547700002</v>
      </c>
      <c r="L122" s="304">
        <v>1.0463093683039999</v>
      </c>
      <c r="M122" s="304">
        <v>1.0508</v>
      </c>
      <c r="N122" s="304">
        <v>1.0533758165120002</v>
      </c>
      <c r="O122" s="304">
        <v>1.0564038300859999</v>
      </c>
      <c r="P122" s="304">
        <v>1.0591819314399999</v>
      </c>
      <c r="Q122" s="304">
        <v>1.0617580101440001</v>
      </c>
      <c r="R122" s="304">
        <v>1.0648</v>
      </c>
      <c r="S122" s="305">
        <v>1.066436736922</v>
      </c>
      <c r="T122" s="304">
        <v>1.0685806168159999</v>
      </c>
      <c r="U122" s="304">
        <v>1.0706078534600001</v>
      </c>
      <c r="V122" s="304">
        <v>1.072520536384</v>
      </c>
      <c r="W122" s="304">
        <v>1.0733000000000001</v>
      </c>
      <c r="X122" s="304">
        <v>1.0759881252320003</v>
      </c>
      <c r="Y122" s="304">
        <v>1.0775291098960003</v>
      </c>
      <c r="Z122" s="304">
        <v>1.0789306140799999</v>
      </c>
      <c r="AA122" s="304">
        <v>1.080185374274</v>
      </c>
      <c r="AB122" s="305">
        <v>1.0818000000000001</v>
      </c>
      <c r="AC122" s="304">
        <v>1.0822395816919999</v>
      </c>
      <c r="AD122" s="304">
        <v>1.083042848576</v>
      </c>
      <c r="AE122" s="304">
        <v>1.0837099265500008</v>
      </c>
      <c r="AF122" s="304">
        <v>1.0842606460640003</v>
      </c>
      <c r="AG122" s="304">
        <v>1.0848</v>
      </c>
      <c r="AH122" s="304">
        <v>1.0851427515520002</v>
      </c>
      <c r="AI122" s="304">
        <v>1.0855685921059997</v>
      </c>
      <c r="AJ122" s="304">
        <v>1.0860738991200001</v>
      </c>
      <c r="AK122" s="304">
        <v>1.0867300440040002</v>
      </c>
      <c r="AL122" s="305">
        <v>1.0878000000000001</v>
      </c>
      <c r="AM122" s="305">
        <f t="shared" si="2"/>
        <v>1.0878000000000001</v>
      </c>
      <c r="AN122" s="299"/>
    </row>
    <row r="123" spans="1:40" ht="13.5" thickBot="1" x14ac:dyDescent="0.25">
      <c r="A123" s="354">
        <v>40</v>
      </c>
      <c r="B123" s="310">
        <v>0.95899999999999996</v>
      </c>
      <c r="C123" s="310">
        <v>0.97399999999999998</v>
      </c>
      <c r="D123" s="310">
        <v>0.98728136367999997</v>
      </c>
      <c r="E123" s="310">
        <v>0.999</v>
      </c>
      <c r="F123" s="310">
        <v>1.0093157369600001</v>
      </c>
      <c r="G123" s="310">
        <v>1.0180138126</v>
      </c>
      <c r="H123" s="310">
        <v>1.024</v>
      </c>
      <c r="I123" s="310">
        <v>1.0318803459799999</v>
      </c>
      <c r="J123" s="311">
        <v>1.03741786432</v>
      </c>
      <c r="K123" s="310">
        <v>1.0422329865600002</v>
      </c>
      <c r="L123" s="310">
        <v>1.0464555127999999</v>
      </c>
      <c r="M123" s="310">
        <v>1.0509999999999999</v>
      </c>
      <c r="N123" s="310">
        <v>1.0535470252800001</v>
      </c>
      <c r="O123" s="310">
        <v>1.05658501172</v>
      </c>
      <c r="P123" s="310">
        <v>1.0593713041599999</v>
      </c>
      <c r="Q123" s="310">
        <v>1.0619538075000001</v>
      </c>
      <c r="R123" s="310">
        <v>1.0649999999999999</v>
      </c>
      <c r="S123" s="311">
        <v>1.0666403840800001</v>
      </c>
      <c r="T123" s="310">
        <v>1.0687859371199999</v>
      </c>
      <c r="U123" s="310">
        <v>1.0708135622600001</v>
      </c>
      <c r="V123" s="310">
        <v>1.0727255391999999</v>
      </c>
      <c r="W123" s="310">
        <v>1.0735000000000001</v>
      </c>
      <c r="X123" s="310">
        <v>1.0761892548800003</v>
      </c>
      <c r="Y123" s="310">
        <v>1.0777274930200003</v>
      </c>
      <c r="Z123" s="310">
        <v>1.07912598336</v>
      </c>
      <c r="AA123" s="310">
        <v>1.0803776504</v>
      </c>
      <c r="AB123" s="311">
        <v>1.0820000000000001</v>
      </c>
      <c r="AC123" s="310">
        <v>1.0824260701799999</v>
      </c>
      <c r="AD123" s="310">
        <v>1.0832268819199999</v>
      </c>
      <c r="AE123" s="310">
        <v>1.0838918899600007</v>
      </c>
      <c r="AF123" s="310">
        <v>1.0844409336000003</v>
      </c>
      <c r="AG123" s="310">
        <v>1.085</v>
      </c>
      <c r="AH123" s="310">
        <v>1.0853206124800003</v>
      </c>
      <c r="AI123" s="310">
        <v>1.0857454063199996</v>
      </c>
      <c r="AJ123" s="310">
        <v>1.0862454545600002</v>
      </c>
      <c r="AK123" s="310">
        <v>1.0869037813000002</v>
      </c>
      <c r="AL123" s="311">
        <v>1.0880000000000001</v>
      </c>
      <c r="AM123" s="311">
        <f t="shared" si="2"/>
        <v>1.0880000000000001</v>
      </c>
      <c r="AN123" s="299"/>
    </row>
    <row r="124" spans="1:40" ht="14.25" thickTop="1" thickBot="1" x14ac:dyDescent="0.25">
      <c r="A124" s="354">
        <f>A123+0.001</f>
        <v>40.000999999999998</v>
      </c>
      <c r="B124" s="310">
        <f>B123</f>
        <v>0.95899999999999996</v>
      </c>
      <c r="C124" s="310">
        <f t="shared" ref="C124:AL124" si="3">C123</f>
        <v>0.97399999999999998</v>
      </c>
      <c r="D124" s="310">
        <f t="shared" si="3"/>
        <v>0.98728136367999997</v>
      </c>
      <c r="E124" s="310">
        <f t="shared" si="3"/>
        <v>0.999</v>
      </c>
      <c r="F124" s="310">
        <f t="shared" si="3"/>
        <v>1.0093157369600001</v>
      </c>
      <c r="G124" s="310">
        <f t="shared" si="3"/>
        <v>1.0180138126</v>
      </c>
      <c r="H124" s="310">
        <f t="shared" si="3"/>
        <v>1.024</v>
      </c>
      <c r="I124" s="310">
        <f t="shared" si="3"/>
        <v>1.0318803459799999</v>
      </c>
      <c r="J124" s="311">
        <f t="shared" si="3"/>
        <v>1.03741786432</v>
      </c>
      <c r="K124" s="310">
        <f t="shared" si="3"/>
        <v>1.0422329865600002</v>
      </c>
      <c r="L124" s="310">
        <f t="shared" si="3"/>
        <v>1.0464555127999999</v>
      </c>
      <c r="M124" s="310">
        <f t="shared" si="3"/>
        <v>1.0509999999999999</v>
      </c>
      <c r="N124" s="310">
        <f t="shared" si="3"/>
        <v>1.0535470252800001</v>
      </c>
      <c r="O124" s="310">
        <f t="shared" si="3"/>
        <v>1.05658501172</v>
      </c>
      <c r="P124" s="310">
        <f t="shared" si="3"/>
        <v>1.0593713041599999</v>
      </c>
      <c r="Q124" s="310">
        <f t="shared" si="3"/>
        <v>1.0619538075000001</v>
      </c>
      <c r="R124" s="310">
        <f t="shared" si="3"/>
        <v>1.0649999999999999</v>
      </c>
      <c r="S124" s="311">
        <f t="shared" si="3"/>
        <v>1.0666403840800001</v>
      </c>
      <c r="T124" s="310">
        <f t="shared" si="3"/>
        <v>1.0687859371199999</v>
      </c>
      <c r="U124" s="310">
        <f t="shared" si="3"/>
        <v>1.0708135622600001</v>
      </c>
      <c r="V124" s="310">
        <f t="shared" si="3"/>
        <v>1.0727255391999999</v>
      </c>
      <c r="W124" s="310">
        <f t="shared" si="3"/>
        <v>1.0735000000000001</v>
      </c>
      <c r="X124" s="310">
        <f t="shared" si="3"/>
        <v>1.0761892548800003</v>
      </c>
      <c r="Y124" s="310">
        <f t="shared" si="3"/>
        <v>1.0777274930200003</v>
      </c>
      <c r="Z124" s="310">
        <f t="shared" si="3"/>
        <v>1.07912598336</v>
      </c>
      <c r="AA124" s="310">
        <f t="shared" si="3"/>
        <v>1.0803776504</v>
      </c>
      <c r="AB124" s="311">
        <f t="shared" si="3"/>
        <v>1.0820000000000001</v>
      </c>
      <c r="AC124" s="310">
        <f t="shared" si="3"/>
        <v>1.0824260701799999</v>
      </c>
      <c r="AD124" s="310">
        <f t="shared" si="3"/>
        <v>1.0832268819199999</v>
      </c>
      <c r="AE124" s="310">
        <f t="shared" si="3"/>
        <v>1.0838918899600007</v>
      </c>
      <c r="AF124" s="310">
        <f t="shared" si="3"/>
        <v>1.0844409336000003</v>
      </c>
      <c r="AG124" s="310">
        <f t="shared" si="3"/>
        <v>1.085</v>
      </c>
      <c r="AH124" s="310">
        <f t="shared" si="3"/>
        <v>1.0853206124800003</v>
      </c>
      <c r="AI124" s="310">
        <f t="shared" si="3"/>
        <v>1.0857454063199996</v>
      </c>
      <c r="AJ124" s="310">
        <f t="shared" si="3"/>
        <v>1.0862454545600002</v>
      </c>
      <c r="AK124" s="310">
        <f t="shared" si="3"/>
        <v>1.0869037813000002</v>
      </c>
      <c r="AL124" s="311">
        <f t="shared" si="3"/>
        <v>1.0880000000000001</v>
      </c>
      <c r="AM124" s="311">
        <f>AL123</f>
        <v>1.0880000000000001</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701" t="s">
        <v>57</v>
      </c>
      <c r="B128" s="702"/>
      <c r="C128" s="702"/>
      <c r="D128" s="702"/>
      <c r="E128" s="702"/>
      <c r="F128" s="702"/>
      <c r="G128" s="315"/>
      <c r="H128" s="315"/>
      <c r="I128" s="316"/>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7">
        <v>10</v>
      </c>
      <c r="B230" s="294"/>
      <c r="C230" s="295"/>
      <c r="D230" s="295"/>
      <c r="E230" s="295"/>
      <c r="F230" s="295"/>
      <c r="G230" s="295"/>
      <c r="H230" s="296"/>
      <c r="I230" s="237"/>
    </row>
    <row r="231" spans="1:12" ht="14.25" thickTop="1" thickBot="1" x14ac:dyDescent="0.25">
      <c r="A231" s="317">
        <v>10.000999999999999</v>
      </c>
      <c r="B231" s="294"/>
      <c r="C231" s="295"/>
      <c r="D231" s="295"/>
      <c r="E231" s="295"/>
      <c r="F231" s="295"/>
      <c r="G231" s="295"/>
      <c r="H231" s="296"/>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5" t="s">
        <v>98</v>
      </c>
      <c r="B235" s="320" t="s">
        <v>99</v>
      </c>
      <c r="C235" s="328"/>
      <c r="D235" s="328"/>
      <c r="E235" s="231"/>
      <c r="F235" s="231"/>
      <c r="G235" s="231"/>
      <c r="H235" s="231"/>
      <c r="I235" s="231"/>
      <c r="J235" s="231"/>
      <c r="K235" s="231"/>
      <c r="L235" s="237"/>
    </row>
    <row r="236" spans="1:12" ht="16.5" thickTop="1" x14ac:dyDescent="0.25">
      <c r="A236" s="356">
        <v>4</v>
      </c>
      <c r="B236" s="321">
        <v>0.97102365777231825</v>
      </c>
      <c r="C236" s="328"/>
      <c r="D236" s="357"/>
      <c r="E236" s="231"/>
      <c r="F236" s="231"/>
      <c r="G236" s="231"/>
      <c r="H236" s="231"/>
      <c r="I236" s="231"/>
      <c r="J236" s="231"/>
      <c r="K236" s="231"/>
      <c r="L236" s="237"/>
    </row>
    <row r="237" spans="1:12" x14ac:dyDescent="0.2">
      <c r="A237" s="358">
        <v>5</v>
      </c>
      <c r="B237" s="323">
        <v>0.976848798292413</v>
      </c>
      <c r="C237" s="328"/>
      <c r="D237" s="328"/>
      <c r="E237" s="231"/>
      <c r="F237" s="231"/>
      <c r="G237" s="231"/>
      <c r="H237" s="231"/>
      <c r="I237" s="231"/>
      <c r="J237" s="231"/>
      <c r="K237" s="231"/>
      <c r="L237" s="237"/>
    </row>
    <row r="238" spans="1:12" x14ac:dyDescent="0.2">
      <c r="A238" s="356">
        <v>6</v>
      </c>
      <c r="B238" s="321">
        <v>0.98223210812648909</v>
      </c>
      <c r="C238" s="328"/>
      <c r="D238" s="328"/>
      <c r="E238" s="231"/>
      <c r="F238" s="231"/>
      <c r="G238" s="231"/>
      <c r="H238" s="231"/>
      <c r="I238" s="231"/>
      <c r="J238" s="231"/>
      <c r="K238" s="231"/>
      <c r="L238" s="237"/>
    </row>
    <row r="239" spans="1:12" x14ac:dyDescent="0.2">
      <c r="A239" s="356">
        <v>7</v>
      </c>
      <c r="B239" s="321">
        <v>0.98720746148236727</v>
      </c>
      <c r="C239" s="328"/>
      <c r="D239" s="328"/>
      <c r="E239" s="231"/>
      <c r="F239" s="231"/>
      <c r="G239" s="231"/>
      <c r="H239" s="231"/>
      <c r="I239" s="231"/>
      <c r="J239" s="231"/>
      <c r="K239" s="231"/>
      <c r="L239" s="237"/>
    </row>
    <row r="240" spans="1:12" x14ac:dyDescent="0.2">
      <c r="A240" s="356">
        <v>8</v>
      </c>
      <c r="B240" s="321">
        <v>0.99180709758393359</v>
      </c>
      <c r="C240" s="328"/>
      <c r="D240" s="328"/>
      <c r="E240" s="231"/>
      <c r="F240" s="231"/>
      <c r="G240" s="231"/>
      <c r="H240" s="231"/>
      <c r="I240" s="231"/>
      <c r="J240" s="231"/>
      <c r="K240" s="231"/>
      <c r="L240" s="237"/>
    </row>
    <row r="241" spans="1:12" x14ac:dyDescent="0.2">
      <c r="A241" s="356">
        <v>9</v>
      </c>
      <c r="B241" s="321">
        <v>0.99606162067113924</v>
      </c>
      <c r="C241" s="328"/>
      <c r="D241" s="328"/>
      <c r="E241" s="231"/>
      <c r="F241" s="231"/>
      <c r="G241" s="231"/>
      <c r="H241" s="231"/>
      <c r="I241" s="231"/>
      <c r="J241" s="231"/>
      <c r="K241" s="231"/>
      <c r="L241" s="237"/>
    </row>
    <row r="242" spans="1:12" x14ac:dyDescent="0.2">
      <c r="A242" s="358">
        <v>10</v>
      </c>
      <c r="B242" s="323">
        <v>1</v>
      </c>
      <c r="C242" s="328"/>
      <c r="D242" s="328"/>
      <c r="E242" s="231"/>
      <c r="F242" s="231"/>
      <c r="G242" s="231"/>
      <c r="H242" s="231"/>
      <c r="I242" s="231"/>
      <c r="J242" s="231"/>
      <c r="K242" s="231"/>
      <c r="L242" s="237"/>
    </row>
    <row r="243" spans="1:12" x14ac:dyDescent="0.2">
      <c r="A243" s="356">
        <v>11</v>
      </c>
      <c r="B243" s="321">
        <v>1.0036495698425971</v>
      </c>
      <c r="C243" s="328"/>
      <c r="D243" s="328"/>
      <c r="E243" s="231"/>
      <c r="F243" s="231"/>
      <c r="G243" s="231"/>
      <c r="H243" s="231"/>
      <c r="I243" s="231"/>
      <c r="J243" s="231"/>
      <c r="K243" s="231"/>
      <c r="L243" s="237"/>
    </row>
    <row r="244" spans="1:12" x14ac:dyDescent="0.2">
      <c r="A244" s="356">
        <v>12</v>
      </c>
      <c r="B244" s="321">
        <v>1.007036029487077</v>
      </c>
      <c r="C244" s="328"/>
      <c r="D244" s="328"/>
      <c r="E244" s="231"/>
      <c r="F244" s="231"/>
      <c r="G244" s="231"/>
      <c r="H244" s="231"/>
      <c r="I244" s="231"/>
      <c r="J244" s="231"/>
      <c r="K244" s="231"/>
      <c r="L244" s="237"/>
    </row>
    <row r="245" spans="1:12" x14ac:dyDescent="0.2">
      <c r="A245" s="356">
        <v>13</v>
      </c>
      <c r="B245" s="321">
        <v>1.0101834432376506</v>
      </c>
      <c r="C245" s="328"/>
      <c r="D245" s="328"/>
      <c r="E245" s="231"/>
      <c r="F245" s="231"/>
      <c r="G245" s="231"/>
      <c r="H245" s="231"/>
      <c r="I245" s="231"/>
      <c r="J245" s="231"/>
      <c r="K245" s="231"/>
      <c r="L245" s="237"/>
    </row>
    <row r="246" spans="1:12" x14ac:dyDescent="0.2">
      <c r="A246" s="356">
        <v>14</v>
      </c>
      <c r="B246" s="321">
        <v>1.0131142404145943</v>
      </c>
      <c r="C246" s="328"/>
      <c r="D246" s="328"/>
      <c r="E246" s="231"/>
      <c r="F246" s="231"/>
      <c r="G246" s="231"/>
      <c r="H246" s="231"/>
      <c r="I246" s="231"/>
      <c r="J246" s="231"/>
      <c r="K246" s="231"/>
      <c r="L246" s="237"/>
    </row>
    <row r="247" spans="1:12" x14ac:dyDescent="0.2">
      <c r="A247" s="358">
        <v>15</v>
      </c>
      <c r="B247" s="323">
        <v>1.0158492153542495</v>
      </c>
      <c r="C247" s="328"/>
      <c r="D247" s="328"/>
      <c r="E247" s="231"/>
      <c r="F247" s="231"/>
      <c r="G247" s="231"/>
      <c r="H247" s="231"/>
      <c r="I247" s="231"/>
      <c r="J247" s="231"/>
      <c r="K247" s="231"/>
      <c r="L247" s="237"/>
    </row>
    <row r="248" spans="1:12" x14ac:dyDescent="0.2">
      <c r="A248" s="356">
        <v>16</v>
      </c>
      <c r="B248" s="321">
        <v>1.0184075274090227</v>
      </c>
      <c r="C248" s="328"/>
      <c r="D248" s="328"/>
      <c r="E248" s="231"/>
      <c r="F248" s="231"/>
      <c r="G248" s="231"/>
      <c r="H248" s="231"/>
      <c r="I248" s="231"/>
      <c r="J248" s="231"/>
      <c r="K248" s="231"/>
      <c r="L248" s="237"/>
    </row>
    <row r="249" spans="1:12" x14ac:dyDescent="0.2">
      <c r="A249" s="356">
        <v>17</v>
      </c>
      <c r="B249" s="321">
        <v>1.0208067009473849</v>
      </c>
      <c r="C249" s="328"/>
      <c r="D249" s="328"/>
      <c r="E249" s="231"/>
      <c r="F249" s="231"/>
      <c r="G249" s="231"/>
      <c r="H249" s="231"/>
      <c r="I249" s="231"/>
      <c r="J249" s="231"/>
      <c r="K249" s="231"/>
      <c r="L249" s="237"/>
    </row>
    <row r="250" spans="1:12" x14ac:dyDescent="0.2">
      <c r="A250" s="356">
        <v>18</v>
      </c>
      <c r="B250" s="321">
        <v>1.023062625353873</v>
      </c>
      <c r="C250" s="328"/>
      <c r="D250" s="328"/>
      <c r="E250" s="231"/>
      <c r="F250" s="231"/>
      <c r="G250" s="231"/>
      <c r="H250" s="231"/>
      <c r="I250" s="231"/>
      <c r="J250" s="231"/>
      <c r="K250" s="231"/>
      <c r="L250" s="237"/>
    </row>
    <row r="251" spans="1:12" x14ac:dyDescent="0.2">
      <c r="A251" s="356">
        <v>19</v>
      </c>
      <c r="B251" s="321">
        <v>1.0251895550290884</v>
      </c>
      <c r="C251" s="328"/>
      <c r="D251" s="328"/>
      <c r="E251" s="231"/>
      <c r="F251" s="231"/>
      <c r="G251" s="231"/>
      <c r="H251" s="231"/>
      <c r="I251" s="231"/>
      <c r="J251" s="231"/>
      <c r="K251" s="231"/>
      <c r="L251" s="237"/>
    </row>
    <row r="252" spans="1:12" x14ac:dyDescent="0.2">
      <c r="A252" s="358">
        <v>20</v>
      </c>
      <c r="B252" s="323">
        <v>1.0272001093896979</v>
      </c>
      <c r="C252" s="328"/>
      <c r="D252" s="328"/>
      <c r="E252" s="231"/>
      <c r="F252" s="231"/>
      <c r="G252" s="231"/>
      <c r="H252" s="231"/>
      <c r="I252" s="231"/>
      <c r="J252" s="231"/>
      <c r="K252" s="231"/>
      <c r="L252" s="237"/>
    </row>
    <row r="253" spans="1:12" x14ac:dyDescent="0.2">
      <c r="A253" s="356">
        <v>21</v>
      </c>
      <c r="B253" s="321">
        <v>1.0291052728684329</v>
      </c>
      <c r="C253" s="328"/>
      <c r="D253" s="328"/>
      <c r="E253" s="231"/>
      <c r="F253" s="231"/>
      <c r="G253" s="231"/>
      <c r="H253" s="231"/>
      <c r="I253" s="231"/>
      <c r="J253" s="231"/>
      <c r="K253" s="231"/>
      <c r="L253" s="237"/>
    </row>
    <row r="254" spans="1:12" x14ac:dyDescent="0.2">
      <c r="A254" s="356">
        <v>22</v>
      </c>
      <c r="B254" s="321">
        <v>1.0309143949140902</v>
      </c>
      <c r="C254" s="328"/>
      <c r="D254" s="328"/>
      <c r="E254" s="231"/>
      <c r="F254" s="231"/>
      <c r="G254" s="231"/>
      <c r="H254" s="231"/>
      <c r="I254" s="231"/>
      <c r="J254" s="231"/>
      <c r="K254" s="231"/>
      <c r="L254" s="237"/>
    </row>
    <row r="255" spans="1:12" x14ac:dyDescent="0.2">
      <c r="A255" s="356">
        <v>23</v>
      </c>
      <c r="B255" s="321">
        <v>1.0326351899915311</v>
      </c>
      <c r="C255" s="328"/>
      <c r="D255" s="328"/>
      <c r="E255" s="231"/>
      <c r="F255" s="231"/>
      <c r="G255" s="231"/>
      <c r="H255" s="231"/>
      <c r="I255" s="231"/>
      <c r="J255" s="231"/>
      <c r="K255" s="231"/>
      <c r="L255" s="237"/>
    </row>
    <row r="256" spans="1:12" x14ac:dyDescent="0.2">
      <c r="A256" s="356">
        <v>24</v>
      </c>
      <c r="B256" s="321">
        <v>1.0342737375816833</v>
      </c>
      <c r="C256" s="328"/>
      <c r="D256" s="328"/>
      <c r="E256" s="231"/>
      <c r="F256" s="231"/>
      <c r="G256" s="231"/>
      <c r="H256" s="231"/>
      <c r="I256" s="231"/>
      <c r="J256" s="231"/>
      <c r="K256" s="231"/>
      <c r="L256" s="237"/>
    </row>
    <row r="257" spans="1:12" x14ac:dyDescent="0.2">
      <c r="A257" s="358">
        <v>25</v>
      </c>
      <c r="B257" s="323">
        <v>1.0358344821815377</v>
      </c>
      <c r="C257" s="328"/>
      <c r="D257" s="328"/>
      <c r="E257" s="231"/>
      <c r="F257" s="231"/>
      <c r="G257" s="231"/>
      <c r="H257" s="231"/>
      <c r="I257" s="231"/>
      <c r="J257" s="231"/>
      <c r="K257" s="231"/>
      <c r="L257" s="237"/>
    </row>
    <row r="258" spans="1:12" x14ac:dyDescent="0.2">
      <c r="A258" s="356">
        <v>26</v>
      </c>
      <c r="B258" s="321">
        <v>1.0373202333041518</v>
      </c>
      <c r="C258" s="328"/>
      <c r="D258" s="328"/>
      <c r="E258" s="231"/>
      <c r="F258" s="231"/>
      <c r="G258" s="231"/>
      <c r="H258" s="231"/>
      <c r="I258" s="231"/>
      <c r="J258" s="231"/>
      <c r="K258" s="231"/>
      <c r="L258" s="237"/>
    </row>
    <row r="259" spans="1:12" x14ac:dyDescent="0.2">
      <c r="A259" s="356">
        <v>27</v>
      </c>
      <c r="B259" s="321">
        <v>1.0387321654786474</v>
      </c>
      <c r="C259" s="328"/>
      <c r="D259" s="328"/>
      <c r="E259" s="231"/>
      <c r="F259" s="231"/>
      <c r="G259" s="231"/>
      <c r="H259" s="231"/>
      <c r="I259" s="231"/>
      <c r="J259" s="231"/>
      <c r="K259" s="231"/>
      <c r="L259" s="237"/>
    </row>
    <row r="260" spans="1:12" x14ac:dyDescent="0.2">
      <c r="A260" s="356">
        <v>28</v>
      </c>
      <c r="B260" s="321">
        <v>1.0400698182502113</v>
      </c>
      <c r="C260" s="328"/>
      <c r="D260" s="328"/>
      <c r="E260" s="231"/>
      <c r="F260" s="231"/>
      <c r="G260" s="231"/>
      <c r="H260" s="231"/>
      <c r="I260" s="231"/>
      <c r="J260" s="231"/>
      <c r="K260" s="231"/>
      <c r="L260" s="237"/>
    </row>
    <row r="261" spans="1:12" x14ac:dyDescent="0.2">
      <c r="A261" s="356">
        <v>29</v>
      </c>
      <c r="B261" s="321">
        <v>1.0413310961800959</v>
      </c>
      <c r="C261" s="328"/>
      <c r="D261" s="328"/>
      <c r="E261" s="231"/>
      <c r="F261" s="231"/>
      <c r="G261" s="231"/>
      <c r="H261" s="231"/>
      <c r="I261" s="231"/>
      <c r="J261" s="231"/>
      <c r="K261" s="231"/>
      <c r="L261" s="237"/>
    </row>
    <row r="262" spans="1:12" x14ac:dyDescent="0.2">
      <c r="A262" s="358">
        <v>30</v>
      </c>
      <c r="B262" s="323">
        <v>1.0425122688456181</v>
      </c>
      <c r="C262" s="328"/>
      <c r="D262" s="328"/>
      <c r="E262" s="231"/>
      <c r="F262" s="231"/>
      <c r="G262" s="231"/>
      <c r="H262" s="231"/>
      <c r="I262" s="231"/>
      <c r="J262" s="231"/>
      <c r="K262" s="231"/>
      <c r="L262" s="237"/>
    </row>
    <row r="263" spans="1:12" x14ac:dyDescent="0.2">
      <c r="A263" s="356">
        <v>31</v>
      </c>
      <c r="B263" s="321">
        <v>1.0436079708401598</v>
      </c>
      <c r="C263" s="328"/>
      <c r="D263" s="328"/>
      <c r="E263" s="231"/>
      <c r="F263" s="231"/>
      <c r="G263" s="231"/>
      <c r="H263" s="231"/>
      <c r="I263" s="231"/>
      <c r="J263" s="231"/>
      <c r="K263" s="231"/>
      <c r="L263" s="237"/>
    </row>
    <row r="264" spans="1:12" x14ac:dyDescent="0.2">
      <c r="A264" s="356">
        <v>32</v>
      </c>
      <c r="B264" s="321">
        <v>1.0446112017731688</v>
      </c>
      <c r="C264" s="328"/>
      <c r="D264" s="328"/>
      <c r="E264" s="231"/>
      <c r="F264" s="231"/>
      <c r="G264" s="231"/>
      <c r="H264" s="231"/>
      <c r="I264" s="231"/>
      <c r="J264" s="231"/>
      <c r="K264" s="231"/>
      <c r="L264" s="237"/>
    </row>
    <row r="265" spans="1:12" x14ac:dyDescent="0.2">
      <c r="A265" s="356">
        <v>33</v>
      </c>
      <c r="B265" s="321">
        <v>1.0455133262701568</v>
      </c>
      <c r="C265" s="328"/>
      <c r="D265" s="328"/>
      <c r="E265" s="231"/>
      <c r="F265" s="231"/>
      <c r="G265" s="231"/>
      <c r="H265" s="231"/>
      <c r="I265" s="231"/>
      <c r="J265" s="231"/>
      <c r="K265" s="231"/>
      <c r="L265" s="237"/>
    </row>
    <row r="266" spans="1:12" x14ac:dyDescent="0.2">
      <c r="A266" s="356">
        <v>34</v>
      </c>
      <c r="B266" s="321">
        <v>1.0463040739727014</v>
      </c>
      <c r="C266" s="328"/>
      <c r="D266" s="328"/>
      <c r="E266" s="231"/>
      <c r="F266" s="231"/>
      <c r="G266" s="231"/>
      <c r="H266" s="231"/>
      <c r="I266" s="231"/>
      <c r="J266" s="231"/>
      <c r="K266" s="231"/>
      <c r="L266" s="237"/>
    </row>
    <row r="267" spans="1:12" x14ac:dyDescent="0.2">
      <c r="A267" s="358">
        <v>35</v>
      </c>
      <c r="B267" s="323">
        <v>1.0469715395384445</v>
      </c>
      <c r="C267" s="328"/>
      <c r="D267" s="328"/>
      <c r="E267" s="231"/>
      <c r="F267" s="231"/>
      <c r="G267" s="231"/>
      <c r="H267" s="231"/>
      <c r="I267" s="231"/>
      <c r="J267" s="231"/>
      <c r="K267" s="231"/>
      <c r="L267" s="237"/>
    </row>
    <row r="268" spans="1:12" x14ac:dyDescent="0.2">
      <c r="A268" s="356">
        <v>36</v>
      </c>
      <c r="B268" s="321">
        <v>1.047502182641094</v>
      </c>
      <c r="C268" s="328"/>
      <c r="D268" s="328"/>
      <c r="E268" s="231"/>
      <c r="F268" s="231"/>
      <c r="G268" s="231"/>
      <c r="H268" s="231"/>
      <c r="I268" s="231"/>
      <c r="J268" s="231"/>
      <c r="K268" s="231"/>
      <c r="L268" s="237"/>
    </row>
    <row r="269" spans="1:12" x14ac:dyDescent="0.2">
      <c r="A269" s="356">
        <v>37</v>
      </c>
      <c r="B269" s="321">
        <v>1.0478808279704224</v>
      </c>
      <c r="C269" s="328"/>
      <c r="D269" s="328"/>
      <c r="E269" s="231"/>
      <c r="F269" s="231"/>
      <c r="G269" s="231"/>
      <c r="H269" s="231"/>
      <c r="I269" s="231"/>
      <c r="J269" s="231"/>
      <c r="K269" s="231"/>
      <c r="L269" s="237"/>
    </row>
    <row r="270" spans="1:12" x14ac:dyDescent="0.2">
      <c r="A270" s="356">
        <v>38</v>
      </c>
      <c r="B270" s="321">
        <v>1.0486333130210854</v>
      </c>
      <c r="C270" s="328"/>
      <c r="D270" s="328"/>
      <c r="E270" s="231"/>
      <c r="F270" s="231"/>
      <c r="G270" s="231"/>
      <c r="H270" s="231"/>
      <c r="I270" s="231"/>
      <c r="J270" s="231"/>
      <c r="K270" s="231"/>
      <c r="L270" s="237"/>
    </row>
    <row r="271" spans="1:12" x14ac:dyDescent="0.2">
      <c r="A271" s="356">
        <v>39</v>
      </c>
      <c r="B271" s="321">
        <v>1.0491784378790303</v>
      </c>
      <c r="C271" s="328"/>
      <c r="D271" s="328"/>
      <c r="E271" s="231"/>
      <c r="F271" s="231"/>
      <c r="G271" s="231"/>
      <c r="H271" s="231"/>
      <c r="I271" s="231"/>
      <c r="J271" s="231"/>
      <c r="K271" s="231"/>
      <c r="L271" s="237"/>
    </row>
    <row r="272" spans="1:12" x14ac:dyDescent="0.2">
      <c r="A272" s="359">
        <v>40</v>
      </c>
      <c r="B272" s="325">
        <v>1.0496196964748177</v>
      </c>
      <c r="C272" s="328"/>
      <c r="D272" s="328"/>
      <c r="E272" s="231"/>
      <c r="F272" s="231"/>
      <c r="G272" s="231"/>
      <c r="H272" s="231"/>
      <c r="I272" s="231"/>
      <c r="J272" s="231"/>
      <c r="K272" s="231"/>
      <c r="L272" s="237"/>
    </row>
    <row r="273" spans="1:12" x14ac:dyDescent="0.2">
      <c r="A273" s="359">
        <v>41</v>
      </c>
      <c r="B273" s="325">
        <v>1.050249527141474</v>
      </c>
      <c r="C273" s="328"/>
      <c r="D273" s="328"/>
      <c r="E273" s="231"/>
      <c r="F273" s="231"/>
      <c r="G273" s="231"/>
      <c r="H273" s="231"/>
      <c r="I273" s="231"/>
      <c r="J273" s="231"/>
      <c r="K273" s="231"/>
      <c r="L273" s="237"/>
    </row>
    <row r="274" spans="1:12" x14ac:dyDescent="0.2">
      <c r="A274" s="359">
        <v>42</v>
      </c>
      <c r="B274" s="325">
        <v>1.0507373864829046</v>
      </c>
      <c r="C274" s="328"/>
      <c r="D274" s="328"/>
      <c r="E274" s="231"/>
      <c r="F274" s="231"/>
      <c r="G274" s="231"/>
      <c r="H274" s="231"/>
      <c r="I274" s="231"/>
      <c r="J274" s="231"/>
      <c r="K274" s="231"/>
      <c r="L274" s="237"/>
    </row>
    <row r="275" spans="1:12" x14ac:dyDescent="0.2">
      <c r="A275" s="359">
        <v>43</v>
      </c>
      <c r="B275" s="325">
        <v>1.0511956363637658</v>
      </c>
      <c r="C275" s="328"/>
      <c r="D275" s="328"/>
      <c r="E275" s="231"/>
      <c r="F275" s="231"/>
      <c r="G275" s="231"/>
      <c r="H275" s="231"/>
      <c r="I275" s="231"/>
      <c r="J275" s="231"/>
      <c r="K275" s="231"/>
      <c r="L275" s="237"/>
    </row>
    <row r="276" spans="1:12" x14ac:dyDescent="0.2">
      <c r="A276" s="359">
        <v>44</v>
      </c>
      <c r="B276" s="325">
        <v>1.0516255595954327</v>
      </c>
      <c r="C276" s="328"/>
      <c r="D276" s="328"/>
      <c r="E276" s="231"/>
      <c r="F276" s="231"/>
      <c r="G276" s="231"/>
      <c r="H276" s="231"/>
      <c r="I276" s="231"/>
      <c r="J276" s="231"/>
      <c r="K276" s="231"/>
      <c r="L276" s="237"/>
    </row>
    <row r="277" spans="1:12" x14ac:dyDescent="0.2">
      <c r="A277" s="359">
        <v>45</v>
      </c>
      <c r="B277" s="325">
        <v>1.0519934100009849</v>
      </c>
      <c r="C277" s="328"/>
      <c r="D277" s="328"/>
      <c r="E277" s="231"/>
      <c r="F277" s="231"/>
      <c r="G277" s="231"/>
      <c r="H277" s="231"/>
      <c r="I277" s="231"/>
      <c r="J277" s="231"/>
      <c r="K277" s="231"/>
      <c r="L277" s="237"/>
    </row>
    <row r="278" spans="1:12" x14ac:dyDescent="0.2">
      <c r="A278" s="359">
        <v>46</v>
      </c>
      <c r="B278" s="325">
        <v>1.0524040451286636</v>
      </c>
      <c r="C278" s="328"/>
      <c r="D278" s="328"/>
      <c r="E278" s="231"/>
      <c r="F278" s="231"/>
      <c r="G278" s="231"/>
      <c r="H278" s="231"/>
      <c r="I278" s="231"/>
      <c r="J278" s="231"/>
      <c r="K278" s="231"/>
      <c r="L278" s="237"/>
    </row>
    <row r="279" spans="1:12" x14ac:dyDescent="0.2">
      <c r="A279" s="359">
        <v>47</v>
      </c>
      <c r="B279" s="325">
        <v>1.052753660824961</v>
      </c>
      <c r="C279" s="328"/>
      <c r="D279" s="328"/>
      <c r="E279" s="231"/>
      <c r="F279" s="231"/>
      <c r="G279" s="231"/>
      <c r="H279" s="231"/>
      <c r="I279" s="231"/>
      <c r="J279" s="231"/>
      <c r="K279" s="231"/>
      <c r="L279" s="237"/>
    </row>
    <row r="280" spans="1:12" x14ac:dyDescent="0.2">
      <c r="A280" s="359">
        <v>48</v>
      </c>
      <c r="B280" s="325">
        <v>1.0530770566615302</v>
      </c>
      <c r="C280" s="328"/>
      <c r="D280" s="328"/>
      <c r="E280" s="231"/>
      <c r="F280" s="231"/>
      <c r="G280" s="231"/>
      <c r="H280" s="231"/>
      <c r="I280" s="231"/>
      <c r="J280" s="231"/>
      <c r="K280" s="231"/>
      <c r="L280" s="237"/>
    </row>
    <row r="281" spans="1:12" x14ac:dyDescent="0.2">
      <c r="A281" s="359">
        <v>49</v>
      </c>
      <c r="B281" s="325">
        <v>1.0533740032217302</v>
      </c>
      <c r="C281" s="328"/>
      <c r="D281" s="328"/>
      <c r="E281" s="231"/>
      <c r="F281" s="231"/>
      <c r="G281" s="231"/>
      <c r="H281" s="231"/>
      <c r="I281" s="231"/>
      <c r="J281" s="231"/>
      <c r="K281" s="231"/>
      <c r="L281" s="237"/>
    </row>
    <row r="282" spans="1:12" x14ac:dyDescent="0.2">
      <c r="A282" s="359">
        <v>50</v>
      </c>
      <c r="B282" s="325">
        <v>1.0536439686433174</v>
      </c>
      <c r="C282" s="328"/>
      <c r="D282" s="328"/>
      <c r="E282" s="231"/>
      <c r="F282" s="231"/>
      <c r="G282" s="231"/>
      <c r="H282" s="231"/>
      <c r="I282" s="231"/>
      <c r="J282" s="231"/>
      <c r="K282" s="231"/>
      <c r="L282" s="237"/>
    </row>
    <row r="283" spans="1:12" x14ac:dyDescent="0.2">
      <c r="A283" s="359">
        <v>51</v>
      </c>
      <c r="B283" s="325">
        <v>1.0538861186184447</v>
      </c>
      <c r="C283" s="328"/>
      <c r="D283" s="328"/>
      <c r="E283" s="231"/>
      <c r="F283" s="231"/>
      <c r="G283" s="231"/>
      <c r="H283" s="231"/>
      <c r="I283" s="231"/>
      <c r="J283" s="231"/>
      <c r="K283" s="231"/>
      <c r="L283" s="237"/>
    </row>
    <row r="284" spans="1:12" x14ac:dyDescent="0.2">
      <c r="A284" s="359">
        <v>52</v>
      </c>
      <c r="B284" s="325">
        <v>1.0540993163936623</v>
      </c>
      <c r="C284" s="328"/>
      <c r="D284" s="328"/>
      <c r="E284" s="231"/>
      <c r="F284" s="231"/>
      <c r="G284" s="231"/>
      <c r="H284" s="231"/>
      <c r="I284" s="231"/>
      <c r="J284" s="231"/>
      <c r="K284" s="231"/>
      <c r="L284" s="237"/>
    </row>
    <row r="285" spans="1:12" x14ac:dyDescent="0.2">
      <c r="A285" s="359">
        <v>53</v>
      </c>
      <c r="B285" s="325">
        <v>1.0542821227699171</v>
      </c>
      <c r="C285" s="328"/>
      <c r="D285" s="328"/>
      <c r="E285" s="231"/>
      <c r="F285" s="231"/>
      <c r="G285" s="231"/>
      <c r="H285" s="231"/>
      <c r="I285" s="231"/>
      <c r="J285" s="231"/>
      <c r="K285" s="231"/>
      <c r="L285" s="237"/>
    </row>
    <row r="286" spans="1:12" x14ac:dyDescent="0.2">
      <c r="A286" s="359">
        <v>54</v>
      </c>
      <c r="B286" s="325">
        <v>1.0544327961025532</v>
      </c>
      <c r="C286" s="328"/>
      <c r="D286" s="328"/>
      <c r="E286" s="231"/>
      <c r="F286" s="231"/>
      <c r="G286" s="231"/>
      <c r="H286" s="231"/>
      <c r="I286" s="231"/>
      <c r="J286" s="231"/>
      <c r="K286" s="231"/>
      <c r="L286" s="237"/>
    </row>
    <row r="287" spans="1:12" x14ac:dyDescent="0.2">
      <c r="A287" s="359">
        <v>55</v>
      </c>
      <c r="B287" s="325">
        <v>1.0545492923013118</v>
      </c>
      <c r="C287" s="328"/>
      <c r="D287" s="328"/>
      <c r="E287" s="231"/>
      <c r="F287" s="231"/>
      <c r="G287" s="231"/>
      <c r="H287" s="231"/>
      <c r="I287" s="231"/>
      <c r="J287" s="231"/>
      <c r="K287" s="231"/>
      <c r="L287" s="237"/>
    </row>
    <row r="288" spans="1:12" x14ac:dyDescent="0.2">
      <c r="A288" s="359">
        <v>56</v>
      </c>
      <c r="B288" s="325">
        <v>1.0546292648303304</v>
      </c>
      <c r="C288" s="328"/>
      <c r="D288" s="328"/>
      <c r="E288" s="231"/>
      <c r="F288" s="231"/>
      <c r="G288" s="231"/>
      <c r="H288" s="231"/>
      <c r="I288" s="231"/>
      <c r="J288" s="231"/>
      <c r="K288" s="231"/>
      <c r="L288" s="237"/>
    </row>
    <row r="289" spans="1:40" x14ac:dyDescent="0.2">
      <c r="A289" s="359">
        <v>57</v>
      </c>
      <c r="B289" s="325">
        <v>1.0546700647081446</v>
      </c>
      <c r="C289" s="328"/>
      <c r="D289" s="328"/>
      <c r="E289" s="231"/>
      <c r="F289" s="231"/>
      <c r="G289" s="231"/>
      <c r="H289" s="231"/>
      <c r="I289" s="231"/>
      <c r="J289" s="231"/>
      <c r="K289" s="231"/>
      <c r="L289" s="237"/>
    </row>
    <row r="290" spans="1:40" x14ac:dyDescent="0.2">
      <c r="A290" s="359">
        <v>58</v>
      </c>
      <c r="B290" s="325">
        <v>1.0546687405076864</v>
      </c>
      <c r="C290" s="328"/>
      <c r="D290" s="328"/>
      <c r="E290" s="231"/>
      <c r="F290" s="231"/>
      <c r="G290" s="231"/>
      <c r="H290" s="231"/>
      <c r="I290" s="231"/>
      <c r="J290" s="231"/>
      <c r="K290" s="231"/>
      <c r="L290" s="237"/>
    </row>
    <row r="291" spans="1:40" x14ac:dyDescent="0.2">
      <c r="A291" s="359">
        <v>59</v>
      </c>
      <c r="B291" s="325">
        <v>1.0547221328767411</v>
      </c>
      <c r="C291" s="328"/>
      <c r="D291" s="328"/>
      <c r="E291" s="231"/>
      <c r="F291" s="231"/>
      <c r="G291" s="231"/>
      <c r="H291" s="231"/>
      <c r="I291" s="231"/>
      <c r="J291" s="231"/>
      <c r="K291" s="231"/>
      <c r="L291" s="237"/>
    </row>
    <row r="292" spans="1:40" ht="13.5" thickBot="1" x14ac:dyDescent="0.25">
      <c r="A292" s="360">
        <v>60</v>
      </c>
      <c r="B292" s="327">
        <v>1.0549962456146889</v>
      </c>
      <c r="C292" s="328"/>
      <c r="D292" s="328"/>
      <c r="E292" s="231"/>
      <c r="F292" s="231"/>
      <c r="G292" s="231"/>
      <c r="H292" s="231"/>
      <c r="I292" s="231"/>
      <c r="J292" s="231"/>
      <c r="K292" s="231"/>
      <c r="L292" s="237"/>
    </row>
    <row r="293" spans="1:40" ht="13.5" thickBot="1" x14ac:dyDescent="0.25">
      <c r="A293" s="548">
        <v>60.000999999999998</v>
      </c>
      <c r="B293" s="327">
        <f>B292</f>
        <v>1.0549962456146889</v>
      </c>
      <c r="C293" s="328"/>
      <c r="D293" s="32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703"/>
      <c r="C296" s="703"/>
      <c r="D296" s="703"/>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8"/>
      <c r="B297" s="699" t="s">
        <v>28</v>
      </c>
      <c r="C297" s="700"/>
      <c r="D297" s="700"/>
      <c r="E297" s="700"/>
      <c r="F297" s="700"/>
      <c r="G297" s="700"/>
      <c r="H297" s="700"/>
      <c r="I297" s="700"/>
      <c r="J297" s="700"/>
      <c r="K297" s="328"/>
      <c r="L297" s="328"/>
      <c r="M297" s="328"/>
      <c r="N297" s="328"/>
      <c r="O297" s="328"/>
      <c r="P297" s="328"/>
      <c r="Q297" s="328"/>
      <c r="R297" s="328"/>
      <c r="S297" s="328"/>
      <c r="T297" s="328"/>
      <c r="U297" s="328"/>
      <c r="V297" s="328"/>
      <c r="W297" s="328"/>
      <c r="X297" s="328"/>
      <c r="Y297" s="328"/>
      <c r="Z297" s="328"/>
      <c r="AA297" s="328"/>
      <c r="AB297" s="328"/>
      <c r="AC297" s="328"/>
      <c r="AD297" s="328"/>
      <c r="AE297" s="328"/>
      <c r="AF297" s="328"/>
      <c r="AG297" s="328"/>
      <c r="AH297" s="328"/>
      <c r="AI297" s="328"/>
      <c r="AJ297" s="328"/>
      <c r="AK297" s="328"/>
      <c r="AL297" s="328"/>
      <c r="AM297" s="328"/>
      <c r="AN297" s="237"/>
    </row>
    <row r="298" spans="1:40" ht="14.25" thickTop="1" thickBot="1" x14ac:dyDescent="0.25">
      <c r="A298" s="351"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2">
        <v>4</v>
      </c>
      <c r="B299" s="304">
        <v>0.95290227967999996</v>
      </c>
      <c r="C299" s="304">
        <v>0.95885015312499999</v>
      </c>
      <c r="D299" s="304">
        <v>0.96389604431999998</v>
      </c>
      <c r="E299" s="304">
        <v>0.96815036061499993</v>
      </c>
      <c r="F299" s="304">
        <v>0.97171456575999993</v>
      </c>
      <c r="G299" s="304">
        <v>0.97468153330499996</v>
      </c>
      <c r="H299" s="304">
        <v>0.97713589999999995</v>
      </c>
      <c r="I299" s="304">
        <v>0.97915441919500001</v>
      </c>
      <c r="J299" s="305">
        <v>0.98080631423999998</v>
      </c>
      <c r="K299" s="304">
        <v>0.98215363188499993</v>
      </c>
      <c r="L299" s="304">
        <v>0.98325159567999998</v>
      </c>
      <c r="M299" s="304">
        <v>0.98414895937500002</v>
      </c>
      <c r="N299" s="304">
        <v>0.98488836032000004</v>
      </c>
      <c r="O299" s="304">
        <v>0.98550667286499993</v>
      </c>
      <c r="P299" s="304">
        <v>0.98603536175999995</v>
      </c>
      <c r="Q299" s="304">
        <v>0.98650083555500001</v>
      </c>
      <c r="R299" s="304">
        <v>0.98692479999999994</v>
      </c>
      <c r="S299" s="305">
        <v>0.98732461144499994</v>
      </c>
      <c r="T299" s="304">
        <v>0.98771363024000003</v>
      </c>
      <c r="U299" s="304">
        <v>0.9881015741350001</v>
      </c>
      <c r="V299" s="304">
        <v>0.98849487168000005</v>
      </c>
      <c r="W299" s="304">
        <v>0.98889701562499999</v>
      </c>
      <c r="X299" s="304">
        <v>0.98930891631999995</v>
      </c>
      <c r="Y299" s="304">
        <v>0.98972925511500009</v>
      </c>
      <c r="Z299" s="304">
        <v>0.99015483776000002</v>
      </c>
      <c r="AA299" s="304">
        <v>0.99058094780500006</v>
      </c>
      <c r="AB299" s="305">
        <v>0.9910017000000001</v>
      </c>
      <c r="AC299" s="304">
        <v>0.99141039369500006</v>
      </c>
      <c r="AD299" s="304">
        <v>0.99179986624000005</v>
      </c>
      <c r="AE299" s="304">
        <v>0.99216284638499996</v>
      </c>
      <c r="AF299" s="304">
        <v>0.99249230767999996</v>
      </c>
      <c r="AG299" s="304">
        <v>0.99278182187499997</v>
      </c>
      <c r="AH299" s="304">
        <v>0.99302591232000015</v>
      </c>
      <c r="AI299" s="304">
        <v>0.99322040736499995</v>
      </c>
      <c r="AJ299" s="304">
        <v>0.99336279376000025</v>
      </c>
      <c r="AK299" s="304">
        <v>0.99345257005500009</v>
      </c>
      <c r="AL299" s="305">
        <v>0.99349160000000003</v>
      </c>
      <c r="AM299" s="305">
        <f>AL299</f>
        <v>0.99349160000000003</v>
      </c>
      <c r="AN299" s="237"/>
    </row>
    <row r="300" spans="1:40" x14ac:dyDescent="0.2">
      <c r="A300" s="353">
        <v>5</v>
      </c>
      <c r="B300" s="307">
        <v>0.95685193423999992</v>
      </c>
      <c r="C300" s="307">
        <v>0.96350077906249998</v>
      </c>
      <c r="D300" s="307">
        <v>0.96909414259999993</v>
      </c>
      <c r="E300" s="307">
        <v>0.97377232976749994</v>
      </c>
      <c r="F300" s="307">
        <v>0.97766285215999993</v>
      </c>
      <c r="G300" s="307">
        <v>0.98088101515250004</v>
      </c>
      <c r="H300" s="307">
        <v>0.98353050499999994</v>
      </c>
      <c r="I300" s="307">
        <v>0.98570397593749992</v>
      </c>
      <c r="J300" s="308">
        <v>0.98748363727999999</v>
      </c>
      <c r="K300" s="307">
        <v>0.98894184052249989</v>
      </c>
      <c r="L300" s="307">
        <v>0.99014166644000001</v>
      </c>
      <c r="M300" s="307">
        <v>0.99113751218750001</v>
      </c>
      <c r="N300" s="307">
        <v>0.9919756784</v>
      </c>
      <c r="O300" s="307">
        <v>0.99269495629249993</v>
      </c>
      <c r="P300" s="307">
        <v>0.99332721475999997</v>
      </c>
      <c r="Q300" s="307">
        <v>0.99389798747749991</v>
      </c>
      <c r="R300" s="307">
        <v>0.99442705999999992</v>
      </c>
      <c r="S300" s="308">
        <v>0.99492905686249999</v>
      </c>
      <c r="T300" s="307">
        <v>0.99541402867999995</v>
      </c>
      <c r="U300" s="307">
        <v>0.99588803924750002</v>
      </c>
      <c r="V300" s="307">
        <v>0.99635375263999992</v>
      </c>
      <c r="W300" s="307">
        <v>0.99681102031250002</v>
      </c>
      <c r="X300" s="307">
        <v>0.99725746819999994</v>
      </c>
      <c r="Y300" s="307">
        <v>0.99768908381749999</v>
      </c>
      <c r="Z300" s="307">
        <v>0.99810080335999996</v>
      </c>
      <c r="AA300" s="307">
        <v>0.99848709880249997</v>
      </c>
      <c r="AB300" s="308">
        <v>0.99884256500000013</v>
      </c>
      <c r="AC300" s="307">
        <v>0.99916250678749996</v>
      </c>
      <c r="AD300" s="307">
        <v>0.99944352607999987</v>
      </c>
      <c r="AE300" s="307">
        <v>0.99968410897249993</v>
      </c>
      <c r="AF300" s="307">
        <v>0.99988521283999998</v>
      </c>
      <c r="AG300" s="307">
        <v>1.0000508534374999</v>
      </c>
      <c r="AH300" s="307">
        <v>1.000188692</v>
      </c>
      <c r="AI300" s="307">
        <v>1.0003106223424998</v>
      </c>
      <c r="AJ300" s="307">
        <v>1.0004333579599998</v>
      </c>
      <c r="AK300" s="307">
        <v>1.0005790191274999</v>
      </c>
      <c r="AL300" s="308">
        <v>1.00077572</v>
      </c>
      <c r="AM300" s="308">
        <f t="shared" ref="AM300:AM335" si="4">AL300</f>
        <v>1.00077572</v>
      </c>
      <c r="AN300" s="237"/>
    </row>
    <row r="301" spans="1:40" x14ac:dyDescent="0.2">
      <c r="A301" s="352">
        <v>6</v>
      </c>
      <c r="B301" s="304">
        <v>0.96080158879999999</v>
      </c>
      <c r="C301" s="304">
        <v>0.96815140499999996</v>
      </c>
      <c r="D301" s="304">
        <v>0.97429224087999999</v>
      </c>
      <c r="E301" s="304">
        <v>0.97939429891999996</v>
      </c>
      <c r="F301" s="304">
        <v>0.98361113855999993</v>
      </c>
      <c r="G301" s="304">
        <v>0.987080497</v>
      </c>
      <c r="H301" s="304">
        <v>0.98992510999999994</v>
      </c>
      <c r="I301" s="304">
        <v>0.99225353267999994</v>
      </c>
      <c r="J301" s="305">
        <v>0.99416096032000001</v>
      </c>
      <c r="K301" s="304">
        <v>0.99573004915999996</v>
      </c>
      <c r="L301" s="304">
        <v>0.99703173719999993</v>
      </c>
      <c r="M301" s="304">
        <v>0.99812606500000001</v>
      </c>
      <c r="N301" s="304">
        <v>0.99906299647999997</v>
      </c>
      <c r="O301" s="304">
        <v>0.99988323971999993</v>
      </c>
      <c r="P301" s="304">
        <v>1.00061906776</v>
      </c>
      <c r="Q301" s="304">
        <v>1.0012951393999998</v>
      </c>
      <c r="R301" s="304">
        <v>1.0019293199999999</v>
      </c>
      <c r="S301" s="305">
        <v>1.0025335022799999</v>
      </c>
      <c r="T301" s="304">
        <v>1.0031144271199999</v>
      </c>
      <c r="U301" s="304">
        <v>1.0036745043599999</v>
      </c>
      <c r="V301" s="304">
        <v>1.0042126335999999</v>
      </c>
      <c r="W301" s="304">
        <v>1.0047250249999999</v>
      </c>
      <c r="X301" s="304">
        <v>1.0052060200799999</v>
      </c>
      <c r="Y301" s="304">
        <v>1.0056489125199999</v>
      </c>
      <c r="Z301" s="304">
        <v>1.0060467689599999</v>
      </c>
      <c r="AA301" s="304">
        <v>1.0063932497999999</v>
      </c>
      <c r="AB301" s="305">
        <v>1.00668343</v>
      </c>
      <c r="AC301" s="304">
        <v>1.0069146198799999</v>
      </c>
      <c r="AD301" s="304">
        <v>1.0070871859199997</v>
      </c>
      <c r="AE301" s="304">
        <v>1.0072053715599998</v>
      </c>
      <c r="AF301" s="304">
        <v>1.0072781179999999</v>
      </c>
      <c r="AG301" s="304">
        <v>1.0073198849999998</v>
      </c>
      <c r="AH301" s="304">
        <v>1.0073514716799998</v>
      </c>
      <c r="AI301" s="304">
        <v>1.0074008373199996</v>
      </c>
      <c r="AJ301" s="304">
        <v>1.0075039221599993</v>
      </c>
      <c r="AK301" s="304">
        <v>1.0077054681999997</v>
      </c>
      <c r="AL301" s="305">
        <v>1.0080598399999998</v>
      </c>
      <c r="AM301" s="305">
        <f t="shared" si="4"/>
        <v>1.0080598399999998</v>
      </c>
      <c r="AN301" s="237"/>
    </row>
    <row r="302" spans="1:40" x14ac:dyDescent="0.2">
      <c r="A302" s="352">
        <v>7</v>
      </c>
      <c r="B302" s="304">
        <v>0.96246329679999998</v>
      </c>
      <c r="C302" s="304">
        <v>0.97038796500000002</v>
      </c>
      <c r="D302" s="304">
        <v>0.97699473819999993</v>
      </c>
      <c r="E302" s="304">
        <v>0.98246920779999991</v>
      </c>
      <c r="F302" s="304">
        <v>0.98697897119999989</v>
      </c>
      <c r="G302" s="304">
        <v>0.99067450779999999</v>
      </c>
      <c r="H302" s="304">
        <v>0.99369005499999996</v>
      </c>
      <c r="I302" s="304">
        <v>0.99614448420000001</v>
      </c>
      <c r="J302" s="305">
        <v>0.99814217680000006</v>
      </c>
      <c r="K302" s="304">
        <v>0.9997739001999999</v>
      </c>
      <c r="L302" s="304">
        <v>1.0011176838</v>
      </c>
      <c r="M302" s="304">
        <v>1.0022396950000001</v>
      </c>
      <c r="N302" s="304">
        <v>1.0031951152</v>
      </c>
      <c r="O302" s="304">
        <v>1.0040290158</v>
      </c>
      <c r="P302" s="304">
        <v>1.0047772342000001</v>
      </c>
      <c r="Q302" s="304">
        <v>1.0054672497999999</v>
      </c>
      <c r="R302" s="304">
        <v>1.0061190600000001</v>
      </c>
      <c r="S302" s="305">
        <v>1.0067460561999999</v>
      </c>
      <c r="T302" s="304">
        <v>1.0073558997999998</v>
      </c>
      <c r="U302" s="304">
        <v>1.0079513981999999</v>
      </c>
      <c r="V302" s="304">
        <v>1.0085313808</v>
      </c>
      <c r="W302" s="304">
        <v>1.009091575</v>
      </c>
      <c r="X302" s="304">
        <v>1.0096254821999999</v>
      </c>
      <c r="Y302" s="304">
        <v>1.0101252538000001</v>
      </c>
      <c r="Z302" s="304">
        <v>1.0105825671999997</v>
      </c>
      <c r="AA302" s="304">
        <v>1.0109895017999999</v>
      </c>
      <c r="AB302" s="305">
        <v>1.0113394149999999</v>
      </c>
      <c r="AC302" s="304">
        <v>1.0116278181999998</v>
      </c>
      <c r="AD302" s="304">
        <v>1.0118532527999999</v>
      </c>
      <c r="AE302" s="304">
        <v>1.0120181661999998</v>
      </c>
      <c r="AF302" s="304">
        <v>1.0121297878000002</v>
      </c>
      <c r="AG302" s="304">
        <v>1.0122010049999999</v>
      </c>
      <c r="AH302" s="304">
        <v>1.0122512391999998</v>
      </c>
      <c r="AI302" s="304">
        <v>1.0123073217999998</v>
      </c>
      <c r="AJ302" s="304">
        <v>1.0124043701999998</v>
      </c>
      <c r="AK302" s="304">
        <v>1.0125866637999998</v>
      </c>
      <c r="AL302" s="305">
        <v>1.0129085199999999</v>
      </c>
      <c r="AM302" s="305">
        <f t="shared" si="4"/>
        <v>1.0129085199999999</v>
      </c>
      <c r="AN302" s="237"/>
    </row>
    <row r="303" spans="1:40" x14ac:dyDescent="0.2">
      <c r="A303" s="352">
        <v>8</v>
      </c>
      <c r="B303" s="304">
        <v>0.96412500479999996</v>
      </c>
      <c r="C303" s="304">
        <v>0.97262452499999996</v>
      </c>
      <c r="D303" s="304">
        <v>0.97969723551999999</v>
      </c>
      <c r="E303" s="304">
        <v>0.98554411667999997</v>
      </c>
      <c r="F303" s="304">
        <v>0.99034680383999996</v>
      </c>
      <c r="G303" s="304">
        <v>0.99426851859999998</v>
      </c>
      <c r="H303" s="304">
        <v>0.99745499999999998</v>
      </c>
      <c r="I303" s="304">
        <v>1.0000354357200001</v>
      </c>
      <c r="J303" s="305">
        <v>1.00212339328</v>
      </c>
      <c r="K303" s="304">
        <v>1.0038177512399999</v>
      </c>
      <c r="L303" s="304">
        <v>1.0052036304</v>
      </c>
      <c r="M303" s="304">
        <v>1.0063533250000001</v>
      </c>
      <c r="N303" s="304">
        <v>1.0073272339199999</v>
      </c>
      <c r="O303" s="304">
        <v>1.0081747918800001</v>
      </c>
      <c r="P303" s="304">
        <v>1.00893540064</v>
      </c>
      <c r="Q303" s="304">
        <v>1.0096393602</v>
      </c>
      <c r="R303" s="304">
        <v>1.0103088</v>
      </c>
      <c r="S303" s="305">
        <v>1.0109586101199999</v>
      </c>
      <c r="T303" s="304">
        <v>1.0115973724799998</v>
      </c>
      <c r="U303" s="304">
        <v>1.0122282920400001</v>
      </c>
      <c r="V303" s="304">
        <v>1.0128501280000002</v>
      </c>
      <c r="W303" s="304">
        <v>1.0134581250000001</v>
      </c>
      <c r="X303" s="304">
        <v>1.0140449443199999</v>
      </c>
      <c r="Y303" s="304">
        <v>1.01460159508</v>
      </c>
      <c r="Z303" s="304">
        <v>1.0151183654399998</v>
      </c>
      <c r="AA303" s="304">
        <v>1.0155857537999999</v>
      </c>
      <c r="AB303" s="305">
        <v>1.0159953999999998</v>
      </c>
      <c r="AC303" s="304">
        <v>1.0163410165199998</v>
      </c>
      <c r="AD303" s="304">
        <v>1.01661931968</v>
      </c>
      <c r="AE303" s="304">
        <v>1.0168309608400001</v>
      </c>
      <c r="AF303" s="304">
        <v>1.0169814576000002</v>
      </c>
      <c r="AG303" s="304">
        <v>1.0170821249999999</v>
      </c>
      <c r="AH303" s="304">
        <v>1.01715100672</v>
      </c>
      <c r="AI303" s="304">
        <v>1.0172138062800002</v>
      </c>
      <c r="AJ303" s="304">
        <v>1.0173048182400004</v>
      </c>
      <c r="AK303" s="304">
        <v>1.0174678594</v>
      </c>
      <c r="AL303" s="305">
        <v>1.0177572000000001</v>
      </c>
      <c r="AM303" s="305">
        <f t="shared" si="4"/>
        <v>1.0177572000000001</v>
      </c>
      <c r="AN303" s="237"/>
    </row>
    <row r="304" spans="1:40" x14ac:dyDescent="0.2">
      <c r="A304" s="352">
        <v>9</v>
      </c>
      <c r="B304" s="304">
        <v>0.96578376671999999</v>
      </c>
      <c r="C304" s="304">
        <v>0.97419832875000001</v>
      </c>
      <c r="D304" s="304">
        <v>0.98122746660000004</v>
      </c>
      <c r="E304" s="304">
        <v>0.98706539711999997</v>
      </c>
      <c r="F304" s="304">
        <v>0.99188759039999996</v>
      </c>
      <c r="G304" s="304">
        <v>0.99585167696999999</v>
      </c>
      <c r="H304" s="304">
        <v>0.99896759999999996</v>
      </c>
      <c r="I304" s="304">
        <v>1.0017522974999999</v>
      </c>
      <c r="J304" s="305">
        <v>1.0039230595199999</v>
      </c>
      <c r="K304" s="304">
        <v>1.0057059853500001</v>
      </c>
      <c r="L304" s="304">
        <v>1.00718311572</v>
      </c>
      <c r="M304" s="304">
        <v>1.0084240950000001</v>
      </c>
      <c r="N304" s="304">
        <v>1.0094870783999998</v>
      </c>
      <c r="O304" s="304">
        <v>1.0104196391700002</v>
      </c>
      <c r="P304" s="304">
        <v>1.0112596757999999</v>
      </c>
      <c r="Q304" s="304">
        <v>1.0120363192199999</v>
      </c>
      <c r="R304" s="304">
        <v>1.01277084</v>
      </c>
      <c r="S304" s="305">
        <v>1.01347755555</v>
      </c>
      <c r="T304" s="304">
        <v>1.0141647373199998</v>
      </c>
      <c r="U304" s="304">
        <v>1.0148355179999999</v>
      </c>
      <c r="V304" s="304">
        <v>1.0154887987200001</v>
      </c>
      <c r="W304" s="304">
        <v>1.01612015625</v>
      </c>
      <c r="X304" s="304">
        <v>1.0167227502</v>
      </c>
      <c r="Y304" s="304">
        <v>1.0172882302200001</v>
      </c>
      <c r="Z304" s="304">
        <v>1.0178076431999998</v>
      </c>
      <c r="AA304" s="304">
        <v>1.01827234047</v>
      </c>
      <c r="AB304" s="305">
        <v>1.0186748849999998</v>
      </c>
      <c r="AC304" s="304">
        <v>1.0190099585999999</v>
      </c>
      <c r="AD304" s="304">
        <v>1.01927526912</v>
      </c>
      <c r="AE304" s="304">
        <v>1.0194724576500001</v>
      </c>
      <c r="AF304" s="304">
        <v>1.0196080057200003</v>
      </c>
      <c r="AG304" s="304">
        <v>1.0196941425000001</v>
      </c>
      <c r="AH304" s="304">
        <v>1.0197497520000001</v>
      </c>
      <c r="AI304" s="304">
        <v>1.0198012802700003</v>
      </c>
      <c r="AJ304" s="304">
        <v>1.0198836426000002</v>
      </c>
      <c r="AK304" s="304">
        <v>1.0200411307199997</v>
      </c>
      <c r="AL304" s="305">
        <v>1.02032832</v>
      </c>
      <c r="AM304" s="305">
        <f t="shared" si="4"/>
        <v>1.02032832</v>
      </c>
      <c r="AN304" s="237"/>
    </row>
    <row r="305" spans="1:40" x14ac:dyDescent="0.2">
      <c r="A305" s="353">
        <v>10</v>
      </c>
      <c r="B305" s="307">
        <v>0.96744252864000002</v>
      </c>
      <c r="C305" s="307">
        <v>0.97577213250000006</v>
      </c>
      <c r="D305" s="307">
        <v>0.98275769767999999</v>
      </c>
      <c r="E305" s="307">
        <v>0.98858667755999996</v>
      </c>
      <c r="F305" s="307">
        <v>0.99342837695999997</v>
      </c>
      <c r="G305" s="307">
        <v>0.99743483533999999</v>
      </c>
      <c r="H305" s="307">
        <v>1.0004801999999999</v>
      </c>
      <c r="I305" s="307">
        <v>1.00346915928</v>
      </c>
      <c r="J305" s="308">
        <v>1.0057227257600001</v>
      </c>
      <c r="K305" s="307">
        <v>1.0075942194600001</v>
      </c>
      <c r="L305" s="307">
        <v>1.0091626010399999</v>
      </c>
      <c r="M305" s="307">
        <v>1.0104948650000001</v>
      </c>
      <c r="N305" s="307">
        <v>1.01164692288</v>
      </c>
      <c r="O305" s="307">
        <v>1.0126644864600001</v>
      </c>
      <c r="P305" s="307">
        <v>1.01358395096</v>
      </c>
      <c r="Q305" s="307">
        <v>1.0144332782400001</v>
      </c>
      <c r="R305" s="307">
        <v>1.0152328800000001</v>
      </c>
      <c r="S305" s="308">
        <v>1.0159965009800001</v>
      </c>
      <c r="T305" s="307">
        <v>1.01673210216</v>
      </c>
      <c r="U305" s="307">
        <v>1.01744274396</v>
      </c>
      <c r="V305" s="307">
        <v>1.01812746944</v>
      </c>
      <c r="W305" s="307">
        <v>1.0187821875</v>
      </c>
      <c r="X305" s="307">
        <v>1.0194005560799999</v>
      </c>
      <c r="Y305" s="307">
        <v>1.01997486536</v>
      </c>
      <c r="Z305" s="307">
        <v>1.0204969209599999</v>
      </c>
      <c r="AA305" s="307">
        <v>1.0209589271400001</v>
      </c>
      <c r="AB305" s="308">
        <v>1.0213543700000001</v>
      </c>
      <c r="AC305" s="307">
        <v>1.02167890068</v>
      </c>
      <c r="AD305" s="307">
        <v>1.02193121856</v>
      </c>
      <c r="AE305" s="307">
        <v>1.02211395446</v>
      </c>
      <c r="AF305" s="307">
        <v>1.0222345538400002</v>
      </c>
      <c r="AG305" s="307">
        <v>1.0223061600000001</v>
      </c>
      <c r="AH305" s="307">
        <v>1.0223484972800001</v>
      </c>
      <c r="AI305" s="307">
        <v>1.0223887542600001</v>
      </c>
      <c r="AJ305" s="307">
        <v>1.02246246696</v>
      </c>
      <c r="AK305" s="307">
        <v>1.0226144020399996</v>
      </c>
      <c r="AL305" s="308">
        <v>1.0228994399999998</v>
      </c>
      <c r="AM305" s="308">
        <f t="shared" si="4"/>
        <v>1.0228994399999998</v>
      </c>
      <c r="AN305" s="237"/>
    </row>
    <row r="306" spans="1:40" x14ac:dyDescent="0.2">
      <c r="A306" s="352">
        <v>11</v>
      </c>
      <c r="B306" s="304">
        <v>0.96796884640000003</v>
      </c>
      <c r="C306" s="304">
        <v>0.97649646312499994</v>
      </c>
      <c r="D306" s="304">
        <v>0.98365047332</v>
      </c>
      <c r="E306" s="304">
        <v>0.98962143803499991</v>
      </c>
      <c r="F306" s="304">
        <v>0.99458158976</v>
      </c>
      <c r="G306" s="304">
        <v>0.99868571802499995</v>
      </c>
      <c r="H306" s="304">
        <v>1.0019412999999999</v>
      </c>
      <c r="I306" s="304">
        <v>1.0048631610949998</v>
      </c>
      <c r="J306" s="305">
        <v>1.00716681056</v>
      </c>
      <c r="K306" s="304">
        <v>1.009076877085</v>
      </c>
      <c r="L306" s="304">
        <v>1.0106742193999998</v>
      </c>
      <c r="M306" s="304">
        <v>1.0120275668750001</v>
      </c>
      <c r="N306" s="304">
        <v>1.0131944051200001</v>
      </c>
      <c r="O306" s="304">
        <v>1.0142218615849998</v>
      </c>
      <c r="P306" s="304">
        <v>1.0151475911599999</v>
      </c>
      <c r="Q306" s="304">
        <v>1.0160006617750001</v>
      </c>
      <c r="R306" s="304">
        <v>1.01680244</v>
      </c>
      <c r="S306" s="305">
        <v>1.017567476645</v>
      </c>
      <c r="T306" s="304">
        <v>1.0183043923599999</v>
      </c>
      <c r="U306" s="304">
        <v>1.0190167632349998</v>
      </c>
      <c r="V306" s="304">
        <v>1.0197040064</v>
      </c>
      <c r="W306" s="304">
        <v>1.020362265625</v>
      </c>
      <c r="X306" s="304">
        <v>1.02098529692</v>
      </c>
      <c r="Y306" s="304">
        <v>1.021565354135</v>
      </c>
      <c r="Z306" s="304">
        <v>1.02209407456</v>
      </c>
      <c r="AA306" s="304">
        <v>1.0225633645250001</v>
      </c>
      <c r="AB306" s="305">
        <v>1.0229662850000001</v>
      </c>
      <c r="AC306" s="304">
        <v>1.023297937195</v>
      </c>
      <c r="AD306" s="304">
        <v>1.0235563481600001</v>
      </c>
      <c r="AE306" s="304">
        <v>1.0237433563849998</v>
      </c>
      <c r="AF306" s="304">
        <v>1.0238654973999999</v>
      </c>
      <c r="AG306" s="304">
        <v>1.023934889375</v>
      </c>
      <c r="AH306" s="304">
        <v>1.0239701187199999</v>
      </c>
      <c r="AI306" s="304">
        <v>1.023997125685</v>
      </c>
      <c r="AJ306" s="304">
        <v>1.02405008996</v>
      </c>
      <c r="AK306" s="304">
        <v>1.0241723162749998</v>
      </c>
      <c r="AL306" s="305">
        <v>1.0244171199999998</v>
      </c>
      <c r="AM306" s="305">
        <f t="shared" si="4"/>
        <v>1.0244171199999998</v>
      </c>
      <c r="AN306" s="237"/>
    </row>
    <row r="307" spans="1:40" x14ac:dyDescent="0.2">
      <c r="A307" s="352">
        <v>12</v>
      </c>
      <c r="B307" s="304">
        <v>0.96849516415999992</v>
      </c>
      <c r="C307" s="304">
        <v>0.97722079374999993</v>
      </c>
      <c r="D307" s="304">
        <v>0.98454324896000001</v>
      </c>
      <c r="E307" s="304">
        <v>0.99065619850999997</v>
      </c>
      <c r="F307" s="304">
        <v>0.99573480256000002</v>
      </c>
      <c r="G307" s="304">
        <v>0.99993660071000001</v>
      </c>
      <c r="H307" s="304">
        <v>1.0034023999999999</v>
      </c>
      <c r="I307" s="304">
        <v>1.0062571629099999</v>
      </c>
      <c r="J307" s="305">
        <v>1.0086108953599999</v>
      </c>
      <c r="K307" s="304">
        <v>1.01055953471</v>
      </c>
      <c r="L307" s="304">
        <v>1.0121858377599999</v>
      </c>
      <c r="M307" s="304">
        <v>1.01356026875</v>
      </c>
      <c r="N307" s="304">
        <v>1.01474188736</v>
      </c>
      <c r="O307" s="304">
        <v>1.0157792367099998</v>
      </c>
      <c r="P307" s="304">
        <v>1.01671123136</v>
      </c>
      <c r="Q307" s="304">
        <v>1.01756804531</v>
      </c>
      <c r="R307" s="304">
        <v>1.0183719999999998</v>
      </c>
      <c r="S307" s="305">
        <v>1.01913845231</v>
      </c>
      <c r="T307" s="304">
        <v>1.0198766825599999</v>
      </c>
      <c r="U307" s="304">
        <v>1.0205907825099998</v>
      </c>
      <c r="V307" s="304">
        <v>1.0212805433600001</v>
      </c>
      <c r="W307" s="304">
        <v>1.0219423437499999</v>
      </c>
      <c r="X307" s="304">
        <v>1.02257003776</v>
      </c>
      <c r="Y307" s="304">
        <v>1.0231558429100001</v>
      </c>
      <c r="Z307" s="304">
        <v>1.0236912281600001</v>
      </c>
      <c r="AA307" s="304">
        <v>1.02416780191</v>
      </c>
      <c r="AB307" s="305">
        <v>1.0245782000000001</v>
      </c>
      <c r="AC307" s="304">
        <v>1.0249169737099999</v>
      </c>
      <c r="AD307" s="304">
        <v>1.0251814777599999</v>
      </c>
      <c r="AE307" s="304">
        <v>1.0253727583099999</v>
      </c>
      <c r="AF307" s="304">
        <v>1.0254964409599996</v>
      </c>
      <c r="AG307" s="304">
        <v>1.0255636187499997</v>
      </c>
      <c r="AH307" s="304">
        <v>1.0255917401599999</v>
      </c>
      <c r="AI307" s="304">
        <v>1.0256054971099999</v>
      </c>
      <c r="AJ307" s="304">
        <v>1.0256377129600001</v>
      </c>
      <c r="AK307" s="304">
        <v>1.02573023051</v>
      </c>
      <c r="AL307" s="305">
        <v>1.0259347999999999</v>
      </c>
      <c r="AM307" s="305">
        <f t="shared" si="4"/>
        <v>1.0259347999999999</v>
      </c>
      <c r="AN307" s="237"/>
    </row>
    <row r="308" spans="1:40" x14ac:dyDescent="0.2">
      <c r="A308" s="352">
        <v>13</v>
      </c>
      <c r="B308" s="304">
        <v>0.96869644149333323</v>
      </c>
      <c r="C308" s="304">
        <v>0.97750519458333329</v>
      </c>
      <c r="D308" s="304">
        <v>0.98491009826666664</v>
      </c>
      <c r="E308" s="304">
        <v>0.9911022474033333</v>
      </c>
      <c r="F308" s="304">
        <v>0.9962547915733333</v>
      </c>
      <c r="G308" s="304">
        <v>1.0005237794766666</v>
      </c>
      <c r="H308" s="304">
        <v>1.0040490033333334</v>
      </c>
      <c r="I308" s="304">
        <v>1.0069548432833333</v>
      </c>
      <c r="J308" s="305">
        <v>1.0093511117866667</v>
      </c>
      <c r="K308" s="304">
        <v>1.0113338980233333</v>
      </c>
      <c r="L308" s="304">
        <v>1.0129864122933332</v>
      </c>
      <c r="M308" s="304">
        <v>1.0143798304166667</v>
      </c>
      <c r="N308" s="304">
        <v>1.0155741381333334</v>
      </c>
      <c r="O308" s="304">
        <v>1.0166189755033332</v>
      </c>
      <c r="P308" s="304">
        <v>1.0175544813066666</v>
      </c>
      <c r="Q308" s="304">
        <v>1.0184121374433333</v>
      </c>
      <c r="R308" s="304">
        <v>1.0192156133333332</v>
      </c>
      <c r="S308" s="305">
        <v>1.0199816103166666</v>
      </c>
      <c r="T308" s="304">
        <v>1.0207207060533332</v>
      </c>
      <c r="U308" s="304">
        <v>1.0214381989233332</v>
      </c>
      <c r="V308" s="304">
        <v>1.0221349524266667</v>
      </c>
      <c r="W308" s="304">
        <v>1.0228082395833333</v>
      </c>
      <c r="X308" s="304">
        <v>1.0234525873333333</v>
      </c>
      <c r="Y308" s="304">
        <v>1.0240606209366667</v>
      </c>
      <c r="Z308" s="304">
        <v>1.0246239083733335</v>
      </c>
      <c r="AA308" s="304">
        <v>1.0251338047433334</v>
      </c>
      <c r="AB308" s="305">
        <v>1.0255822966666668</v>
      </c>
      <c r="AC308" s="304">
        <v>1.0259628466833333</v>
      </c>
      <c r="AD308" s="304">
        <v>1.0262712376533332</v>
      </c>
      <c r="AE308" s="304">
        <v>1.0265064171566665</v>
      </c>
      <c r="AF308" s="304">
        <v>1.0266713418933331</v>
      </c>
      <c r="AG308" s="304">
        <v>1.0267738220833331</v>
      </c>
      <c r="AH308" s="304">
        <v>1.0268273658666665</v>
      </c>
      <c r="AI308" s="304">
        <v>1.0268520237033332</v>
      </c>
      <c r="AJ308" s="304">
        <v>1.0268752327733333</v>
      </c>
      <c r="AK308" s="304">
        <v>1.0269326613766667</v>
      </c>
      <c r="AL308" s="305">
        <v>1.0270690533333331</v>
      </c>
      <c r="AM308" s="305">
        <f t="shared" si="4"/>
        <v>1.0270690533333331</v>
      </c>
      <c r="AN308" s="237"/>
    </row>
    <row r="309" spans="1:40" x14ac:dyDescent="0.2">
      <c r="A309" s="352">
        <v>14</v>
      </c>
      <c r="B309" s="304">
        <v>0.96889771882666664</v>
      </c>
      <c r="C309" s="304">
        <v>0.97778959541666666</v>
      </c>
      <c r="D309" s="304">
        <v>0.98527694757333339</v>
      </c>
      <c r="E309" s="304">
        <v>0.99154829629666663</v>
      </c>
      <c r="F309" s="304">
        <v>0.99677478058666669</v>
      </c>
      <c r="G309" s="304">
        <v>1.0011109582433333</v>
      </c>
      <c r="H309" s="304">
        <v>1.0046956066666666</v>
      </c>
      <c r="I309" s="304">
        <v>1.0076525236566667</v>
      </c>
      <c r="J309" s="305">
        <v>1.0100913282133333</v>
      </c>
      <c r="K309" s="304">
        <v>1.0121082613366668</v>
      </c>
      <c r="L309" s="304">
        <v>1.0137869868266667</v>
      </c>
      <c r="M309" s="304">
        <v>1.0151993920833333</v>
      </c>
      <c r="N309" s="304">
        <v>1.0164063889066666</v>
      </c>
      <c r="O309" s="304">
        <v>1.0174587142966665</v>
      </c>
      <c r="P309" s="304">
        <v>1.0183977312533332</v>
      </c>
      <c r="Q309" s="304">
        <v>1.0192562295766667</v>
      </c>
      <c r="R309" s="304">
        <v>1.0200592266666666</v>
      </c>
      <c r="S309" s="305">
        <v>1.0208247683233334</v>
      </c>
      <c r="T309" s="304">
        <v>1.0215647295466666</v>
      </c>
      <c r="U309" s="304">
        <v>1.0222856153366666</v>
      </c>
      <c r="V309" s="304">
        <v>1.0229893614933332</v>
      </c>
      <c r="W309" s="304">
        <v>1.0236741354166665</v>
      </c>
      <c r="X309" s="304">
        <v>1.0243351369066667</v>
      </c>
      <c r="Y309" s="304">
        <v>1.0249653989633334</v>
      </c>
      <c r="Z309" s="304">
        <v>1.0255565885866667</v>
      </c>
      <c r="AA309" s="304">
        <v>1.0260998075766667</v>
      </c>
      <c r="AB309" s="305">
        <v>1.0265863933333335</v>
      </c>
      <c r="AC309" s="304">
        <v>1.0270087196566664</v>
      </c>
      <c r="AD309" s="304">
        <v>1.0273609975466667</v>
      </c>
      <c r="AE309" s="304">
        <v>1.0276400760033331</v>
      </c>
      <c r="AF309" s="304">
        <v>1.0278462428266666</v>
      </c>
      <c r="AG309" s="304">
        <v>1.0279840254166663</v>
      </c>
      <c r="AH309" s="304">
        <v>1.0280629915733333</v>
      </c>
      <c r="AI309" s="304">
        <v>1.0280985502966666</v>
      </c>
      <c r="AJ309" s="304">
        <v>1.0281127525866665</v>
      </c>
      <c r="AK309" s="304">
        <v>1.0281350922433334</v>
      </c>
      <c r="AL309" s="305">
        <v>1.0282033066666665</v>
      </c>
      <c r="AM309" s="305">
        <f t="shared" si="4"/>
        <v>1.0282033066666665</v>
      </c>
      <c r="AN309" s="237"/>
    </row>
    <row r="310" spans="1:40" x14ac:dyDescent="0.2">
      <c r="A310" s="353">
        <v>15</v>
      </c>
      <c r="B310" s="307">
        <v>0.96909899615999995</v>
      </c>
      <c r="C310" s="307">
        <v>0.97807399625000002</v>
      </c>
      <c r="D310" s="307">
        <v>0.98564379688000003</v>
      </c>
      <c r="E310" s="307">
        <v>0.99199434518999996</v>
      </c>
      <c r="F310" s="307">
        <v>0.99729476959999996</v>
      </c>
      <c r="G310" s="307">
        <v>1.00169813701</v>
      </c>
      <c r="H310" s="307">
        <v>1.00534221</v>
      </c>
      <c r="I310" s="307">
        <v>1.0083502040300001</v>
      </c>
      <c r="J310" s="308">
        <v>1.01083154464</v>
      </c>
      <c r="K310" s="307">
        <v>1.01288262465</v>
      </c>
      <c r="L310" s="307">
        <v>1.0145875613599999</v>
      </c>
      <c r="M310" s="307">
        <v>1.01601895375</v>
      </c>
      <c r="N310" s="307">
        <v>1.0172386396799999</v>
      </c>
      <c r="O310" s="307">
        <v>1.0182984530899999</v>
      </c>
      <c r="P310" s="307">
        <v>1.0192409811999998</v>
      </c>
      <c r="Q310" s="307">
        <v>1.02010032171</v>
      </c>
      <c r="R310" s="307">
        <v>1.02090284</v>
      </c>
      <c r="S310" s="308">
        <v>1.0216679263299999</v>
      </c>
      <c r="T310" s="307">
        <v>1.0224087530399999</v>
      </c>
      <c r="U310" s="307">
        <v>1.02313303175</v>
      </c>
      <c r="V310" s="307">
        <v>1.0238437705599999</v>
      </c>
      <c r="W310" s="307">
        <v>1.0245400312499999</v>
      </c>
      <c r="X310" s="307">
        <v>1.02521768648</v>
      </c>
      <c r="Y310" s="307">
        <v>1.02587017699</v>
      </c>
      <c r="Z310" s="307">
        <v>1.0264892688</v>
      </c>
      <c r="AA310" s="307">
        <v>1.0270658104100001</v>
      </c>
      <c r="AB310" s="308">
        <v>1.0275904900000001</v>
      </c>
      <c r="AC310" s="307">
        <v>1.0280545926299998</v>
      </c>
      <c r="AD310" s="307">
        <v>1.0284507574399999</v>
      </c>
      <c r="AE310" s="307">
        <v>1.0287737348499997</v>
      </c>
      <c r="AF310" s="307">
        <v>1.0290211437600001</v>
      </c>
      <c r="AG310" s="307">
        <v>1.0291942287499998</v>
      </c>
      <c r="AH310" s="307">
        <v>1.0292986172799998</v>
      </c>
      <c r="AI310" s="307">
        <v>1.0293450768899999</v>
      </c>
      <c r="AJ310" s="307">
        <v>1.0293502723999997</v>
      </c>
      <c r="AK310" s="307">
        <v>1.0293375231100002</v>
      </c>
      <c r="AL310" s="308">
        <v>1.0293375599999997</v>
      </c>
      <c r="AM310" s="308">
        <f t="shared" si="4"/>
        <v>1.0293375599999997</v>
      </c>
      <c r="AN310" s="237"/>
    </row>
    <row r="311" spans="1:40" x14ac:dyDescent="0.2">
      <c r="A311" s="352">
        <v>16</v>
      </c>
      <c r="B311" s="304">
        <v>0.96930579564800001</v>
      </c>
      <c r="C311" s="304">
        <v>0.97826164074999999</v>
      </c>
      <c r="D311" s="304">
        <v>0.98583291014399999</v>
      </c>
      <c r="E311" s="304">
        <v>0.99220168260199992</v>
      </c>
      <c r="F311" s="304">
        <v>0.99753360543999992</v>
      </c>
      <c r="G311" s="304">
        <v>1.0019786334780001</v>
      </c>
      <c r="H311" s="304">
        <v>1.005671768</v>
      </c>
      <c r="I311" s="304">
        <v>1.0087337957140001</v>
      </c>
      <c r="J311" s="305">
        <v>1.011272027712</v>
      </c>
      <c r="K311" s="304">
        <v>1.0133810384299999</v>
      </c>
      <c r="L311" s="304">
        <v>1.0151434046079999</v>
      </c>
      <c r="M311" s="304">
        <v>1.01663044425</v>
      </c>
      <c r="N311" s="304">
        <v>1.017902955584</v>
      </c>
      <c r="O311" s="304">
        <v>1.0190119560219999</v>
      </c>
      <c r="P311" s="304">
        <v>1.0199994211199999</v>
      </c>
      <c r="Q311" s="304">
        <v>1.020899023538</v>
      </c>
      <c r="R311" s="304">
        <v>1.021736872</v>
      </c>
      <c r="S311" s="305">
        <v>1.022532250254</v>
      </c>
      <c r="T311" s="304">
        <v>1.0232983560319999</v>
      </c>
      <c r="U311" s="304">
        <v>1.02404304001</v>
      </c>
      <c r="V311" s="304">
        <v>1.0247695447679999</v>
      </c>
      <c r="W311" s="304">
        <v>1.0254772437499999</v>
      </c>
      <c r="X311" s="304">
        <v>1.0261623802240001</v>
      </c>
      <c r="Y311" s="304">
        <v>1.0268188062420001</v>
      </c>
      <c r="Z311" s="304">
        <v>1.0274387216</v>
      </c>
      <c r="AA311" s="304">
        <v>1.0280134127980001</v>
      </c>
      <c r="AB311" s="305">
        <v>1.0285339920000001</v>
      </c>
      <c r="AC311" s="304">
        <v>1.0289921359939997</v>
      </c>
      <c r="AD311" s="304">
        <v>1.029380825152</v>
      </c>
      <c r="AE311" s="304">
        <v>1.0296950823899997</v>
      </c>
      <c r="AF311" s="304">
        <v>1.0299327121280002</v>
      </c>
      <c r="AG311" s="304">
        <v>1.0300950392499999</v>
      </c>
      <c r="AH311" s="304">
        <v>1.0301876480639998</v>
      </c>
      <c r="AI311" s="304">
        <v>1.0302211212619998</v>
      </c>
      <c r="AJ311" s="304">
        <v>1.0302117788799996</v>
      </c>
      <c r="AK311" s="304">
        <v>1.0301824172580001</v>
      </c>
      <c r="AL311" s="305">
        <v>1.0301630479999997</v>
      </c>
      <c r="AM311" s="305">
        <f t="shared" si="4"/>
        <v>1.0301630479999997</v>
      </c>
      <c r="AN311" s="237"/>
    </row>
    <row r="312" spans="1:40" x14ac:dyDescent="0.2">
      <c r="A312" s="352">
        <v>17</v>
      </c>
      <c r="B312" s="304">
        <v>0.96951259513599997</v>
      </c>
      <c r="C312" s="304">
        <v>0.97844928524999997</v>
      </c>
      <c r="D312" s="304">
        <v>0.98602202340800005</v>
      </c>
      <c r="E312" s="304">
        <v>0.992409020014</v>
      </c>
      <c r="F312" s="304">
        <v>0.99777244127999998</v>
      </c>
      <c r="G312" s="304">
        <v>1.002259129946</v>
      </c>
      <c r="H312" s="304">
        <v>1.006001326</v>
      </c>
      <c r="I312" s="304">
        <v>1.0091173873980002</v>
      </c>
      <c r="J312" s="305">
        <v>1.0117125107839999</v>
      </c>
      <c r="K312" s="304">
        <v>1.0138794522100001</v>
      </c>
      <c r="L312" s="304">
        <v>1.0156992478559999</v>
      </c>
      <c r="M312" s="304">
        <v>1.0172419347499999</v>
      </c>
      <c r="N312" s="304">
        <v>1.0185672714880001</v>
      </c>
      <c r="O312" s="304">
        <v>1.0197254589539999</v>
      </c>
      <c r="P312" s="304">
        <v>1.0207578610399999</v>
      </c>
      <c r="Q312" s="304">
        <v>1.021697725366</v>
      </c>
      <c r="R312" s="304">
        <v>1.0225709039999999</v>
      </c>
      <c r="S312" s="305">
        <v>1.023396574178</v>
      </c>
      <c r="T312" s="304">
        <v>1.0241879590239999</v>
      </c>
      <c r="U312" s="304">
        <v>1.02495304827</v>
      </c>
      <c r="V312" s="304">
        <v>1.0256953189759999</v>
      </c>
      <c r="W312" s="304">
        <v>1.0264144562499999</v>
      </c>
      <c r="X312" s="304">
        <v>1.0271070739679999</v>
      </c>
      <c r="Y312" s="304">
        <v>1.0277674354940001</v>
      </c>
      <c r="Z312" s="304">
        <v>1.0283881744000001</v>
      </c>
      <c r="AA312" s="304">
        <v>1.028961015186</v>
      </c>
      <c r="AB312" s="305">
        <v>1.029477494</v>
      </c>
      <c r="AC312" s="304">
        <v>1.0299296793579999</v>
      </c>
      <c r="AD312" s="304">
        <v>1.0303108928639999</v>
      </c>
      <c r="AE312" s="304">
        <v>1.0306164299299998</v>
      </c>
      <c r="AF312" s="304">
        <v>1.0308442804960001</v>
      </c>
      <c r="AG312" s="304">
        <v>1.03099584975</v>
      </c>
      <c r="AH312" s="304">
        <v>1.0310766788479999</v>
      </c>
      <c r="AI312" s="304">
        <v>1.0310971656339998</v>
      </c>
      <c r="AJ312" s="304">
        <v>1.0310732853599998</v>
      </c>
      <c r="AK312" s="304">
        <v>1.031027311406</v>
      </c>
      <c r="AL312" s="305">
        <v>1.0309885359999997</v>
      </c>
      <c r="AM312" s="305">
        <f t="shared" si="4"/>
        <v>1.0309885359999997</v>
      </c>
      <c r="AN312" s="237"/>
    </row>
    <row r="313" spans="1:40" x14ac:dyDescent="0.2">
      <c r="A313" s="352">
        <v>18</v>
      </c>
      <c r="B313" s="304">
        <v>0.96971939462400003</v>
      </c>
      <c r="C313" s="304">
        <v>0.97863692975000005</v>
      </c>
      <c r="D313" s="304">
        <v>0.986211136672</v>
      </c>
      <c r="E313" s="304">
        <v>0.99261635742599996</v>
      </c>
      <c r="F313" s="304">
        <v>0.99801127711999993</v>
      </c>
      <c r="G313" s="304">
        <v>1.0025396264140001</v>
      </c>
      <c r="H313" s="304">
        <v>1.006330884</v>
      </c>
      <c r="I313" s="304">
        <v>1.009500979082</v>
      </c>
      <c r="J313" s="305">
        <v>1.0121529938560001</v>
      </c>
      <c r="K313" s="304">
        <v>1.01437786599</v>
      </c>
      <c r="L313" s="304">
        <v>1.016255091104</v>
      </c>
      <c r="M313" s="304">
        <v>1.01785342525</v>
      </c>
      <c r="N313" s="304">
        <v>1.0192315873919999</v>
      </c>
      <c r="O313" s="304">
        <v>1.0204389618859999</v>
      </c>
      <c r="P313" s="304">
        <v>1.0215163009600001</v>
      </c>
      <c r="Q313" s="304">
        <v>1.022496427194</v>
      </c>
      <c r="R313" s="304">
        <v>1.0234049359999999</v>
      </c>
      <c r="S313" s="305">
        <v>1.0242608981019998</v>
      </c>
      <c r="T313" s="304">
        <v>1.025077562016</v>
      </c>
      <c r="U313" s="304">
        <v>1.02586305653</v>
      </c>
      <c r="V313" s="304">
        <v>1.0266210931840001</v>
      </c>
      <c r="W313" s="304">
        <v>1.0273516687499999</v>
      </c>
      <c r="X313" s="304">
        <v>1.028051767712</v>
      </c>
      <c r="Y313" s="304">
        <v>1.0287160647459999</v>
      </c>
      <c r="Z313" s="304">
        <v>1.0293376272000001</v>
      </c>
      <c r="AA313" s="304">
        <v>1.029908617574</v>
      </c>
      <c r="AB313" s="305">
        <v>1.0304209960000001</v>
      </c>
      <c r="AC313" s="304">
        <v>1.0308672227219999</v>
      </c>
      <c r="AD313" s="304">
        <v>1.031240960576</v>
      </c>
      <c r="AE313" s="304">
        <v>1.0315377774699996</v>
      </c>
      <c r="AF313" s="304">
        <v>1.0317558488640002</v>
      </c>
      <c r="AG313" s="304">
        <v>1.0318966602499999</v>
      </c>
      <c r="AH313" s="304">
        <v>1.0319657096319999</v>
      </c>
      <c r="AI313" s="304">
        <v>1.031973210006</v>
      </c>
      <c r="AJ313" s="304">
        <v>1.0319347918399997</v>
      </c>
      <c r="AK313" s="304">
        <v>1.0318722055539999</v>
      </c>
      <c r="AL313" s="305">
        <v>1.031814024</v>
      </c>
      <c r="AM313" s="305">
        <f t="shared" si="4"/>
        <v>1.031814024</v>
      </c>
      <c r="AN313" s="237"/>
    </row>
    <row r="314" spans="1:40" x14ac:dyDescent="0.2">
      <c r="A314" s="352">
        <v>19</v>
      </c>
      <c r="B314" s="304">
        <v>0.96992619411199998</v>
      </c>
      <c r="C314" s="304">
        <v>0.97882457425000002</v>
      </c>
      <c r="D314" s="304">
        <v>0.98640024993600006</v>
      </c>
      <c r="E314" s="304">
        <v>0.99282369483800004</v>
      </c>
      <c r="F314" s="304">
        <v>0.99825011295999999</v>
      </c>
      <c r="G314" s="304">
        <v>1.002820122882</v>
      </c>
      <c r="H314" s="304">
        <v>1.006660442</v>
      </c>
      <c r="I314" s="304">
        <v>1.009884570766</v>
      </c>
      <c r="J314" s="305">
        <v>1.0125934769280001</v>
      </c>
      <c r="K314" s="304">
        <v>1.0148762797700002</v>
      </c>
      <c r="L314" s="304">
        <v>1.016810934352</v>
      </c>
      <c r="M314" s="304">
        <v>1.0184649157499999</v>
      </c>
      <c r="N314" s="304">
        <v>1.019895903296</v>
      </c>
      <c r="O314" s="304">
        <v>1.0211524648179999</v>
      </c>
      <c r="P314" s="304">
        <v>1.0222747408800001</v>
      </c>
      <c r="Q314" s="304">
        <v>1.023295129022</v>
      </c>
      <c r="R314" s="304">
        <v>1.0242389679999999</v>
      </c>
      <c r="S314" s="305">
        <v>1.0251252220259999</v>
      </c>
      <c r="T314" s="304">
        <v>1.025967165008</v>
      </c>
      <c r="U314" s="304">
        <v>1.02677306479</v>
      </c>
      <c r="V314" s="304">
        <v>1.0275468673920001</v>
      </c>
      <c r="W314" s="304">
        <v>1.02828888125</v>
      </c>
      <c r="X314" s="304">
        <v>1.0289964614559999</v>
      </c>
      <c r="Y314" s="304">
        <v>1.0296646939979999</v>
      </c>
      <c r="Z314" s="304">
        <v>1.0302870800000001</v>
      </c>
      <c r="AA314" s="304">
        <v>1.0308562199619999</v>
      </c>
      <c r="AB314" s="305">
        <v>1.0313644980000001</v>
      </c>
      <c r="AC314" s="304">
        <v>1.0318047660860001</v>
      </c>
      <c r="AD314" s="304">
        <v>1.0321710282879999</v>
      </c>
      <c r="AE314" s="304">
        <v>1.0324591250099997</v>
      </c>
      <c r="AF314" s="304">
        <v>1.0326674172320001</v>
      </c>
      <c r="AG314" s="304">
        <v>1.0327974707500001</v>
      </c>
      <c r="AH314" s="304">
        <v>1.032854740416</v>
      </c>
      <c r="AI314" s="304">
        <v>1.0328492543779999</v>
      </c>
      <c r="AJ314" s="304">
        <v>1.0327962983199999</v>
      </c>
      <c r="AK314" s="304">
        <v>1.0327170997019999</v>
      </c>
      <c r="AL314" s="305">
        <v>1.032639512</v>
      </c>
      <c r="AM314" s="305">
        <f t="shared" si="4"/>
        <v>1.032639512</v>
      </c>
      <c r="AN314" s="237"/>
    </row>
    <row r="315" spans="1:40" x14ac:dyDescent="0.2">
      <c r="A315" s="353">
        <v>20</v>
      </c>
      <c r="B315" s="307">
        <v>0.97013299360000005</v>
      </c>
      <c r="C315" s="307">
        <v>0.97901221875</v>
      </c>
      <c r="D315" s="307">
        <v>0.98658936320000001</v>
      </c>
      <c r="E315" s="307">
        <v>0.99303103225</v>
      </c>
      <c r="F315" s="307">
        <v>0.99848894879999994</v>
      </c>
      <c r="G315" s="307">
        <v>1.0031006193500001</v>
      </c>
      <c r="H315" s="307">
        <v>1.0069900000000001</v>
      </c>
      <c r="I315" s="307">
        <v>1.0102681624500001</v>
      </c>
      <c r="J315" s="308">
        <v>1.01303396</v>
      </c>
      <c r="K315" s="307">
        <v>1.0153746935500001</v>
      </c>
      <c r="L315" s="307">
        <v>1.0173667775999999</v>
      </c>
      <c r="M315" s="307">
        <v>1.01907640625</v>
      </c>
      <c r="N315" s="307">
        <v>1.0205602192000001</v>
      </c>
      <c r="O315" s="307">
        <v>1.0218659677499999</v>
      </c>
      <c r="P315" s="307">
        <v>1.0230331808000002</v>
      </c>
      <c r="Q315" s="307">
        <v>1.0240938308500001</v>
      </c>
      <c r="R315" s="307">
        <v>1.0250729999999999</v>
      </c>
      <c r="S315" s="308">
        <v>1.0259895459499999</v>
      </c>
      <c r="T315" s="307">
        <v>1.026856768</v>
      </c>
      <c r="U315" s="307">
        <v>1.02768307305</v>
      </c>
      <c r="V315" s="307">
        <v>1.0284726416000001</v>
      </c>
      <c r="W315" s="307">
        <v>1.02922609375</v>
      </c>
      <c r="X315" s="307">
        <v>1.0299411552</v>
      </c>
      <c r="Y315" s="307">
        <v>1.0306133232499999</v>
      </c>
      <c r="Z315" s="307">
        <v>1.0312365328000002</v>
      </c>
      <c r="AA315" s="307">
        <v>1.0318038223499999</v>
      </c>
      <c r="AB315" s="308">
        <v>1.032308</v>
      </c>
      <c r="AC315" s="307">
        <v>1.0327423094500001</v>
      </c>
      <c r="AD315" s="307">
        <v>1.033101096</v>
      </c>
      <c r="AE315" s="307">
        <v>1.0333804725499998</v>
      </c>
      <c r="AF315" s="307">
        <v>1.0335789856000002</v>
      </c>
      <c r="AG315" s="307">
        <v>1.0336982812500002</v>
      </c>
      <c r="AH315" s="307">
        <v>1.0337437711999999</v>
      </c>
      <c r="AI315" s="307">
        <v>1.0337252987499999</v>
      </c>
      <c r="AJ315" s="307">
        <v>1.0336578047999998</v>
      </c>
      <c r="AK315" s="307">
        <v>1.0335619938499998</v>
      </c>
      <c r="AL315" s="308">
        <v>1.0334650000000001</v>
      </c>
      <c r="AM315" s="308">
        <f t="shared" si="4"/>
        <v>1.0334650000000001</v>
      </c>
      <c r="AN315" s="237"/>
    </row>
    <row r="316" spans="1:40" x14ac:dyDescent="0.2">
      <c r="A316" s="352">
        <v>21</v>
      </c>
      <c r="B316" s="304">
        <v>0.97038282547200005</v>
      </c>
      <c r="C316" s="304">
        <v>0.97928565624999997</v>
      </c>
      <c r="D316" s="304">
        <v>0.98687515996800002</v>
      </c>
      <c r="E316" s="304">
        <v>0.993320990706</v>
      </c>
      <c r="F316" s="304">
        <v>0.99877750758399997</v>
      </c>
      <c r="G316" s="304">
        <v>1.003384464522</v>
      </c>
      <c r="H316" s="304">
        <v>1.0072677000000001</v>
      </c>
      <c r="I316" s="304">
        <v>1.0105398268180001</v>
      </c>
      <c r="J316" s="305">
        <v>1.0133009218560001</v>
      </c>
      <c r="K316" s="304">
        <v>1.0156392158340002</v>
      </c>
      <c r="L316" s="304">
        <v>1.0176317830719999</v>
      </c>
      <c r="M316" s="304">
        <v>1.01934523125</v>
      </c>
      <c r="N316" s="304">
        <v>1.0208363911680001</v>
      </c>
      <c r="O316" s="304">
        <v>1.0221530065060001</v>
      </c>
      <c r="P316" s="304">
        <v>1.0233344235840001</v>
      </c>
      <c r="Q316" s="304">
        <v>1.024412281122</v>
      </c>
      <c r="R316" s="304">
        <v>1.0254112</v>
      </c>
      <c r="S316" s="305">
        <v>1.0263494730179998</v>
      </c>
      <c r="T316" s="304">
        <v>1.0272397546560001</v>
      </c>
      <c r="U316" s="304">
        <v>1.0280897508339999</v>
      </c>
      <c r="V316" s="304">
        <v>1.0289029086720001</v>
      </c>
      <c r="W316" s="304">
        <v>1.0296791062499999</v>
      </c>
      <c r="X316" s="304">
        <v>1.030415342368</v>
      </c>
      <c r="Y316" s="304">
        <v>1.0311064263059999</v>
      </c>
      <c r="Z316" s="304">
        <v>1.0317456675840002</v>
      </c>
      <c r="AA316" s="304">
        <v>1.0323255657219998</v>
      </c>
      <c r="AB316" s="305">
        <v>1.0328385</v>
      </c>
      <c r="AC316" s="304">
        <v>1.0332774192180001</v>
      </c>
      <c r="AD316" s="304">
        <v>1.0336365314560001</v>
      </c>
      <c r="AE316" s="304">
        <v>1.0339119938339998</v>
      </c>
      <c r="AF316" s="304">
        <v>1.0341026022720001</v>
      </c>
      <c r="AG316" s="304">
        <v>1.0342104812500001</v>
      </c>
      <c r="AH316" s="304">
        <v>1.0342417735679998</v>
      </c>
      <c r="AI316" s="304">
        <v>1.034207330106</v>
      </c>
      <c r="AJ316" s="304">
        <v>1.0341233995839998</v>
      </c>
      <c r="AK316" s="304">
        <v>1.0340123183219998</v>
      </c>
      <c r="AL316" s="305">
        <v>1.0339031999999999</v>
      </c>
      <c r="AM316" s="305">
        <f t="shared" si="4"/>
        <v>1.0339031999999999</v>
      </c>
      <c r="AN316" s="237"/>
    </row>
    <row r="317" spans="1:40" x14ac:dyDescent="0.2">
      <c r="A317" s="352">
        <v>22</v>
      </c>
      <c r="B317" s="304">
        <v>0.97063265734400006</v>
      </c>
      <c r="C317" s="304">
        <v>0.97955909374999994</v>
      </c>
      <c r="D317" s="304">
        <v>0.98716095673600002</v>
      </c>
      <c r="E317" s="304">
        <v>0.99361094916199999</v>
      </c>
      <c r="F317" s="304">
        <v>0.99906606636799999</v>
      </c>
      <c r="G317" s="304">
        <v>1.003668309694</v>
      </c>
      <c r="H317" s="304">
        <v>1.0075454000000001</v>
      </c>
      <c r="I317" s="304">
        <v>1.010811491186</v>
      </c>
      <c r="J317" s="305">
        <v>1.0135678837120001</v>
      </c>
      <c r="K317" s="304">
        <v>1.0159037381180001</v>
      </c>
      <c r="L317" s="304">
        <v>1.017896788544</v>
      </c>
      <c r="M317" s="304">
        <v>1.01961405625</v>
      </c>
      <c r="N317" s="304">
        <v>1.0211125631360001</v>
      </c>
      <c r="O317" s="304">
        <v>1.0224400452619999</v>
      </c>
      <c r="P317" s="304">
        <v>1.0236356663680002</v>
      </c>
      <c r="Q317" s="304">
        <v>1.0247307313939999</v>
      </c>
      <c r="R317" s="304">
        <v>1.0257494</v>
      </c>
      <c r="S317" s="305">
        <v>1.026709400086</v>
      </c>
      <c r="T317" s="304">
        <v>1.027622741312</v>
      </c>
      <c r="U317" s="304">
        <v>1.0284964286180001</v>
      </c>
      <c r="V317" s="304">
        <v>1.0293331757440001</v>
      </c>
      <c r="W317" s="304">
        <v>1.0301321187499999</v>
      </c>
      <c r="X317" s="304">
        <v>1.0308895295360001</v>
      </c>
      <c r="Y317" s="304">
        <v>1.0315995293619999</v>
      </c>
      <c r="Z317" s="304">
        <v>1.032254802368</v>
      </c>
      <c r="AA317" s="304">
        <v>1.032847309094</v>
      </c>
      <c r="AB317" s="305">
        <v>1.033369</v>
      </c>
      <c r="AC317" s="304">
        <v>1.0338125289860001</v>
      </c>
      <c r="AD317" s="304">
        <v>1.034171966912</v>
      </c>
      <c r="AE317" s="304">
        <v>1.0344435151179998</v>
      </c>
      <c r="AF317" s="304">
        <v>1.0346262189440001</v>
      </c>
      <c r="AG317" s="304">
        <v>1.0347226812500001</v>
      </c>
      <c r="AH317" s="304">
        <v>1.0347397759359998</v>
      </c>
      <c r="AI317" s="304">
        <v>1.0346893614620001</v>
      </c>
      <c r="AJ317" s="304">
        <v>1.034588994368</v>
      </c>
      <c r="AK317" s="304">
        <v>1.0344626427939998</v>
      </c>
      <c r="AL317" s="305">
        <v>1.0343413999999997</v>
      </c>
      <c r="AM317" s="305">
        <f t="shared" si="4"/>
        <v>1.0343413999999997</v>
      </c>
      <c r="AN317" s="237"/>
    </row>
    <row r="318" spans="1:40" x14ac:dyDescent="0.2">
      <c r="A318" s="352">
        <v>23</v>
      </c>
      <c r="B318" s="304">
        <v>0.97088248921599996</v>
      </c>
      <c r="C318" s="304">
        <v>0.97983253125000003</v>
      </c>
      <c r="D318" s="304">
        <v>0.98744675350400002</v>
      </c>
      <c r="E318" s="304">
        <v>0.9939009076180001</v>
      </c>
      <c r="F318" s="304">
        <v>0.99935462515200002</v>
      </c>
      <c r="G318" s="304">
        <v>1.003952154866</v>
      </c>
      <c r="H318" s="304">
        <v>1.0078231</v>
      </c>
      <c r="I318" s="304">
        <v>1.0110831555540001</v>
      </c>
      <c r="J318" s="305">
        <v>1.013834845568</v>
      </c>
      <c r="K318" s="304">
        <v>1.0161682604020001</v>
      </c>
      <c r="L318" s="304">
        <v>1.0181617940159999</v>
      </c>
      <c r="M318" s="304">
        <v>1.01988288125</v>
      </c>
      <c r="N318" s="304">
        <v>1.0213887351040001</v>
      </c>
      <c r="O318" s="304">
        <v>1.0227270840180001</v>
      </c>
      <c r="P318" s="304">
        <v>1.0239369091520001</v>
      </c>
      <c r="Q318" s="304">
        <v>1.0250491816660001</v>
      </c>
      <c r="R318" s="304">
        <v>1.0260875999999999</v>
      </c>
      <c r="S318" s="305">
        <v>1.0270693271539999</v>
      </c>
      <c r="T318" s="304">
        <v>1.0280057279680002</v>
      </c>
      <c r="U318" s="304">
        <v>1.028903106402</v>
      </c>
      <c r="V318" s="304">
        <v>1.0297634428160001</v>
      </c>
      <c r="W318" s="304">
        <v>1.0305851312500001</v>
      </c>
      <c r="X318" s="304">
        <v>1.031363716704</v>
      </c>
      <c r="Y318" s="304">
        <v>1.0320926324179998</v>
      </c>
      <c r="Z318" s="304">
        <v>1.0327639371520001</v>
      </c>
      <c r="AA318" s="304">
        <v>1.033369052466</v>
      </c>
      <c r="AB318" s="305">
        <v>1.0338995</v>
      </c>
      <c r="AC318" s="304">
        <v>1.0343476387539998</v>
      </c>
      <c r="AD318" s="304">
        <v>1.0347074023680001</v>
      </c>
      <c r="AE318" s="304">
        <v>1.0349750364019998</v>
      </c>
      <c r="AF318" s="304">
        <v>1.035149835616</v>
      </c>
      <c r="AG318" s="304">
        <v>1.0352348812500001</v>
      </c>
      <c r="AH318" s="304">
        <v>1.0352377783039999</v>
      </c>
      <c r="AI318" s="304">
        <v>1.035171392818</v>
      </c>
      <c r="AJ318" s="304">
        <v>1.035054589152</v>
      </c>
      <c r="AK318" s="304">
        <v>1.034912967266</v>
      </c>
      <c r="AL318" s="305">
        <v>1.0347795999999998</v>
      </c>
      <c r="AM318" s="305">
        <f t="shared" si="4"/>
        <v>1.0347795999999998</v>
      </c>
      <c r="AN318" s="237"/>
    </row>
    <row r="319" spans="1:40" x14ac:dyDescent="0.2">
      <c r="A319" s="352">
        <v>24</v>
      </c>
      <c r="B319" s="304">
        <v>0.97113232108799996</v>
      </c>
      <c r="C319" s="304">
        <v>0.98010596875</v>
      </c>
      <c r="D319" s="304">
        <v>0.98773255027200002</v>
      </c>
      <c r="E319" s="304">
        <v>0.99419086607400009</v>
      </c>
      <c r="F319" s="304">
        <v>0.99964318393600005</v>
      </c>
      <c r="G319" s="304">
        <v>1.004236000038</v>
      </c>
      <c r="H319" s="304">
        <v>1.0081008</v>
      </c>
      <c r="I319" s="304">
        <v>1.0113548199219999</v>
      </c>
      <c r="J319" s="305">
        <v>1.014101807424</v>
      </c>
      <c r="K319" s="304">
        <v>1.016432782686</v>
      </c>
      <c r="L319" s="304">
        <v>1.0184267994880001</v>
      </c>
      <c r="M319" s="304">
        <v>1.0201517062500001</v>
      </c>
      <c r="N319" s="304">
        <v>1.0216649070720001</v>
      </c>
      <c r="O319" s="304">
        <v>1.0230141227739999</v>
      </c>
      <c r="P319" s="304">
        <v>1.0242381519360002</v>
      </c>
      <c r="Q319" s="304">
        <v>1.0253676319380001</v>
      </c>
      <c r="R319" s="304">
        <v>1.0264257999999999</v>
      </c>
      <c r="S319" s="305">
        <v>1.027429254222</v>
      </c>
      <c r="T319" s="304">
        <v>1.0283887146240001</v>
      </c>
      <c r="U319" s="304">
        <v>1.0293097841860002</v>
      </c>
      <c r="V319" s="304">
        <v>1.0301937098880001</v>
      </c>
      <c r="W319" s="304">
        <v>1.03103814375</v>
      </c>
      <c r="X319" s="304">
        <v>1.031837903872</v>
      </c>
      <c r="Y319" s="304">
        <v>1.0325857354739998</v>
      </c>
      <c r="Z319" s="304">
        <v>1.0332730719359999</v>
      </c>
      <c r="AA319" s="304">
        <v>1.0338907958380001</v>
      </c>
      <c r="AB319" s="305">
        <v>1.03443</v>
      </c>
      <c r="AC319" s="304">
        <v>1.0348827485219998</v>
      </c>
      <c r="AD319" s="304">
        <v>1.035242837824</v>
      </c>
      <c r="AE319" s="304">
        <v>1.0355065576859999</v>
      </c>
      <c r="AF319" s="304">
        <v>1.035673452288</v>
      </c>
      <c r="AG319" s="304">
        <v>1.03574708125</v>
      </c>
      <c r="AH319" s="304">
        <v>1.0357357806719998</v>
      </c>
      <c r="AI319" s="304">
        <v>1.0356534241740001</v>
      </c>
      <c r="AJ319" s="304">
        <v>1.0355201839360002</v>
      </c>
      <c r="AK319" s="304">
        <v>1.035363291738</v>
      </c>
      <c r="AL319" s="305">
        <v>1.0352177999999996</v>
      </c>
      <c r="AM319" s="305">
        <f t="shared" si="4"/>
        <v>1.0352177999999996</v>
      </c>
      <c r="AN319" s="237"/>
    </row>
    <row r="320" spans="1:40" x14ac:dyDescent="0.2">
      <c r="A320" s="353">
        <v>25</v>
      </c>
      <c r="B320" s="307">
        <v>0.97138215295999997</v>
      </c>
      <c r="C320" s="307">
        <v>0.98037940624999997</v>
      </c>
      <c r="D320" s="307">
        <v>0.98801834704000002</v>
      </c>
      <c r="E320" s="307">
        <v>0.99448082453000008</v>
      </c>
      <c r="F320" s="307">
        <v>0.99993174272000007</v>
      </c>
      <c r="G320" s="307">
        <v>1.0045198452099999</v>
      </c>
      <c r="H320" s="307">
        <v>1.0083785000000001</v>
      </c>
      <c r="I320" s="307">
        <v>1.01162648429</v>
      </c>
      <c r="J320" s="308">
        <v>1.0143687692800001</v>
      </c>
      <c r="K320" s="307">
        <v>1.0166973049700001</v>
      </c>
      <c r="L320" s="307">
        <v>1.01869180496</v>
      </c>
      <c r="M320" s="307">
        <v>1.0204205312500001</v>
      </c>
      <c r="N320" s="307">
        <v>1.0219410790400001</v>
      </c>
      <c r="O320" s="307">
        <v>1.0233011615300001</v>
      </c>
      <c r="P320" s="307">
        <v>1.0245393947200001</v>
      </c>
      <c r="Q320" s="307">
        <v>1.02568608221</v>
      </c>
      <c r="R320" s="307">
        <v>1.026764</v>
      </c>
      <c r="S320" s="308">
        <v>1.02778918129</v>
      </c>
      <c r="T320" s="307">
        <v>1.0287717012800002</v>
      </c>
      <c r="U320" s="307">
        <v>1.0297164619700001</v>
      </c>
      <c r="V320" s="307">
        <v>1.0306239769600001</v>
      </c>
      <c r="W320" s="307">
        <v>1.03149115625</v>
      </c>
      <c r="X320" s="307">
        <v>1.0323120910400001</v>
      </c>
      <c r="Y320" s="307">
        <v>1.0330788385299998</v>
      </c>
      <c r="Z320" s="307">
        <v>1.03378220672</v>
      </c>
      <c r="AA320" s="307">
        <v>1.0344125392100001</v>
      </c>
      <c r="AB320" s="308">
        <v>1.0349604999999999</v>
      </c>
      <c r="AC320" s="307">
        <v>1.0354178582899998</v>
      </c>
      <c r="AD320" s="307">
        <v>1.0357782732800001</v>
      </c>
      <c r="AE320" s="307">
        <v>1.0360380789699999</v>
      </c>
      <c r="AF320" s="307">
        <v>1.03619706896</v>
      </c>
      <c r="AG320" s="307">
        <v>1.03625928125</v>
      </c>
      <c r="AH320" s="307">
        <v>1.0362337830399997</v>
      </c>
      <c r="AI320" s="307">
        <v>1.0361354555300002</v>
      </c>
      <c r="AJ320" s="307">
        <v>1.0359857787200002</v>
      </c>
      <c r="AK320" s="307">
        <v>1.03581361621</v>
      </c>
      <c r="AL320" s="308">
        <v>1.0356559999999995</v>
      </c>
      <c r="AM320" s="308">
        <f t="shared" si="4"/>
        <v>1.0356559999999995</v>
      </c>
      <c r="AN320" s="237"/>
    </row>
    <row r="321" spans="1:40" x14ac:dyDescent="0.2">
      <c r="A321" s="352">
        <v>26</v>
      </c>
      <c r="B321" s="304">
        <v>0.97138394995199995</v>
      </c>
      <c r="C321" s="304">
        <v>0.98034785624999998</v>
      </c>
      <c r="D321" s="304">
        <v>0.98797472588800006</v>
      </c>
      <c r="E321" s="304">
        <v>0.99444116244600012</v>
      </c>
      <c r="F321" s="304">
        <v>0.99990750374400006</v>
      </c>
      <c r="G321" s="304">
        <v>1.0045185680019999</v>
      </c>
      <c r="H321" s="304">
        <v>1.0084044000000001</v>
      </c>
      <c r="I321" s="304">
        <v>1.011681017238</v>
      </c>
      <c r="J321" s="305">
        <v>1.0144511560960001</v>
      </c>
      <c r="K321" s="304">
        <v>1.016805017994</v>
      </c>
      <c r="L321" s="304">
        <v>1.0188210155520001</v>
      </c>
      <c r="M321" s="304">
        <v>1.0205665187500002</v>
      </c>
      <c r="N321" s="304">
        <v>1.022098601088</v>
      </c>
      <c r="O321" s="304">
        <v>1.023464785746</v>
      </c>
      <c r="P321" s="304">
        <v>1.0247037917440001</v>
      </c>
      <c r="Q321" s="304">
        <v>1.0258462801020001</v>
      </c>
      <c r="R321" s="304">
        <v>1.0269155999999999</v>
      </c>
      <c r="S321" s="305">
        <v>1.0279285349380001</v>
      </c>
      <c r="T321" s="304">
        <v>1.0288960488960002</v>
      </c>
      <c r="U321" s="304">
        <v>1.029824032494</v>
      </c>
      <c r="V321" s="304">
        <v>1.0307140491520002</v>
      </c>
      <c r="W321" s="304">
        <v>1.03156408125</v>
      </c>
      <c r="X321" s="304">
        <v>1.0323692762880001</v>
      </c>
      <c r="Y321" s="304">
        <v>1.0331226930459998</v>
      </c>
      <c r="Z321" s="304">
        <v>1.0338160477439999</v>
      </c>
      <c r="AA321" s="304">
        <v>1.0344404602020001</v>
      </c>
      <c r="AB321" s="305">
        <v>1.0349872</v>
      </c>
      <c r="AC321" s="304">
        <v>1.0354484326379998</v>
      </c>
      <c r="AD321" s="304">
        <v>1.035817965696</v>
      </c>
      <c r="AE321" s="304">
        <v>1.036091994994</v>
      </c>
      <c r="AF321" s="304">
        <v>1.0362698507519998</v>
      </c>
      <c r="AG321" s="304">
        <v>1.03635474375</v>
      </c>
      <c r="AH321" s="304">
        <v>1.0363545114879997</v>
      </c>
      <c r="AI321" s="304">
        <v>1.0362823643460002</v>
      </c>
      <c r="AJ321" s="304">
        <v>1.0361576317440002</v>
      </c>
      <c r="AK321" s="304">
        <v>1.036006508302</v>
      </c>
      <c r="AL321" s="305">
        <v>1.0358627999999994</v>
      </c>
      <c r="AM321" s="305">
        <f t="shared" si="4"/>
        <v>1.0358627999999994</v>
      </c>
      <c r="AN321" s="237"/>
    </row>
    <row r="322" spans="1:40" x14ac:dyDescent="0.2">
      <c r="A322" s="352">
        <v>27</v>
      </c>
      <c r="B322" s="304">
        <v>0.97138574694399993</v>
      </c>
      <c r="C322" s="304">
        <v>0.98031630624999999</v>
      </c>
      <c r="D322" s="304">
        <v>0.98793110473599999</v>
      </c>
      <c r="E322" s="304">
        <v>0.99440150036200003</v>
      </c>
      <c r="F322" s="304">
        <v>0.99988326476800005</v>
      </c>
      <c r="G322" s="304">
        <v>1.0045172907939999</v>
      </c>
      <c r="H322" s="304">
        <v>1.0084303000000001</v>
      </c>
      <c r="I322" s="304">
        <v>1.0117355501859999</v>
      </c>
      <c r="J322" s="305">
        <v>1.0145335429120002</v>
      </c>
      <c r="K322" s="304">
        <v>1.0169127310179999</v>
      </c>
      <c r="L322" s="304">
        <v>1.018950226144</v>
      </c>
      <c r="M322" s="304">
        <v>1.02071250625</v>
      </c>
      <c r="N322" s="304">
        <v>1.0222561231360001</v>
      </c>
      <c r="O322" s="304">
        <v>1.0236284099620001</v>
      </c>
      <c r="P322" s="304">
        <v>1.024868188768</v>
      </c>
      <c r="Q322" s="304">
        <v>1.0260064779940001</v>
      </c>
      <c r="R322" s="304">
        <v>1.0270672000000001</v>
      </c>
      <c r="S322" s="305">
        <v>1.028067888586</v>
      </c>
      <c r="T322" s="304">
        <v>1.0290203965120002</v>
      </c>
      <c r="U322" s="304">
        <v>1.0299316030180001</v>
      </c>
      <c r="V322" s="304">
        <v>1.030804121344</v>
      </c>
      <c r="W322" s="304">
        <v>1.03163700625</v>
      </c>
      <c r="X322" s="304">
        <v>1.0324264615360002</v>
      </c>
      <c r="Y322" s="304">
        <v>1.0331665475619998</v>
      </c>
      <c r="Z322" s="304">
        <v>1.0338498887679999</v>
      </c>
      <c r="AA322" s="304">
        <v>1.0344683811940001</v>
      </c>
      <c r="AB322" s="305">
        <v>1.0350139</v>
      </c>
      <c r="AC322" s="304">
        <v>1.0354790069859998</v>
      </c>
      <c r="AD322" s="304">
        <v>1.035857658112</v>
      </c>
      <c r="AE322" s="304">
        <v>1.036145911018</v>
      </c>
      <c r="AF322" s="304">
        <v>1.0363426325439999</v>
      </c>
      <c r="AG322" s="304">
        <v>1.0364502062500001</v>
      </c>
      <c r="AH322" s="304">
        <v>1.0364752399359998</v>
      </c>
      <c r="AI322" s="304">
        <v>1.0364292731620002</v>
      </c>
      <c r="AJ322" s="304">
        <v>1.0363294847680002</v>
      </c>
      <c r="AK322" s="304">
        <v>1.0361994003939998</v>
      </c>
      <c r="AL322" s="305">
        <v>1.0360695999999996</v>
      </c>
      <c r="AM322" s="305">
        <f t="shared" si="4"/>
        <v>1.0360695999999996</v>
      </c>
      <c r="AN322" s="237"/>
    </row>
    <row r="323" spans="1:40" x14ac:dyDescent="0.2">
      <c r="A323" s="352">
        <v>28</v>
      </c>
      <c r="B323" s="304">
        <v>0.97138754393600002</v>
      </c>
      <c r="C323" s="304">
        <v>0.98028475625</v>
      </c>
      <c r="D323" s="304">
        <v>0.98788748358400003</v>
      </c>
      <c r="E323" s="304">
        <v>0.99436183827800007</v>
      </c>
      <c r="F323" s="304">
        <v>0.99985902579200003</v>
      </c>
      <c r="G323" s="304">
        <v>1.0045160135860001</v>
      </c>
      <c r="H323" s="304">
        <v>1.0084561999999999</v>
      </c>
      <c r="I323" s="304">
        <v>1.0117900831340001</v>
      </c>
      <c r="J323" s="305">
        <v>1.014615929728</v>
      </c>
      <c r="K323" s="304">
        <v>1.0170204440420001</v>
      </c>
      <c r="L323" s="304">
        <v>1.0190794367360001</v>
      </c>
      <c r="M323" s="304">
        <v>1.02085849375</v>
      </c>
      <c r="N323" s="304">
        <v>1.022413645184</v>
      </c>
      <c r="O323" s="304">
        <v>1.023792034178</v>
      </c>
      <c r="P323" s="304">
        <v>1.0250325857920002</v>
      </c>
      <c r="Q323" s="304">
        <v>1.026166675886</v>
      </c>
      <c r="R323" s="304">
        <v>1.0272188</v>
      </c>
      <c r="S323" s="305">
        <v>1.0282072422340001</v>
      </c>
      <c r="T323" s="304">
        <v>1.0291447441280002</v>
      </c>
      <c r="U323" s="304">
        <v>1.030039173542</v>
      </c>
      <c r="V323" s="304">
        <v>1.0308941935360001</v>
      </c>
      <c r="W323" s="304">
        <v>1.03170993125</v>
      </c>
      <c r="X323" s="304">
        <v>1.0324836467840002</v>
      </c>
      <c r="Y323" s="304">
        <v>1.033210402078</v>
      </c>
      <c r="Z323" s="304">
        <v>1.0338837297920001</v>
      </c>
      <c r="AA323" s="304">
        <v>1.0344963021860001</v>
      </c>
      <c r="AB323" s="305">
        <v>1.0350405999999999</v>
      </c>
      <c r="AC323" s="304">
        <v>1.0355095813339998</v>
      </c>
      <c r="AD323" s="304">
        <v>1.035897350528</v>
      </c>
      <c r="AE323" s="304">
        <v>1.0361998270420001</v>
      </c>
      <c r="AF323" s="304">
        <v>1.0364154143359998</v>
      </c>
      <c r="AG323" s="304">
        <v>1.0365456687499999</v>
      </c>
      <c r="AH323" s="304">
        <v>1.0365959683839998</v>
      </c>
      <c r="AI323" s="304">
        <v>1.0365761819779999</v>
      </c>
      <c r="AJ323" s="304">
        <v>1.036501337792</v>
      </c>
      <c r="AK323" s="304">
        <v>1.0363922924859998</v>
      </c>
      <c r="AL323" s="305">
        <v>1.0362763999999995</v>
      </c>
      <c r="AM323" s="305">
        <f t="shared" si="4"/>
        <v>1.0362763999999995</v>
      </c>
      <c r="AN323" s="237"/>
    </row>
    <row r="324" spans="1:40" x14ac:dyDescent="0.2">
      <c r="A324" s="352">
        <v>29</v>
      </c>
      <c r="B324" s="304">
        <v>0.971389340928</v>
      </c>
      <c r="C324" s="304">
        <v>0.98025320625000001</v>
      </c>
      <c r="D324" s="304">
        <v>0.98784386243199995</v>
      </c>
      <c r="E324" s="304">
        <v>0.99432217619399998</v>
      </c>
      <c r="F324" s="304">
        <v>0.99983478681600002</v>
      </c>
      <c r="G324" s="304">
        <v>1.004514736378</v>
      </c>
      <c r="H324" s="304">
        <v>1.0084820999999999</v>
      </c>
      <c r="I324" s="304">
        <v>1.011844616082</v>
      </c>
      <c r="J324" s="305">
        <v>1.014698316544</v>
      </c>
      <c r="K324" s="304">
        <v>1.017128157066</v>
      </c>
      <c r="L324" s="304">
        <v>1.019208647328</v>
      </c>
      <c r="M324" s="304">
        <v>1.0210044812499999</v>
      </c>
      <c r="N324" s="304">
        <v>1.0225711672320001</v>
      </c>
      <c r="O324" s="304">
        <v>1.0239556583940002</v>
      </c>
      <c r="P324" s="304">
        <v>1.0251969828160001</v>
      </c>
      <c r="Q324" s="304">
        <v>1.026326873778</v>
      </c>
      <c r="R324" s="304">
        <v>1.0273704000000001</v>
      </c>
      <c r="S324" s="305">
        <v>1.0283465958819999</v>
      </c>
      <c r="T324" s="304">
        <v>1.0292690917440002</v>
      </c>
      <c r="U324" s="304">
        <v>1.0301467440660002</v>
      </c>
      <c r="V324" s="304">
        <v>1.0309842657279999</v>
      </c>
      <c r="W324" s="304">
        <v>1.03178285625</v>
      </c>
      <c r="X324" s="304">
        <v>1.0325408320320002</v>
      </c>
      <c r="Y324" s="304">
        <v>1.0332542565939999</v>
      </c>
      <c r="Z324" s="304">
        <v>1.033917570816</v>
      </c>
      <c r="AA324" s="304">
        <v>1.0345242231780001</v>
      </c>
      <c r="AB324" s="305">
        <v>1.0350672999999999</v>
      </c>
      <c r="AC324" s="304">
        <v>1.0355401556819999</v>
      </c>
      <c r="AD324" s="304">
        <v>1.035937042944</v>
      </c>
      <c r="AE324" s="304">
        <v>1.0362537430660002</v>
      </c>
      <c r="AF324" s="304">
        <v>1.0364881961279999</v>
      </c>
      <c r="AG324" s="304">
        <v>1.0366411312499999</v>
      </c>
      <c r="AH324" s="304">
        <v>1.0367166968319999</v>
      </c>
      <c r="AI324" s="304">
        <v>1.0367230907939999</v>
      </c>
      <c r="AJ324" s="304">
        <v>1.0366731908160001</v>
      </c>
      <c r="AK324" s="304">
        <v>1.0365851845779996</v>
      </c>
      <c r="AL324" s="305">
        <v>1.0364831999999997</v>
      </c>
      <c r="AM324" s="305">
        <f t="shared" si="4"/>
        <v>1.0364831999999997</v>
      </c>
      <c r="AN324" s="237"/>
    </row>
    <row r="325" spans="1:40" x14ac:dyDescent="0.2">
      <c r="A325" s="353">
        <v>30</v>
      </c>
      <c r="B325" s="307">
        <v>0.97139113791999998</v>
      </c>
      <c r="C325" s="307">
        <v>0.98022165625000002</v>
      </c>
      <c r="D325" s="307">
        <v>0.98780024127999999</v>
      </c>
      <c r="E325" s="307">
        <v>0.99428251411000002</v>
      </c>
      <c r="F325" s="307">
        <v>0.99981054784000001</v>
      </c>
      <c r="G325" s="307">
        <v>1.00451345917</v>
      </c>
      <c r="H325" s="307">
        <v>1.008508</v>
      </c>
      <c r="I325" s="307">
        <v>1.01189914903</v>
      </c>
      <c r="J325" s="308">
        <v>1.01478070336</v>
      </c>
      <c r="K325" s="307">
        <v>1.0172358700899999</v>
      </c>
      <c r="L325" s="307">
        <v>1.0193378579200001</v>
      </c>
      <c r="M325" s="307">
        <v>1.0211504687499999</v>
      </c>
      <c r="N325" s="307">
        <v>1.02272868928</v>
      </c>
      <c r="O325" s="307">
        <v>1.0241192826100001</v>
      </c>
      <c r="P325" s="307">
        <v>1.0253613798400001</v>
      </c>
      <c r="Q325" s="307">
        <v>1.0264870716700001</v>
      </c>
      <c r="R325" s="307">
        <v>1.027522</v>
      </c>
      <c r="S325" s="308">
        <v>1.0284859495300001</v>
      </c>
      <c r="T325" s="307">
        <v>1.0293934393600002</v>
      </c>
      <c r="U325" s="307">
        <v>1.0302543145900001</v>
      </c>
      <c r="V325" s="307">
        <v>1.03107433792</v>
      </c>
      <c r="W325" s="307">
        <v>1.03185578125</v>
      </c>
      <c r="X325" s="307">
        <v>1.0325980172800002</v>
      </c>
      <c r="Y325" s="307">
        <v>1.0332981111099999</v>
      </c>
      <c r="Z325" s="307">
        <v>1.0339514118399999</v>
      </c>
      <c r="AA325" s="307">
        <v>1.0345521441700001</v>
      </c>
      <c r="AB325" s="308">
        <v>1.035094</v>
      </c>
      <c r="AC325" s="307">
        <v>1.0355707300299999</v>
      </c>
      <c r="AD325" s="307">
        <v>1.03597673536</v>
      </c>
      <c r="AE325" s="307">
        <v>1.0363076590900002</v>
      </c>
      <c r="AF325" s="307">
        <v>1.0365609779199998</v>
      </c>
      <c r="AG325" s="307">
        <v>1.0367365937499999</v>
      </c>
      <c r="AH325" s="307">
        <v>1.0368374252799999</v>
      </c>
      <c r="AI325" s="307">
        <v>1.0368699996099999</v>
      </c>
      <c r="AJ325" s="307">
        <v>1.0368450438400001</v>
      </c>
      <c r="AK325" s="307">
        <v>1.0367780766699997</v>
      </c>
      <c r="AL325" s="308">
        <v>1.0366899999999997</v>
      </c>
      <c r="AM325" s="308">
        <f t="shared" si="4"/>
        <v>1.0366899999999997</v>
      </c>
      <c r="AN325" s="237"/>
    </row>
    <row r="326" spans="1:40" x14ac:dyDescent="0.2">
      <c r="A326" s="352">
        <v>31</v>
      </c>
      <c r="B326" s="304">
        <v>0.97136902796799995</v>
      </c>
      <c r="C326" s="304">
        <v>0.98023597375000004</v>
      </c>
      <c r="D326" s="304">
        <v>0.98783898348800003</v>
      </c>
      <c r="E326" s="304">
        <v>0.994335984778</v>
      </c>
      <c r="F326" s="304">
        <v>0.999871093888</v>
      </c>
      <c r="G326" s="304">
        <v>1.004575221758</v>
      </c>
      <c r="H326" s="304">
        <v>1.0085666799999999</v>
      </c>
      <c r="I326" s="304">
        <v>1.0119517868979999</v>
      </c>
      <c r="J326" s="305">
        <v>1.014825473408</v>
      </c>
      <c r="K326" s="304">
        <v>1.0172718891579999</v>
      </c>
      <c r="L326" s="304">
        <v>1.0193650084480002</v>
      </c>
      <c r="M326" s="304">
        <v>1.02116923625</v>
      </c>
      <c r="N326" s="304">
        <v>1.0227400142080001</v>
      </c>
      <c r="O326" s="304">
        <v>1.0241244266380001</v>
      </c>
      <c r="P326" s="304">
        <v>1.0253618065280001</v>
      </c>
      <c r="Q326" s="304">
        <v>1.0264843415380001</v>
      </c>
      <c r="R326" s="304">
        <v>1.0275176800000001</v>
      </c>
      <c r="S326" s="305">
        <v>1.028481536918</v>
      </c>
      <c r="T326" s="304">
        <v>1.029390299968</v>
      </c>
      <c r="U326" s="304">
        <v>1.0302536354980001</v>
      </c>
      <c r="V326" s="304">
        <v>1.0310770945279999</v>
      </c>
      <c r="W326" s="304">
        <v>1.03186271875</v>
      </c>
      <c r="X326" s="304">
        <v>1.0326096465280001</v>
      </c>
      <c r="Y326" s="304">
        <v>1.0333147188979999</v>
      </c>
      <c r="Z326" s="304">
        <v>1.033973085568</v>
      </c>
      <c r="AA326" s="304">
        <v>1.0345788109180001</v>
      </c>
      <c r="AB326" s="305">
        <v>1.03512548</v>
      </c>
      <c r="AC326" s="304">
        <v>1.0356068045379998</v>
      </c>
      <c r="AD326" s="304">
        <v>1.0360172289280001</v>
      </c>
      <c r="AE326" s="304">
        <v>1.0363525362380002</v>
      </c>
      <c r="AF326" s="304">
        <v>1.0366104542079999</v>
      </c>
      <c r="AG326" s="304">
        <v>1.0367912612499999</v>
      </c>
      <c r="AH326" s="304">
        <v>1.036898392448</v>
      </c>
      <c r="AI326" s="304">
        <v>1.0369390455580001</v>
      </c>
      <c r="AJ326" s="304">
        <v>1.0369247870080001</v>
      </c>
      <c r="AK326" s="304">
        <v>1.0368721578979998</v>
      </c>
      <c r="AL326" s="305">
        <v>1.0368032799999998</v>
      </c>
      <c r="AM326" s="305">
        <f t="shared" si="4"/>
        <v>1.0368032799999998</v>
      </c>
      <c r="AN326" s="237"/>
    </row>
    <row r="327" spans="1:40" x14ac:dyDescent="0.2">
      <c r="A327" s="352">
        <v>32</v>
      </c>
      <c r="B327" s="304">
        <v>0.97134691801599993</v>
      </c>
      <c r="C327" s="304">
        <v>0.98025029124999996</v>
      </c>
      <c r="D327" s="304">
        <v>0.98787772569599996</v>
      </c>
      <c r="E327" s="304">
        <v>0.99438945544599999</v>
      </c>
      <c r="F327" s="304">
        <v>0.99993163993599998</v>
      </c>
      <c r="G327" s="304">
        <v>1.0046369843459999</v>
      </c>
      <c r="H327" s="304">
        <v>1.0086253599999999</v>
      </c>
      <c r="I327" s="304">
        <v>1.0120044247660001</v>
      </c>
      <c r="J327" s="305">
        <v>1.014870243456</v>
      </c>
      <c r="K327" s="304">
        <v>1.0173079082259999</v>
      </c>
      <c r="L327" s="304">
        <v>1.019392158976</v>
      </c>
      <c r="M327" s="304">
        <v>1.0211880037500001</v>
      </c>
      <c r="N327" s="304">
        <v>1.0227513391360001</v>
      </c>
      <c r="O327" s="304">
        <v>1.0241295706660001</v>
      </c>
      <c r="P327" s="304">
        <v>1.025362233216</v>
      </c>
      <c r="Q327" s="304">
        <v>1.026481611406</v>
      </c>
      <c r="R327" s="304">
        <v>1.0275133600000002</v>
      </c>
      <c r="S327" s="305">
        <v>1.028477124306</v>
      </c>
      <c r="T327" s="304">
        <v>1.0293871605760001</v>
      </c>
      <c r="U327" s="304">
        <v>1.0302529564060001</v>
      </c>
      <c r="V327" s="304">
        <v>1.031079851136</v>
      </c>
      <c r="W327" s="304">
        <v>1.03186965625</v>
      </c>
      <c r="X327" s="304">
        <v>1.032621275776</v>
      </c>
      <c r="Y327" s="304">
        <v>1.0333313266859998</v>
      </c>
      <c r="Z327" s="304">
        <v>1.0339947592959999</v>
      </c>
      <c r="AA327" s="304">
        <v>1.0346054776660001</v>
      </c>
      <c r="AB327" s="305">
        <v>1.0351569600000001</v>
      </c>
      <c r="AC327" s="304">
        <v>1.0356428790459999</v>
      </c>
      <c r="AD327" s="304">
        <v>1.0360577224960001</v>
      </c>
      <c r="AE327" s="304">
        <v>1.0363974133860001</v>
      </c>
      <c r="AF327" s="304">
        <v>1.0366599304959998</v>
      </c>
      <c r="AG327" s="304">
        <v>1.03684592875</v>
      </c>
      <c r="AH327" s="304">
        <v>1.0369593596159998</v>
      </c>
      <c r="AI327" s="304">
        <v>1.037008091506</v>
      </c>
      <c r="AJ327" s="304">
        <v>1.0370045301760002</v>
      </c>
      <c r="AK327" s="304">
        <v>1.0369662391259997</v>
      </c>
      <c r="AL327" s="305">
        <v>1.0369165599999999</v>
      </c>
      <c r="AM327" s="305">
        <f t="shared" si="4"/>
        <v>1.0369165599999999</v>
      </c>
      <c r="AN327" s="237"/>
    </row>
    <row r="328" spans="1:40" x14ac:dyDescent="0.2">
      <c r="A328" s="352">
        <v>33</v>
      </c>
      <c r="B328" s="304">
        <v>0.97132480806400001</v>
      </c>
      <c r="C328" s="304">
        <v>0.98026460874999999</v>
      </c>
      <c r="D328" s="304">
        <v>0.98791646790400001</v>
      </c>
      <c r="E328" s="304">
        <v>0.99444292611399998</v>
      </c>
      <c r="F328" s="304">
        <v>0.99999218598399997</v>
      </c>
      <c r="G328" s="304">
        <v>1.0046987469340001</v>
      </c>
      <c r="H328" s="304">
        <v>1.0086840400000001</v>
      </c>
      <c r="I328" s="304">
        <v>1.012057062634</v>
      </c>
      <c r="J328" s="305">
        <v>1.0149150135039999</v>
      </c>
      <c r="K328" s="304">
        <v>1.0173439272939999</v>
      </c>
      <c r="L328" s="304">
        <v>1.0194193095040001</v>
      </c>
      <c r="M328" s="304">
        <v>1.0212067712499999</v>
      </c>
      <c r="N328" s="304">
        <v>1.022762664064</v>
      </c>
      <c r="O328" s="304">
        <v>1.0241347146939999</v>
      </c>
      <c r="P328" s="304">
        <v>1.025362659904</v>
      </c>
      <c r="Q328" s="304">
        <v>1.026478881274</v>
      </c>
      <c r="R328" s="304">
        <v>1.02750904</v>
      </c>
      <c r="S328" s="305">
        <v>1.028472711694</v>
      </c>
      <c r="T328" s="304">
        <v>1.029384021184</v>
      </c>
      <c r="U328" s="304">
        <v>1.0302522773139999</v>
      </c>
      <c r="V328" s="304">
        <v>1.0310826077439998</v>
      </c>
      <c r="W328" s="304">
        <v>1.0318765937499998</v>
      </c>
      <c r="X328" s="304">
        <v>1.0326329050240002</v>
      </c>
      <c r="Y328" s="304">
        <v>1.033347934474</v>
      </c>
      <c r="Z328" s="304">
        <v>1.034016433024</v>
      </c>
      <c r="AA328" s="304">
        <v>1.0346321444139999</v>
      </c>
      <c r="AB328" s="305">
        <v>1.03518844</v>
      </c>
      <c r="AC328" s="304">
        <v>1.0356789535539999</v>
      </c>
      <c r="AD328" s="304">
        <v>1.036098216064</v>
      </c>
      <c r="AE328" s="304">
        <v>1.0364422905340001</v>
      </c>
      <c r="AF328" s="304">
        <v>1.0367094067839999</v>
      </c>
      <c r="AG328" s="304">
        <v>1.03690059625</v>
      </c>
      <c r="AH328" s="304">
        <v>1.0370203267839999</v>
      </c>
      <c r="AI328" s="304">
        <v>1.0370771374540002</v>
      </c>
      <c r="AJ328" s="304">
        <v>1.0370842733440002</v>
      </c>
      <c r="AK328" s="304">
        <v>1.0370603203539999</v>
      </c>
      <c r="AL328" s="305">
        <v>1.0370298399999998</v>
      </c>
      <c r="AM328" s="305">
        <f t="shared" si="4"/>
        <v>1.0370298399999998</v>
      </c>
      <c r="AN328" s="237"/>
    </row>
    <row r="329" spans="1:40" x14ac:dyDescent="0.2">
      <c r="A329" s="352">
        <v>34</v>
      </c>
      <c r="B329" s="304">
        <v>0.97130269811199998</v>
      </c>
      <c r="C329" s="304">
        <v>0.9802789262499999</v>
      </c>
      <c r="D329" s="304">
        <v>0.98795521011199994</v>
      </c>
      <c r="E329" s="304">
        <v>0.99449639678199997</v>
      </c>
      <c r="F329" s="304">
        <v>1.0000527320320001</v>
      </c>
      <c r="G329" s="304">
        <v>1.004760509522</v>
      </c>
      <c r="H329" s="304">
        <v>1.0087427200000001</v>
      </c>
      <c r="I329" s="304">
        <v>1.0121097005020001</v>
      </c>
      <c r="J329" s="305">
        <v>1.0149597835519999</v>
      </c>
      <c r="K329" s="304">
        <v>1.0173799463619999</v>
      </c>
      <c r="L329" s="304">
        <v>1.0194464600319999</v>
      </c>
      <c r="M329" s="304">
        <v>1.02122553875</v>
      </c>
      <c r="N329" s="304">
        <v>1.022773988992</v>
      </c>
      <c r="O329" s="304">
        <v>1.0241398587219999</v>
      </c>
      <c r="P329" s="304">
        <v>1.0253630865919998</v>
      </c>
      <c r="Q329" s="304">
        <v>1.026476151142</v>
      </c>
      <c r="R329" s="304">
        <v>1.02750472</v>
      </c>
      <c r="S329" s="305">
        <v>1.028468299082</v>
      </c>
      <c r="T329" s="304">
        <v>1.029380881792</v>
      </c>
      <c r="U329" s="304">
        <v>1.030251598222</v>
      </c>
      <c r="V329" s="304">
        <v>1.0310853643519999</v>
      </c>
      <c r="W329" s="304">
        <v>1.0318835312499999</v>
      </c>
      <c r="X329" s="304">
        <v>1.0326445342720001</v>
      </c>
      <c r="Y329" s="304">
        <v>1.0333645422619999</v>
      </c>
      <c r="Z329" s="304">
        <v>1.0340381067519999</v>
      </c>
      <c r="AA329" s="304">
        <v>1.0346588111619999</v>
      </c>
      <c r="AB329" s="305">
        <v>1.0352199200000001</v>
      </c>
      <c r="AC329" s="304">
        <v>1.035715028062</v>
      </c>
      <c r="AD329" s="304">
        <v>1.0361387096320001</v>
      </c>
      <c r="AE329" s="304">
        <v>1.036487167682</v>
      </c>
      <c r="AF329" s="304">
        <v>1.0367588830719998</v>
      </c>
      <c r="AG329" s="304">
        <v>1.0369552637500001</v>
      </c>
      <c r="AH329" s="304">
        <v>1.0370812939519998</v>
      </c>
      <c r="AI329" s="304">
        <v>1.0371461834020002</v>
      </c>
      <c r="AJ329" s="304">
        <v>1.0371640165120004</v>
      </c>
      <c r="AK329" s="304">
        <v>1.0371544015819998</v>
      </c>
      <c r="AL329" s="305">
        <v>1.0371431199999999</v>
      </c>
      <c r="AM329" s="305">
        <f t="shared" si="4"/>
        <v>1.0371431199999999</v>
      </c>
      <c r="AN329" s="237"/>
    </row>
    <row r="330" spans="1:40" x14ac:dyDescent="0.2">
      <c r="A330" s="353">
        <v>35</v>
      </c>
      <c r="B330" s="307">
        <v>0.97128058815999996</v>
      </c>
      <c r="C330" s="307">
        <v>0.98029324374999993</v>
      </c>
      <c r="D330" s="307">
        <v>0.98799395231999998</v>
      </c>
      <c r="E330" s="307">
        <v>0.99454986744999996</v>
      </c>
      <c r="F330" s="307">
        <v>1.0001132780799999</v>
      </c>
      <c r="G330" s="307">
        <v>1.00482227211</v>
      </c>
      <c r="H330" s="307">
        <v>1.0088014000000001</v>
      </c>
      <c r="I330" s="307">
        <v>1.01216233837</v>
      </c>
      <c r="J330" s="308">
        <v>1.0150045535999999</v>
      </c>
      <c r="K330" s="307">
        <v>1.0174159654299999</v>
      </c>
      <c r="L330" s="307">
        <v>1.01947361056</v>
      </c>
      <c r="M330" s="307">
        <v>1.0212443062500001</v>
      </c>
      <c r="N330" s="307">
        <v>1.02278531392</v>
      </c>
      <c r="O330" s="307">
        <v>1.0241450027499999</v>
      </c>
      <c r="P330" s="307">
        <v>1.0253635132799999</v>
      </c>
      <c r="Q330" s="307">
        <v>1.0264734210099999</v>
      </c>
      <c r="R330" s="307">
        <v>1.0275004000000001</v>
      </c>
      <c r="S330" s="308">
        <v>1.02846388647</v>
      </c>
      <c r="T330" s="307">
        <v>1.0293777423999999</v>
      </c>
      <c r="U330" s="307">
        <v>1.03025091913</v>
      </c>
      <c r="V330" s="307">
        <v>1.0310881209599998</v>
      </c>
      <c r="W330" s="307">
        <v>1.0318904687499999</v>
      </c>
      <c r="X330" s="307">
        <v>1.03265616352</v>
      </c>
      <c r="Y330" s="307">
        <v>1.0333811500499999</v>
      </c>
      <c r="Z330" s="307">
        <v>1.03405978048</v>
      </c>
      <c r="AA330" s="307">
        <v>1.0346854779099999</v>
      </c>
      <c r="AB330" s="308">
        <v>1.0352514000000002</v>
      </c>
      <c r="AC330" s="307">
        <v>1.0357511025699999</v>
      </c>
      <c r="AD330" s="307">
        <v>1.0361792032000001</v>
      </c>
      <c r="AE330" s="307">
        <v>1.0365320448299999</v>
      </c>
      <c r="AF330" s="307">
        <v>1.0368083593599999</v>
      </c>
      <c r="AG330" s="307">
        <v>1.0370099312500001</v>
      </c>
      <c r="AH330" s="307">
        <v>1.0371422611199999</v>
      </c>
      <c r="AI330" s="307">
        <v>1.0372152293500003</v>
      </c>
      <c r="AJ330" s="307">
        <v>1.0372437596800004</v>
      </c>
      <c r="AK330" s="307">
        <v>1.0372484828099999</v>
      </c>
      <c r="AL330" s="308">
        <v>1.0372564</v>
      </c>
      <c r="AM330" s="308">
        <f t="shared" si="4"/>
        <v>1.0372564</v>
      </c>
      <c r="AN330" s="237"/>
    </row>
    <row r="331" spans="1:40" x14ac:dyDescent="0.2">
      <c r="A331" s="352">
        <v>36</v>
      </c>
      <c r="B331" s="304">
        <v>0.97156046041599997</v>
      </c>
      <c r="C331" s="304">
        <v>0.98040273999999994</v>
      </c>
      <c r="D331" s="304">
        <v>0.98798919571199995</v>
      </c>
      <c r="E331" s="304">
        <v>0.99447488344000001</v>
      </c>
      <c r="F331" s="304">
        <v>1.0000015463679999</v>
      </c>
      <c r="G331" s="304">
        <v>1.0046981871359999</v>
      </c>
      <c r="H331" s="304">
        <v>1.00868164</v>
      </c>
      <c r="I331" s="304">
        <v>1.012057142992</v>
      </c>
      <c r="J331" s="305">
        <v>1.0149189100799998</v>
      </c>
      <c r="K331" s="304">
        <v>1.0173507033279998</v>
      </c>
      <c r="L331" s="304">
        <v>1.019426405056</v>
      </c>
      <c r="M331" s="304">
        <v>1.0212105900000001</v>
      </c>
      <c r="N331" s="304">
        <v>1.022759097472</v>
      </c>
      <c r="O331" s="304">
        <v>1.02411960352</v>
      </c>
      <c r="P331" s="304">
        <v>1.0253321930879999</v>
      </c>
      <c r="Q331" s="304">
        <v>1.026429932176</v>
      </c>
      <c r="R331" s="304">
        <v>1.02743944</v>
      </c>
      <c r="S331" s="305">
        <v>1.0283814611519999</v>
      </c>
      <c r="T331" s="304">
        <v>1.0292714377599999</v>
      </c>
      <c r="U331" s="304">
        <v>1.0301200816480001</v>
      </c>
      <c r="V331" s="304">
        <v>1.0309339464959999</v>
      </c>
      <c r="W331" s="304">
        <v>1.0317159999999999</v>
      </c>
      <c r="X331" s="304">
        <v>1.0324661960320001</v>
      </c>
      <c r="Y331" s="304">
        <v>1.0331820467999999</v>
      </c>
      <c r="Z331" s="304">
        <v>1.0338591950080001</v>
      </c>
      <c r="AA331" s="304">
        <v>1.034491986016</v>
      </c>
      <c r="AB331" s="305">
        <v>1.03507404</v>
      </c>
      <c r="AC331" s="304">
        <v>1.035598824112</v>
      </c>
      <c r="AD331" s="304">
        <v>1.0360602246400001</v>
      </c>
      <c r="AE331" s="304">
        <v>1.036453119168</v>
      </c>
      <c r="AF331" s="304">
        <v>1.0367739487359999</v>
      </c>
      <c r="AG331" s="304">
        <v>1.03702129</v>
      </c>
      <c r="AH331" s="304">
        <v>1.0371964273919998</v>
      </c>
      <c r="AI331" s="304">
        <v>1.0373039252800003</v>
      </c>
      <c r="AJ331" s="304">
        <v>1.0373522001280002</v>
      </c>
      <c r="AK331" s="304">
        <v>1.0373540926559999</v>
      </c>
      <c r="AL331" s="305">
        <v>1.0373274400000001</v>
      </c>
      <c r="AM331" s="305">
        <f t="shared" si="4"/>
        <v>1.0373274400000001</v>
      </c>
      <c r="AN331" s="237"/>
    </row>
    <row r="332" spans="1:40" x14ac:dyDescent="0.2">
      <c r="A332" s="352">
        <v>37</v>
      </c>
      <c r="B332" s="304">
        <v>0.97184033267199998</v>
      </c>
      <c r="C332" s="304">
        <v>0.98051223624999995</v>
      </c>
      <c r="D332" s="304">
        <v>0.98798443910400002</v>
      </c>
      <c r="E332" s="304">
        <v>0.99439989942999996</v>
      </c>
      <c r="F332" s="304">
        <v>0.99988981465600002</v>
      </c>
      <c r="G332" s="304">
        <v>1.004574102162</v>
      </c>
      <c r="H332" s="304">
        <v>1.00856188</v>
      </c>
      <c r="I332" s="304">
        <v>1.011951947614</v>
      </c>
      <c r="J332" s="305">
        <v>1.0148332665599999</v>
      </c>
      <c r="K332" s="304">
        <v>1.017285441226</v>
      </c>
      <c r="L332" s="304">
        <v>1.0193791995520001</v>
      </c>
      <c r="M332" s="304">
        <v>1.02117687375</v>
      </c>
      <c r="N332" s="304">
        <v>1.022732881024</v>
      </c>
      <c r="O332" s="304">
        <v>1.0240942042899999</v>
      </c>
      <c r="P332" s="304">
        <v>1.025300872896</v>
      </c>
      <c r="Q332" s="304">
        <v>1.026386443342</v>
      </c>
      <c r="R332" s="304">
        <v>1.0273784800000001</v>
      </c>
      <c r="S332" s="305">
        <v>1.0282990358339998</v>
      </c>
      <c r="T332" s="304">
        <v>1.02916513312</v>
      </c>
      <c r="U332" s="304">
        <v>1.0299892441660001</v>
      </c>
      <c r="V332" s="304">
        <v>1.030779772032</v>
      </c>
      <c r="W332" s="304">
        <v>1.03154153125</v>
      </c>
      <c r="X332" s="304">
        <v>1.0322762285440001</v>
      </c>
      <c r="Y332" s="304">
        <v>1.03298294355</v>
      </c>
      <c r="Z332" s="304">
        <v>1.0336586095360001</v>
      </c>
      <c r="AA332" s="304">
        <v>1.0342984941219999</v>
      </c>
      <c r="AB332" s="305">
        <v>1.0348966800000001</v>
      </c>
      <c r="AC332" s="304">
        <v>1.0354465456540001</v>
      </c>
      <c r="AD332" s="304">
        <v>1.0359412460800002</v>
      </c>
      <c r="AE332" s="304">
        <v>1.036374193506</v>
      </c>
      <c r="AF332" s="304">
        <v>1.0367395381119999</v>
      </c>
      <c r="AG332" s="304">
        <v>1.0370326487499999</v>
      </c>
      <c r="AH332" s="304">
        <v>1.037250593664</v>
      </c>
      <c r="AI332" s="304">
        <v>1.0373926212100002</v>
      </c>
      <c r="AJ332" s="304">
        <v>1.0374606405760003</v>
      </c>
      <c r="AK332" s="304">
        <v>1.037459702502</v>
      </c>
      <c r="AL332" s="305">
        <v>1.03739848</v>
      </c>
      <c r="AM332" s="305">
        <f t="shared" si="4"/>
        <v>1.03739848</v>
      </c>
      <c r="AN332" s="237"/>
    </row>
    <row r="333" spans="1:40" x14ac:dyDescent="0.2">
      <c r="A333" s="352">
        <v>38</v>
      </c>
      <c r="B333" s="304">
        <v>0.972120204928</v>
      </c>
      <c r="C333" s="304">
        <v>0.98062173249999995</v>
      </c>
      <c r="D333" s="304">
        <v>0.98797968249599999</v>
      </c>
      <c r="E333" s="304">
        <v>0.99432491542000001</v>
      </c>
      <c r="F333" s="304">
        <v>0.99977808294399995</v>
      </c>
      <c r="G333" s="304">
        <v>1.004450017188</v>
      </c>
      <c r="H333" s="304">
        <v>1.00844212</v>
      </c>
      <c r="I333" s="304">
        <v>1.011846752236</v>
      </c>
      <c r="J333" s="305">
        <v>1.0147476230399999</v>
      </c>
      <c r="K333" s="304">
        <v>1.0172201791239999</v>
      </c>
      <c r="L333" s="304">
        <v>1.0193319940479999</v>
      </c>
      <c r="M333" s="304">
        <v>1.0211431575000001</v>
      </c>
      <c r="N333" s="304">
        <v>1.0227066645760001</v>
      </c>
      <c r="O333" s="304">
        <v>1.02406880506</v>
      </c>
      <c r="P333" s="304">
        <v>1.0252695527039999</v>
      </c>
      <c r="Q333" s="304">
        <v>1.0263429545079998</v>
      </c>
      <c r="R333" s="304">
        <v>1.02731752</v>
      </c>
      <c r="S333" s="305">
        <v>1.028216610516</v>
      </c>
      <c r="T333" s="304">
        <v>1.02905882848</v>
      </c>
      <c r="U333" s="304">
        <v>1.029858406684</v>
      </c>
      <c r="V333" s="304">
        <v>1.0306255975679999</v>
      </c>
      <c r="W333" s="304">
        <v>1.0313670625</v>
      </c>
      <c r="X333" s="304">
        <v>1.032086261056</v>
      </c>
      <c r="Y333" s="304">
        <v>1.0327838402999998</v>
      </c>
      <c r="Z333" s="304">
        <v>1.0334580240639999</v>
      </c>
      <c r="AA333" s="304">
        <v>1.0341050022280001</v>
      </c>
      <c r="AB333" s="305">
        <v>1.03471932</v>
      </c>
      <c r="AC333" s="304">
        <v>1.0352942671959999</v>
      </c>
      <c r="AD333" s="304">
        <v>1.03582226752</v>
      </c>
      <c r="AE333" s="304">
        <v>1.0362952678439998</v>
      </c>
      <c r="AF333" s="304">
        <v>1.0367051274880001</v>
      </c>
      <c r="AG333" s="304">
        <v>1.0370440075</v>
      </c>
      <c r="AH333" s="304">
        <v>1.0373047599359999</v>
      </c>
      <c r="AI333" s="304">
        <v>1.0374813171400001</v>
      </c>
      <c r="AJ333" s="304">
        <v>1.0375690810240001</v>
      </c>
      <c r="AK333" s="304">
        <v>1.037565312348</v>
      </c>
      <c r="AL333" s="305">
        <v>1.0374695200000001</v>
      </c>
      <c r="AM333" s="305">
        <f t="shared" si="4"/>
        <v>1.0374695200000001</v>
      </c>
      <c r="AN333" s="237"/>
    </row>
    <row r="334" spans="1:40" x14ac:dyDescent="0.2">
      <c r="A334" s="352">
        <v>39</v>
      </c>
      <c r="B334" s="304">
        <v>0.97240007718400001</v>
      </c>
      <c r="C334" s="304">
        <v>0.98073122874999996</v>
      </c>
      <c r="D334" s="304">
        <v>0.98797492588800007</v>
      </c>
      <c r="E334" s="304">
        <v>0.99424993140999995</v>
      </c>
      <c r="F334" s="304">
        <v>0.99966635123199998</v>
      </c>
      <c r="G334" s="304">
        <v>1.0043259322140001</v>
      </c>
      <c r="H334" s="304">
        <v>1.00832236</v>
      </c>
      <c r="I334" s="304">
        <v>1.0117415568579999</v>
      </c>
      <c r="J334" s="305">
        <v>1.01466197952</v>
      </c>
      <c r="K334" s="304">
        <v>1.017154917022</v>
      </c>
      <c r="L334" s="304">
        <v>1.019284788544</v>
      </c>
      <c r="M334" s="304">
        <v>1.0211094412499999</v>
      </c>
      <c r="N334" s="304">
        <v>1.0226804481280001</v>
      </c>
      <c r="O334" s="304">
        <v>1.0240434058299999</v>
      </c>
      <c r="P334" s="304">
        <v>1.025238232512</v>
      </c>
      <c r="Q334" s="304">
        <v>1.0262994656739999</v>
      </c>
      <c r="R334" s="304">
        <v>1.0272565600000001</v>
      </c>
      <c r="S334" s="305">
        <v>1.0281341851979999</v>
      </c>
      <c r="T334" s="304">
        <v>1.0289525238400001</v>
      </c>
      <c r="U334" s="304">
        <v>1.029727569202</v>
      </c>
      <c r="V334" s="304">
        <v>1.030471423104</v>
      </c>
      <c r="W334" s="304">
        <v>1.0311925937500002</v>
      </c>
      <c r="X334" s="304">
        <v>1.0318962935680001</v>
      </c>
      <c r="Y334" s="304">
        <v>1.0325847370499999</v>
      </c>
      <c r="Z334" s="304">
        <v>1.0332574385919999</v>
      </c>
      <c r="AA334" s="304">
        <v>1.033911510334</v>
      </c>
      <c r="AB334" s="305">
        <v>1.0345419600000001</v>
      </c>
      <c r="AC334" s="304">
        <v>1.035141988738</v>
      </c>
      <c r="AD334" s="304">
        <v>1.03570328896</v>
      </c>
      <c r="AE334" s="304">
        <v>1.0362163421819999</v>
      </c>
      <c r="AF334" s="304">
        <v>1.0366707168640001</v>
      </c>
      <c r="AG334" s="304">
        <v>1.0370553662499999</v>
      </c>
      <c r="AH334" s="304">
        <v>1.0373589262080001</v>
      </c>
      <c r="AI334" s="304">
        <v>1.0375700130700001</v>
      </c>
      <c r="AJ334" s="304">
        <v>1.0376775214720002</v>
      </c>
      <c r="AK334" s="304">
        <v>1.0376709221940001</v>
      </c>
      <c r="AL334" s="305">
        <v>1.0375405600000001</v>
      </c>
      <c r="AM334" s="305">
        <f t="shared" si="4"/>
        <v>1.0375405600000001</v>
      </c>
      <c r="AN334" s="237"/>
    </row>
    <row r="335" spans="1:40" ht="13.5" thickBot="1" x14ac:dyDescent="0.25">
      <c r="A335" s="354">
        <v>40</v>
      </c>
      <c r="B335" s="310">
        <v>0.97267994944000002</v>
      </c>
      <c r="C335" s="310">
        <v>0.98084072499999997</v>
      </c>
      <c r="D335" s="310">
        <v>0.98797016928000003</v>
      </c>
      <c r="E335" s="310">
        <v>0.99417494740000001</v>
      </c>
      <c r="F335" s="310">
        <v>0.99955461952000002</v>
      </c>
      <c r="G335" s="310">
        <v>1.0042018472400001</v>
      </c>
      <c r="H335" s="310">
        <v>1.0082025999999999</v>
      </c>
      <c r="I335" s="310">
        <v>1.0116363614799999</v>
      </c>
      <c r="J335" s="311">
        <v>1.014576336</v>
      </c>
      <c r="K335" s="310">
        <v>1.0170896549199999</v>
      </c>
      <c r="L335" s="310">
        <v>1.01923758304</v>
      </c>
      <c r="M335" s="310">
        <v>1.021075725</v>
      </c>
      <c r="N335" s="310">
        <v>1.02265423168</v>
      </c>
      <c r="O335" s="310">
        <v>1.0240180066</v>
      </c>
      <c r="P335" s="310">
        <v>1.0252069123200001</v>
      </c>
      <c r="Q335" s="310">
        <v>1.0262559768399999</v>
      </c>
      <c r="R335" s="310">
        <v>1.0271956</v>
      </c>
      <c r="S335" s="311">
        <v>1.0280517598799999</v>
      </c>
      <c r="T335" s="310">
        <v>1.0288462192000001</v>
      </c>
      <c r="U335" s="310">
        <v>1.0295967317200001</v>
      </c>
      <c r="V335" s="310">
        <v>1.0303172486400001</v>
      </c>
      <c r="W335" s="310">
        <v>1.0310181250000001</v>
      </c>
      <c r="X335" s="310">
        <v>1.0317063260800001</v>
      </c>
      <c r="Y335" s="310">
        <v>1.0323856337999999</v>
      </c>
      <c r="Z335" s="310">
        <v>1.03305685312</v>
      </c>
      <c r="AA335" s="310">
        <v>1.0337180184400001</v>
      </c>
      <c r="AB335" s="311">
        <v>1.0343646</v>
      </c>
      <c r="AC335" s="310">
        <v>1.0349897102800001</v>
      </c>
      <c r="AD335" s="310">
        <v>1.0355843104</v>
      </c>
      <c r="AE335" s="310">
        <v>1.0361374165199999</v>
      </c>
      <c r="AF335" s="310">
        <v>1.0366363062400001</v>
      </c>
      <c r="AG335" s="310">
        <v>1.0370667249999999</v>
      </c>
      <c r="AH335" s="310">
        <v>1.03741309248</v>
      </c>
      <c r="AI335" s="310">
        <v>1.037658709</v>
      </c>
      <c r="AJ335" s="310">
        <v>1.0377859619200001</v>
      </c>
      <c r="AK335" s="310">
        <v>1.0377765320400001</v>
      </c>
      <c r="AL335" s="311">
        <v>1.0376116000000002</v>
      </c>
      <c r="AM335" s="311">
        <f t="shared" si="4"/>
        <v>1.0376116000000002</v>
      </c>
      <c r="AN335" s="237"/>
    </row>
    <row r="336" spans="1:40" ht="14.25" thickTop="1" thickBot="1" x14ac:dyDescent="0.25">
      <c r="A336" s="354">
        <f>A335+0.001</f>
        <v>40.000999999999998</v>
      </c>
      <c r="B336" s="310">
        <f>B335</f>
        <v>0.97267994944000002</v>
      </c>
      <c r="C336" s="310">
        <f t="shared" ref="C336:AL336" si="5">C335</f>
        <v>0.98084072499999997</v>
      </c>
      <c r="D336" s="310">
        <f t="shared" si="5"/>
        <v>0.98797016928000003</v>
      </c>
      <c r="E336" s="310">
        <f t="shared" si="5"/>
        <v>0.99417494740000001</v>
      </c>
      <c r="F336" s="310">
        <f t="shared" si="5"/>
        <v>0.99955461952000002</v>
      </c>
      <c r="G336" s="310">
        <f t="shared" si="5"/>
        <v>1.0042018472400001</v>
      </c>
      <c r="H336" s="310">
        <f t="shared" si="5"/>
        <v>1.0082025999999999</v>
      </c>
      <c r="I336" s="310">
        <f t="shared" si="5"/>
        <v>1.0116363614799999</v>
      </c>
      <c r="J336" s="311">
        <f t="shared" si="5"/>
        <v>1.014576336</v>
      </c>
      <c r="K336" s="310">
        <f t="shared" si="5"/>
        <v>1.0170896549199999</v>
      </c>
      <c r="L336" s="310">
        <f t="shared" si="5"/>
        <v>1.01923758304</v>
      </c>
      <c r="M336" s="310">
        <f t="shared" si="5"/>
        <v>1.021075725</v>
      </c>
      <c r="N336" s="310">
        <f t="shared" si="5"/>
        <v>1.02265423168</v>
      </c>
      <c r="O336" s="310">
        <f t="shared" si="5"/>
        <v>1.0240180066</v>
      </c>
      <c r="P336" s="310">
        <f t="shared" si="5"/>
        <v>1.0252069123200001</v>
      </c>
      <c r="Q336" s="310">
        <f t="shared" si="5"/>
        <v>1.0262559768399999</v>
      </c>
      <c r="R336" s="310">
        <f t="shared" si="5"/>
        <v>1.0271956</v>
      </c>
      <c r="S336" s="311">
        <f t="shared" si="5"/>
        <v>1.0280517598799999</v>
      </c>
      <c r="T336" s="310">
        <f t="shared" si="5"/>
        <v>1.0288462192000001</v>
      </c>
      <c r="U336" s="310">
        <f t="shared" si="5"/>
        <v>1.0295967317200001</v>
      </c>
      <c r="V336" s="310">
        <f t="shared" si="5"/>
        <v>1.0303172486400001</v>
      </c>
      <c r="W336" s="310">
        <f t="shared" si="5"/>
        <v>1.0310181250000001</v>
      </c>
      <c r="X336" s="310">
        <f t="shared" si="5"/>
        <v>1.0317063260800001</v>
      </c>
      <c r="Y336" s="310">
        <f t="shared" si="5"/>
        <v>1.0323856337999999</v>
      </c>
      <c r="Z336" s="310">
        <f t="shared" si="5"/>
        <v>1.03305685312</v>
      </c>
      <c r="AA336" s="310">
        <f t="shared" si="5"/>
        <v>1.0337180184400001</v>
      </c>
      <c r="AB336" s="311">
        <f t="shared" si="5"/>
        <v>1.0343646</v>
      </c>
      <c r="AC336" s="310">
        <f t="shared" si="5"/>
        <v>1.0349897102800001</v>
      </c>
      <c r="AD336" s="310">
        <f t="shared" si="5"/>
        <v>1.0355843104</v>
      </c>
      <c r="AE336" s="310">
        <f t="shared" si="5"/>
        <v>1.0361374165199999</v>
      </c>
      <c r="AF336" s="310">
        <f t="shared" si="5"/>
        <v>1.0366363062400001</v>
      </c>
      <c r="AG336" s="310">
        <f t="shared" si="5"/>
        <v>1.0370667249999999</v>
      </c>
      <c r="AH336" s="310">
        <f t="shared" si="5"/>
        <v>1.03741309248</v>
      </c>
      <c r="AI336" s="310">
        <f t="shared" si="5"/>
        <v>1.037658709</v>
      </c>
      <c r="AJ336" s="310">
        <f t="shared" si="5"/>
        <v>1.0377859619200001</v>
      </c>
      <c r="AK336" s="310">
        <f t="shared" si="5"/>
        <v>1.0377765320400001</v>
      </c>
      <c r="AL336" s="311">
        <f t="shared" si="5"/>
        <v>1.0376116000000002</v>
      </c>
      <c r="AM336" s="311">
        <f>AL335</f>
        <v>1.0376116000000002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B297:J297"/>
    <mergeCell ref="A27:D27"/>
    <mergeCell ref="A84:D84"/>
    <mergeCell ref="B85:J85"/>
    <mergeCell ref="A128:F128"/>
    <mergeCell ref="A234:D234"/>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2018-03-05T18:23:21Z</cp:lastPrinted>
  <dcterms:created xsi:type="dcterms:W3CDTF">2003-11-06T17:40:41Z</dcterms:created>
  <dcterms:modified xsi:type="dcterms:W3CDTF">2018-11-14T18:49:10Z</dcterms:modified>
</cp:coreProperties>
</file>