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4385" yWindow="45" windowWidth="7200" windowHeight="12465" tabRatio="694"/>
  </bookViews>
  <sheets>
    <sheet name="Data Entry" sheetId="2" r:id="rId1"/>
    <sheet name="Print Form" sheetId="3" r:id="rId2"/>
    <sheet name="Error Messages" sheetId="45" r:id="rId3"/>
    <sheet name="Data Calculations" sheetId="4" r:id="rId4"/>
    <sheet name="Parameters" sheetId="5" r:id="rId5"/>
    <sheet name="Table References" sheetId="37" r:id="rId6"/>
    <sheet name="CL6 6MV" sheetId="7" r:id="rId7"/>
    <sheet name="6MV" sheetId="11" r:id="rId8"/>
    <sheet name="10MV" sheetId="44" r:id="rId9"/>
    <sheet name="15MV" sheetId="39" r:id="rId10"/>
  </sheets>
  <definedNames>
    <definedName name="bill" localSheetId="2">#REF!</definedName>
    <definedName name="bill">#REF!</definedName>
    <definedName name="bottomright" localSheetId="2">#REF!</definedName>
    <definedName name="bottomright">#REF!</definedName>
    <definedName name="buck" localSheetId="2">#REF!</definedName>
    <definedName name="buck">#REF!</definedName>
    <definedName name="bucky" localSheetId="2">#REF!</definedName>
    <definedName name="bucky">#REF!</definedName>
    <definedName name="CL21A_15MV_Enhanced_Dynamic_Wedge_Factors" localSheetId="8">#REF!</definedName>
    <definedName name="CL21A_15MV_Enhanced_Dynamic_Wedge_Factors" localSheetId="2">#REF!</definedName>
    <definedName name="CL21A_15MV_Enhanced_Dynamic_Wedge_Factors">#REF!</definedName>
    <definedName name="CL21A_15MV_Peak_Scatter_Factor" localSheetId="8">#REF!</definedName>
    <definedName name="CL21A_15MV_Peak_Scatter_Factor" localSheetId="2">#REF!</definedName>
    <definedName name="CL21A_15MV_Peak_Scatter_Factor">#REF!</definedName>
    <definedName name="CL21A_15MV_Physical_Wedge_Factors" localSheetId="8">#REF!</definedName>
    <definedName name="CL21A_15MV_Physical_Wedge_Factors" localSheetId="2">#REF!</definedName>
    <definedName name="CL21A_15MV_Physical_Wedge_Factors">#REF!</definedName>
    <definedName name="CL21A_15MV_RDF" localSheetId="8">#REF!</definedName>
    <definedName name="CL21A_15MV_RDF" localSheetId="2">#REF!</definedName>
    <definedName name="CL21A_15MV_RDF">#REF!</definedName>
    <definedName name="CL21A_15MV_ROF" localSheetId="8">#REF!</definedName>
    <definedName name="CL21A_15MV_ROF" localSheetId="2">#REF!</definedName>
    <definedName name="CL21A_15MV_ROF">#REF!</definedName>
    <definedName name="CL21A_6MV_Enhanced_Dynamic_Wedge_Factors" localSheetId="8">#REF!</definedName>
    <definedName name="CL21A_6MV_Enhanced_Dynamic_Wedge_Factors" localSheetId="2">#REF!</definedName>
    <definedName name="CL21A_6MV_Enhanced_Dynamic_Wedge_Factors">#REF!</definedName>
    <definedName name="CL21A_6MV_Peak_Scatter_Factor" localSheetId="8">#REF!</definedName>
    <definedName name="CL21A_6MV_Peak_Scatter_Factor" localSheetId="2">#REF!</definedName>
    <definedName name="CL21A_6MV_Peak_Scatter_Factor">#REF!</definedName>
    <definedName name="CL21A_6MV_Physical_Wedge_Factors" localSheetId="8">#REF!</definedName>
    <definedName name="CL21A_6MV_Physical_Wedge_Factors" localSheetId="2">#REF!</definedName>
    <definedName name="CL21A_6MV_Physical_Wedge_Factors">#REF!</definedName>
    <definedName name="CL21A_6MV_RDF" localSheetId="8">#REF!</definedName>
    <definedName name="CL21A_6MV_RDF" localSheetId="2">#REF!</definedName>
    <definedName name="CL21A_6MV_RDF">#REF!</definedName>
    <definedName name="CL21A_6MV_ROF" localSheetId="8">#REF!</definedName>
    <definedName name="CL21A_6MV_ROF" localSheetId="2">#REF!</definedName>
    <definedName name="CL21A_6MV_ROF">#REF!</definedName>
    <definedName name="CL21C_15MV_Enhanced_Dynamic_Wedge_Factors" localSheetId="8">'10MV'!$A$128:$F$128</definedName>
    <definedName name="CL21C_15MV_Enhanced_Dynamic_Wedge_Factors">'15MV'!$A$128:$F$128</definedName>
    <definedName name="CL21C_15MV_Peak_Scatter_Factor" localSheetId="8">'10MV'!$A$234</definedName>
    <definedName name="CL21C_15MV_Peak_Scatter_Factor">'15MV'!$A$234</definedName>
    <definedName name="CL21C_15MV_Physical_Wedge_Factors" localSheetId="8">'10MV'!#REF!</definedName>
    <definedName name="CL21C_15MV_Physical_Wedge_Factors" localSheetId="2">'15MV'!#REF!</definedName>
    <definedName name="CL21C_15MV_Physical_Wedge_Factors">'15MV'!#REF!</definedName>
    <definedName name="CL21C_15MV_RDF" localSheetId="8">'10MV'!$A$84</definedName>
    <definedName name="CL21C_15MV_RDF">'15MV'!$A$84</definedName>
    <definedName name="CL21C_15MV_ROF" localSheetId="8">'10MV'!$A$295</definedName>
    <definedName name="CL21C_15MV_ROF">'15MV'!$A$295</definedName>
    <definedName name="CL21C_6MV_Enhanced_Dynamic_Wedge_Factors">'6MV'!$A$128</definedName>
    <definedName name="CL21C_6MV_Peak_Scatter_Factor">'6MV'!$A$234</definedName>
    <definedName name="CL21C_6MV_Physical_Wedge_Factors" localSheetId="2">'6MV'!#REF!</definedName>
    <definedName name="CL21C_6MV_Physical_Wedge_Factors">'6MV'!#REF!</definedName>
    <definedName name="CL21C_6MV_RDF">'6MV'!$A$84</definedName>
    <definedName name="CL21C_6MV_ROF">'6MV'!$A$295</definedName>
    <definedName name="CL6_6MV_Enhanced_Dynamic_Wedge_Factors">'CL6 6MV'!$A$128</definedName>
    <definedName name="CL6_6MV_Peak_Scatter_Factor">'CL6 6MV'!$A$234</definedName>
    <definedName name="CL6_6MV_Physical_Wedge_Factors" localSheetId="8">'CL6 6MV'!#REF!</definedName>
    <definedName name="CL6_6MV_Physical_Wedge_Factors" localSheetId="2">'CL6 6MV'!#REF!</definedName>
    <definedName name="CL6_6MV_Physical_Wedge_Factors">'CL6 6MV'!#REF!</definedName>
    <definedName name="CL6_6MV_RDF">'CL6 6MV'!$A$84</definedName>
    <definedName name="CL6_6MV_ROF">'CL6 6MV'!$A$295</definedName>
    <definedName name="databook_table" localSheetId="2">#REF!</definedName>
    <definedName name="databook_table">#REF!</definedName>
    <definedName name="final_y" localSheetId="2">#REF!</definedName>
    <definedName name="final_y">#REF!</definedName>
    <definedName name="floob" localSheetId="2">#REF!</definedName>
    <definedName name="floob">#REF!</definedName>
    <definedName name="fred" localSheetId="2">#REF!</definedName>
    <definedName name="fred">#REF!</definedName>
    <definedName name="full_topleft" localSheetId="2">#REF!</definedName>
    <definedName name="full_topleft">#REF!</definedName>
    <definedName name="_xlnm.Print_Area" localSheetId="0">'Data Entry'!$A$1:$K$45</definedName>
    <definedName name="_xlnm.Print_Area" localSheetId="2">'Error Messages'!$A$1:$K$45</definedName>
    <definedName name="_xlnm.Print_Area" localSheetId="1">'Print Form'!$A$1:$F$33</definedName>
  </definedNames>
  <calcPr calcId="145621"/>
</workbook>
</file>

<file path=xl/calcChain.xml><?xml version="1.0" encoding="utf-8"?>
<calcChain xmlns="http://schemas.openxmlformats.org/spreadsheetml/2006/main">
  <c r="D5" i="3" l="1"/>
  <c r="D88" i="4" l="1"/>
  <c r="F88" i="4"/>
  <c r="E88" i="4"/>
  <c r="C88" i="4"/>
  <c r="B50" i="4" l="1"/>
  <c r="B49" i="4"/>
  <c r="G60" i="4"/>
  <c r="G59" i="4"/>
  <c r="G58" i="4"/>
  <c r="F60" i="4"/>
  <c r="F58" i="4"/>
  <c r="E60" i="4"/>
  <c r="E58" i="4"/>
  <c r="D60" i="4"/>
  <c r="D58" i="4"/>
  <c r="C58" i="4"/>
  <c r="B40" i="2" l="1"/>
  <c r="B34" i="2"/>
  <c r="B33" i="2"/>
  <c r="A33" i="2"/>
  <c r="C6" i="3"/>
  <c r="F34" i="3"/>
  <c r="C11" i="7" l="1"/>
  <c r="C11" i="39"/>
  <c r="C11" i="11"/>
  <c r="B21" i="2" l="1"/>
  <c r="F149" i="4" l="1"/>
  <c r="E149" i="4"/>
  <c r="D149" i="4"/>
  <c r="F148" i="4"/>
  <c r="E148" i="4"/>
  <c r="D148" i="4"/>
  <c r="F146" i="4"/>
  <c r="E146" i="4"/>
  <c r="D146" i="4"/>
  <c r="F145" i="4"/>
  <c r="E145" i="4"/>
  <c r="D145" i="4"/>
  <c r="F144" i="4"/>
  <c r="E144" i="4"/>
  <c r="D144" i="4"/>
  <c r="F143" i="4"/>
  <c r="E143" i="4"/>
  <c r="D143" i="4"/>
  <c r="F141" i="4"/>
  <c r="E141" i="4"/>
  <c r="D141" i="4"/>
  <c r="F140" i="4"/>
  <c r="E140" i="4"/>
  <c r="D140" i="4"/>
  <c r="F97" i="4"/>
  <c r="E97" i="4"/>
  <c r="D97" i="4"/>
  <c r="F95" i="4"/>
  <c r="F99" i="4" s="1"/>
  <c r="E95" i="4"/>
  <c r="E99" i="4" s="1"/>
  <c r="D95" i="4"/>
  <c r="D99" i="4" s="1"/>
  <c r="F85" i="4"/>
  <c r="F87" i="4" s="1"/>
  <c r="F89" i="4" s="1"/>
  <c r="E85" i="4"/>
  <c r="E87" i="4" s="1"/>
  <c r="E89" i="4" s="1"/>
  <c r="D85" i="4"/>
  <c r="D87" i="4" s="1"/>
  <c r="D89" i="4" s="1"/>
  <c r="E98" i="4" l="1"/>
  <c r="D98" i="4"/>
  <c r="F98" i="4"/>
  <c r="D147" i="4"/>
  <c r="D159" i="4" s="1"/>
  <c r="D150" i="4"/>
  <c r="F147" i="4"/>
  <c r="F159" i="4" s="1"/>
  <c r="F150" i="4"/>
  <c r="F160" i="4" s="1"/>
  <c r="E147" i="4"/>
  <c r="E150" i="4"/>
  <c r="E159" i="4"/>
  <c r="E160" i="4"/>
  <c r="E96" i="4"/>
  <c r="D96" i="4"/>
  <c r="F96" i="4"/>
  <c r="F21" i="2" s="1"/>
  <c r="E86" i="4"/>
  <c r="D86" i="4"/>
  <c r="F86" i="4"/>
  <c r="B63" i="4"/>
  <c r="D112" i="4" l="1"/>
  <c r="E112" i="4"/>
  <c r="F112" i="4"/>
  <c r="F161" i="4"/>
  <c r="F158" i="4"/>
  <c r="E161" i="4"/>
  <c r="E158" i="4"/>
  <c r="D160" i="4"/>
  <c r="D161" i="4" s="1"/>
  <c r="D158" i="4"/>
  <c r="D101" i="4"/>
  <c r="D100" i="4"/>
  <c r="F101" i="4"/>
  <c r="F100" i="4"/>
  <c r="E101" i="4"/>
  <c r="E100" i="4"/>
  <c r="C3" i="3" l="1"/>
  <c r="F19" i="3" l="1"/>
  <c r="E19" i="3"/>
  <c r="D19" i="3"/>
  <c r="F13" i="3"/>
  <c r="E13" i="3"/>
  <c r="D13" i="3"/>
  <c r="F10" i="3"/>
  <c r="E10" i="3"/>
  <c r="D10" i="3"/>
  <c r="F7" i="3"/>
  <c r="E7" i="3"/>
  <c r="D7" i="3"/>
  <c r="C19" i="3"/>
  <c r="A19" i="2" l="1"/>
  <c r="B20" i="2"/>
  <c r="F33" i="4" l="1"/>
  <c r="E33" i="4"/>
  <c r="D33" i="4"/>
  <c r="C33" i="4"/>
  <c r="AM124" i="39" l="1"/>
  <c r="AL124" i="39"/>
  <c r="AK124" i="39"/>
  <c r="AJ124" i="39"/>
  <c r="AI124" i="39"/>
  <c r="AH124" i="39"/>
  <c r="AG124" i="39"/>
  <c r="AF124" i="39"/>
  <c r="AE124" i="39"/>
  <c r="AD124" i="39"/>
  <c r="AC124" i="39"/>
  <c r="AB124" i="39"/>
  <c r="AA124" i="39"/>
  <c r="Z124" i="39"/>
  <c r="Y124" i="39"/>
  <c r="X124" i="39"/>
  <c r="W124" i="39"/>
  <c r="V124" i="39"/>
  <c r="U124" i="39"/>
  <c r="T124" i="39"/>
  <c r="S124" i="39"/>
  <c r="R124" i="39"/>
  <c r="Q124" i="39"/>
  <c r="P124" i="39"/>
  <c r="O124" i="39"/>
  <c r="N124" i="39"/>
  <c r="M124" i="39"/>
  <c r="L124" i="39"/>
  <c r="K124" i="39"/>
  <c r="J124" i="39"/>
  <c r="I124" i="39"/>
  <c r="H124" i="39"/>
  <c r="G124" i="39"/>
  <c r="F124" i="39"/>
  <c r="E124" i="39"/>
  <c r="D124" i="39"/>
  <c r="C124" i="39"/>
  <c r="B124" i="39"/>
  <c r="A124" i="39"/>
  <c r="AM335" i="39"/>
  <c r="AL335" i="39"/>
  <c r="AK335" i="39"/>
  <c r="AJ335" i="39"/>
  <c r="AI335" i="39"/>
  <c r="AH335" i="39"/>
  <c r="AG335" i="39"/>
  <c r="AF335" i="39"/>
  <c r="AE335" i="39"/>
  <c r="AD335" i="39"/>
  <c r="AC335" i="39"/>
  <c r="AB335" i="39"/>
  <c r="AA335" i="39"/>
  <c r="Z335" i="39"/>
  <c r="Y335" i="39"/>
  <c r="X335" i="39"/>
  <c r="W335" i="39"/>
  <c r="V335" i="39"/>
  <c r="U335" i="39"/>
  <c r="T335" i="39"/>
  <c r="S335" i="39"/>
  <c r="R335" i="39"/>
  <c r="Q335" i="39"/>
  <c r="P335" i="39"/>
  <c r="O335" i="39"/>
  <c r="N335" i="39"/>
  <c r="M335" i="39"/>
  <c r="L335" i="39"/>
  <c r="K335" i="39"/>
  <c r="J335" i="39"/>
  <c r="I335" i="39"/>
  <c r="H335" i="39"/>
  <c r="G335" i="39"/>
  <c r="F335" i="39"/>
  <c r="E335" i="39"/>
  <c r="D335" i="39"/>
  <c r="C335" i="39"/>
  <c r="B335" i="39"/>
  <c r="A335" i="39"/>
  <c r="AM124" i="44"/>
  <c r="AL124" i="44"/>
  <c r="AK124" i="44"/>
  <c r="AJ124" i="44"/>
  <c r="AI124" i="44"/>
  <c r="AH124" i="44"/>
  <c r="AG124" i="44"/>
  <c r="AF124" i="44"/>
  <c r="AE124" i="44"/>
  <c r="AD124" i="44"/>
  <c r="AC124" i="44"/>
  <c r="AB124" i="44"/>
  <c r="AA124" i="44"/>
  <c r="Z124" i="44"/>
  <c r="Y124" i="44"/>
  <c r="X124" i="44"/>
  <c r="W124" i="44"/>
  <c r="V124" i="44"/>
  <c r="U124" i="44"/>
  <c r="T124" i="44"/>
  <c r="S124" i="44"/>
  <c r="R124" i="44"/>
  <c r="Q124" i="44"/>
  <c r="P124" i="44"/>
  <c r="O124" i="44"/>
  <c r="N124" i="44"/>
  <c r="M124" i="44"/>
  <c r="L124" i="44"/>
  <c r="K124" i="44"/>
  <c r="J124" i="44"/>
  <c r="I124" i="44"/>
  <c r="H124" i="44"/>
  <c r="G124" i="44"/>
  <c r="F124" i="44"/>
  <c r="E124" i="44"/>
  <c r="D124" i="44"/>
  <c r="C124" i="44"/>
  <c r="B124" i="44"/>
  <c r="A124" i="44"/>
  <c r="AM335" i="44"/>
  <c r="AL335" i="44"/>
  <c r="AK335" i="44"/>
  <c r="AJ335" i="44"/>
  <c r="AI335" i="44"/>
  <c r="AH335" i="44"/>
  <c r="AG335" i="44"/>
  <c r="AF335" i="44"/>
  <c r="AE335" i="44"/>
  <c r="AD335" i="44"/>
  <c r="AC335" i="44"/>
  <c r="AB335" i="44"/>
  <c r="AA335" i="44"/>
  <c r="Z335" i="44"/>
  <c r="Y335" i="44"/>
  <c r="X335" i="44"/>
  <c r="W335" i="44"/>
  <c r="V335" i="44"/>
  <c r="U335" i="44"/>
  <c r="T335" i="44"/>
  <c r="S335" i="44"/>
  <c r="R335" i="44"/>
  <c r="Q335" i="44"/>
  <c r="P335" i="44"/>
  <c r="O335" i="44"/>
  <c r="N335" i="44"/>
  <c r="M335" i="44"/>
  <c r="L335" i="44"/>
  <c r="K335" i="44"/>
  <c r="J335" i="44"/>
  <c r="I335" i="44"/>
  <c r="H335" i="44"/>
  <c r="G335" i="44"/>
  <c r="F335" i="44"/>
  <c r="E335" i="44"/>
  <c r="D335" i="44"/>
  <c r="C335" i="44"/>
  <c r="B335" i="44"/>
  <c r="A335" i="44"/>
  <c r="AM124" i="11"/>
  <c r="AL124" i="11"/>
  <c r="AK124" i="11"/>
  <c r="AJ124" i="11"/>
  <c r="AI124" i="11"/>
  <c r="AH124" i="11"/>
  <c r="AG124" i="11"/>
  <c r="AF124" i="11"/>
  <c r="AE124" i="11"/>
  <c r="AD124" i="11"/>
  <c r="AC124" i="11"/>
  <c r="AB124" i="11"/>
  <c r="AA124" i="11"/>
  <c r="Z124" i="11"/>
  <c r="Y124" i="11"/>
  <c r="X124" i="11"/>
  <c r="W124" i="11"/>
  <c r="V124" i="11"/>
  <c r="U124" i="11"/>
  <c r="T124" i="11"/>
  <c r="S124" i="11"/>
  <c r="R124" i="11"/>
  <c r="Q124" i="11"/>
  <c r="P124" i="11"/>
  <c r="O124" i="11"/>
  <c r="N124" i="11"/>
  <c r="M124" i="11"/>
  <c r="L124" i="11"/>
  <c r="K124" i="11"/>
  <c r="J124" i="11"/>
  <c r="I124" i="11"/>
  <c r="H124" i="11"/>
  <c r="G124" i="11"/>
  <c r="F124" i="11"/>
  <c r="E124" i="11"/>
  <c r="D124" i="11"/>
  <c r="C124" i="11"/>
  <c r="B124" i="11"/>
  <c r="A124" i="11"/>
  <c r="AM335" i="11"/>
  <c r="AL335" i="11"/>
  <c r="AK335" i="11"/>
  <c r="AJ335" i="11"/>
  <c r="AI335" i="11"/>
  <c r="AH335" i="11"/>
  <c r="AG335" i="11"/>
  <c r="AF335" i="11"/>
  <c r="AE335" i="11"/>
  <c r="AD335" i="11"/>
  <c r="AC335" i="11"/>
  <c r="AB335" i="11"/>
  <c r="AA335" i="11"/>
  <c r="Z335" i="11"/>
  <c r="Y335" i="11"/>
  <c r="X335" i="11"/>
  <c r="W335" i="11"/>
  <c r="V335" i="11"/>
  <c r="U335" i="11"/>
  <c r="T335" i="11"/>
  <c r="S335" i="11"/>
  <c r="R335" i="11"/>
  <c r="Q335" i="11"/>
  <c r="P335" i="11"/>
  <c r="O335" i="11"/>
  <c r="N335" i="11"/>
  <c r="M335" i="11"/>
  <c r="L335" i="11"/>
  <c r="K335" i="11"/>
  <c r="J335" i="11"/>
  <c r="I335" i="11"/>
  <c r="H335" i="11"/>
  <c r="G335" i="11"/>
  <c r="F335" i="11"/>
  <c r="E335" i="11"/>
  <c r="D335" i="11"/>
  <c r="C335" i="11"/>
  <c r="B335" i="11"/>
  <c r="A335" i="11"/>
  <c r="AM334" i="39"/>
  <c r="AM333" i="39"/>
  <c r="AM332" i="39"/>
  <c r="AM331" i="39"/>
  <c r="AM330" i="39"/>
  <c r="AM329" i="39"/>
  <c r="AM328" i="39"/>
  <c r="AM327" i="39"/>
  <c r="AM326" i="39"/>
  <c r="AM325" i="39"/>
  <c r="AM324" i="39"/>
  <c r="AM323" i="39"/>
  <c r="AM322" i="39"/>
  <c r="AM321" i="39"/>
  <c r="AM320" i="39"/>
  <c r="AM319" i="39"/>
  <c r="AM318" i="39"/>
  <c r="AM317" i="39"/>
  <c r="AM316" i="39"/>
  <c r="AM315" i="39"/>
  <c r="AM314" i="39"/>
  <c r="AM313" i="39"/>
  <c r="AM312" i="39"/>
  <c r="AM311" i="39"/>
  <c r="AM310" i="39"/>
  <c r="AM309" i="39"/>
  <c r="AM308" i="39"/>
  <c r="AM307" i="39"/>
  <c r="AM306" i="39"/>
  <c r="AM305" i="39"/>
  <c r="AM304" i="39"/>
  <c r="AM303" i="39"/>
  <c r="AM302" i="39"/>
  <c r="AM301" i="39"/>
  <c r="AM300" i="39"/>
  <c r="AM299" i="39"/>
  <c r="AM298" i="39"/>
  <c r="AM297" i="39"/>
  <c r="AM123" i="39"/>
  <c r="AM122" i="39"/>
  <c r="AM121" i="39"/>
  <c r="AM120" i="39"/>
  <c r="AM119" i="39"/>
  <c r="AM118" i="39"/>
  <c r="AM117" i="39"/>
  <c r="AM116" i="39"/>
  <c r="AM115" i="39"/>
  <c r="AM114" i="39"/>
  <c r="AM113" i="39"/>
  <c r="AM112" i="39"/>
  <c r="AM111" i="39"/>
  <c r="AM110" i="39"/>
  <c r="AM109" i="39"/>
  <c r="AM108" i="39"/>
  <c r="AM107" i="39"/>
  <c r="AM106" i="39"/>
  <c r="AM105" i="39"/>
  <c r="AM104" i="39"/>
  <c r="AM103" i="39"/>
  <c r="AM102" i="39"/>
  <c r="AM101" i="39"/>
  <c r="AM100" i="39"/>
  <c r="AM99" i="39"/>
  <c r="AM98" i="39"/>
  <c r="AM97" i="39"/>
  <c r="AM96" i="39"/>
  <c r="AM95" i="39"/>
  <c r="AM94" i="39"/>
  <c r="AM93" i="39"/>
  <c r="AM92" i="39"/>
  <c r="AM91" i="39"/>
  <c r="AM90" i="39"/>
  <c r="AM89" i="39"/>
  <c r="AM88" i="39"/>
  <c r="AM87" i="39"/>
  <c r="AM86" i="39"/>
  <c r="AM334" i="44"/>
  <c r="AM333" i="44"/>
  <c r="AM332" i="44"/>
  <c r="AM331" i="44"/>
  <c r="AM330" i="44"/>
  <c r="AM329" i="44"/>
  <c r="AM328" i="44"/>
  <c r="AM327" i="44"/>
  <c r="AM326" i="44"/>
  <c r="AM325" i="44"/>
  <c r="AM324" i="44"/>
  <c r="AM323" i="44"/>
  <c r="AM322" i="44"/>
  <c r="AM321" i="44"/>
  <c r="AM320" i="44"/>
  <c r="AM319" i="44"/>
  <c r="AM318" i="44"/>
  <c r="AM317" i="44"/>
  <c r="AM316" i="44"/>
  <c r="AM315" i="44"/>
  <c r="AM314" i="44"/>
  <c r="AM313" i="44"/>
  <c r="AM312" i="44"/>
  <c r="AM311" i="44"/>
  <c r="AM310" i="44"/>
  <c r="AM309" i="44"/>
  <c r="AM308" i="44"/>
  <c r="AM307" i="44"/>
  <c r="AM306" i="44"/>
  <c r="AM305" i="44"/>
  <c r="AM304" i="44"/>
  <c r="AM303" i="44"/>
  <c r="AM302" i="44"/>
  <c r="AM301" i="44"/>
  <c r="AM300" i="44"/>
  <c r="AM299" i="44"/>
  <c r="AM298" i="44"/>
  <c r="AM297" i="44"/>
  <c r="AM123" i="44"/>
  <c r="AM122" i="44"/>
  <c r="AM121" i="44"/>
  <c r="AM120" i="44"/>
  <c r="AM119" i="44"/>
  <c r="AM118" i="44"/>
  <c r="AM117" i="44"/>
  <c r="AM116" i="44"/>
  <c r="AM115" i="44"/>
  <c r="AM114" i="44"/>
  <c r="AM113" i="44"/>
  <c r="AM112" i="44"/>
  <c r="AM111" i="44"/>
  <c r="AM110" i="44"/>
  <c r="AM109" i="44"/>
  <c r="AM108" i="44"/>
  <c r="AM107" i="44"/>
  <c r="AM106" i="44"/>
  <c r="AM105" i="44"/>
  <c r="AM104" i="44"/>
  <c r="AM103" i="44"/>
  <c r="AM102" i="44"/>
  <c r="AM101" i="44"/>
  <c r="AM100" i="44"/>
  <c r="AM99" i="44"/>
  <c r="AM98" i="44"/>
  <c r="AM97" i="44"/>
  <c r="AM96" i="44"/>
  <c r="AM95" i="44"/>
  <c r="AM94" i="44"/>
  <c r="AM93" i="44"/>
  <c r="AM92" i="44"/>
  <c r="AM91" i="44"/>
  <c r="AM90" i="44"/>
  <c r="AM89" i="44"/>
  <c r="AM88" i="44"/>
  <c r="AM87" i="44"/>
  <c r="AM86" i="44"/>
  <c r="AM334" i="11"/>
  <c r="AM333" i="11"/>
  <c r="AM332" i="11"/>
  <c r="AM331" i="11"/>
  <c r="AM330" i="11"/>
  <c r="AM329" i="11"/>
  <c r="AM328" i="11"/>
  <c r="AM327" i="11"/>
  <c r="AM326" i="11"/>
  <c r="AM325" i="11"/>
  <c r="AM324" i="11"/>
  <c r="AM323" i="11"/>
  <c r="AM322" i="11"/>
  <c r="AM321" i="11"/>
  <c r="AM320" i="11"/>
  <c r="AM319" i="11"/>
  <c r="AM318" i="11"/>
  <c r="AM317" i="11"/>
  <c r="AM316" i="11"/>
  <c r="AM315" i="11"/>
  <c r="AM314" i="11"/>
  <c r="AM313" i="11"/>
  <c r="AM312" i="11"/>
  <c r="AM311" i="11"/>
  <c r="AM310" i="11"/>
  <c r="AM309" i="11"/>
  <c r="AM308" i="11"/>
  <c r="AM307" i="11"/>
  <c r="AM306" i="11"/>
  <c r="AM305" i="11"/>
  <c r="AM304" i="11"/>
  <c r="AM303" i="11"/>
  <c r="AM302" i="11"/>
  <c r="AM301" i="11"/>
  <c r="AM300" i="11"/>
  <c r="AM299" i="11"/>
  <c r="AM298" i="11"/>
  <c r="AM297" i="11"/>
  <c r="AM123" i="11"/>
  <c r="AM122" i="11"/>
  <c r="AM121" i="11"/>
  <c r="AM120" i="11"/>
  <c r="AM119" i="11"/>
  <c r="AM118" i="11"/>
  <c r="AM117" i="11"/>
  <c r="AM116" i="11"/>
  <c r="AM115" i="11"/>
  <c r="AM114" i="11"/>
  <c r="AM113" i="11"/>
  <c r="AM112" i="11"/>
  <c r="AM111" i="11"/>
  <c r="AM110" i="11"/>
  <c r="AM109" i="11"/>
  <c r="AM108" i="11"/>
  <c r="AM107" i="11"/>
  <c r="AM106" i="11"/>
  <c r="AM105" i="11"/>
  <c r="AM104" i="11"/>
  <c r="AM103" i="11"/>
  <c r="AM102" i="11"/>
  <c r="AM101" i="11"/>
  <c r="AM100" i="11"/>
  <c r="AM99" i="11"/>
  <c r="AM98" i="11"/>
  <c r="AM97" i="11"/>
  <c r="AM96" i="11"/>
  <c r="AM95" i="11"/>
  <c r="AM94" i="11"/>
  <c r="AM93" i="11"/>
  <c r="AM92" i="11"/>
  <c r="AM91" i="11"/>
  <c r="AM90" i="11"/>
  <c r="AM89" i="11"/>
  <c r="AM88" i="11"/>
  <c r="AM87" i="11"/>
  <c r="AM86" i="11"/>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L81" i="39"/>
  <c r="K81" i="39"/>
  <c r="J81" i="39"/>
  <c r="I81" i="39"/>
  <c r="H81" i="39"/>
  <c r="G81" i="39"/>
  <c r="F81" i="39"/>
  <c r="E81" i="39"/>
  <c r="D81" i="39"/>
  <c r="C81" i="39"/>
  <c r="B81" i="39"/>
  <c r="A81" i="39"/>
  <c r="BG81" i="44"/>
  <c r="BF81" i="44"/>
  <c r="BE81" i="44"/>
  <c r="BD81" i="44"/>
  <c r="BC81" i="44"/>
  <c r="BB81" i="44"/>
  <c r="BA81" i="44"/>
  <c r="AZ81" i="44"/>
  <c r="AY81" i="44"/>
  <c r="AX81" i="44"/>
  <c r="AW81" i="44"/>
  <c r="AV81" i="44"/>
  <c r="AU81" i="44"/>
  <c r="AT81" i="44"/>
  <c r="AS81" i="44"/>
  <c r="AR81" i="44"/>
  <c r="AQ81" i="44"/>
  <c r="AP81" i="44"/>
  <c r="AO81" i="44"/>
  <c r="AN81" i="44"/>
  <c r="AM81" i="44"/>
  <c r="AL81" i="44"/>
  <c r="AK81" i="44"/>
  <c r="AJ81" i="44"/>
  <c r="AI81" i="44"/>
  <c r="AH81" i="44"/>
  <c r="AG81" i="44"/>
  <c r="AF81" i="44"/>
  <c r="AE81" i="44"/>
  <c r="AD81" i="44"/>
  <c r="AC81" i="44"/>
  <c r="AB81" i="44"/>
  <c r="AA81" i="44"/>
  <c r="Z81" i="44"/>
  <c r="Y81" i="44"/>
  <c r="X81" i="44"/>
  <c r="W81" i="44"/>
  <c r="V81" i="44"/>
  <c r="U81" i="44"/>
  <c r="T81" i="44"/>
  <c r="S81" i="44"/>
  <c r="R81" i="44"/>
  <c r="Q81" i="44"/>
  <c r="P81" i="44"/>
  <c r="O81" i="44"/>
  <c r="N81" i="44"/>
  <c r="M81" i="44"/>
  <c r="L81" i="44"/>
  <c r="K81" i="44"/>
  <c r="J81" i="44"/>
  <c r="I81" i="44"/>
  <c r="H81" i="44"/>
  <c r="G81" i="44"/>
  <c r="F81" i="44"/>
  <c r="E81" i="44"/>
  <c r="D81" i="44"/>
  <c r="C81" i="44"/>
  <c r="B81" i="44"/>
  <c r="A81" i="44"/>
  <c r="BG81" i="11"/>
  <c r="BF81" i="11"/>
  <c r="BE81" i="11"/>
  <c r="BD81" i="11"/>
  <c r="BC81" i="11"/>
  <c r="BB81" i="11"/>
  <c r="BA81" i="11"/>
  <c r="AZ81" i="11"/>
  <c r="AY81" i="11"/>
  <c r="AX81" i="11"/>
  <c r="AW81" i="11"/>
  <c r="AV81" i="11"/>
  <c r="AU81" i="11"/>
  <c r="AT81" i="11"/>
  <c r="AS81" i="11"/>
  <c r="AR81" i="11"/>
  <c r="AQ81" i="11"/>
  <c r="AP81" i="11"/>
  <c r="AO81" i="11"/>
  <c r="AN81" i="11"/>
  <c r="AM81" i="11"/>
  <c r="AL81" i="11"/>
  <c r="AK81" i="11"/>
  <c r="AJ81" i="11"/>
  <c r="AI81" i="11"/>
  <c r="AH81" i="11"/>
  <c r="AG81" i="11"/>
  <c r="AF81" i="11"/>
  <c r="AE81" i="11"/>
  <c r="AD81" i="11"/>
  <c r="AC81" i="11"/>
  <c r="AB81" i="11"/>
  <c r="AA81" i="11"/>
  <c r="Z81" i="11"/>
  <c r="Y81" i="11"/>
  <c r="X81" i="11"/>
  <c r="W81" i="11"/>
  <c r="V81" i="11"/>
  <c r="U81" i="11"/>
  <c r="T81" i="11"/>
  <c r="S81" i="11"/>
  <c r="R81" i="11"/>
  <c r="Q81" i="11"/>
  <c r="P81" i="11"/>
  <c r="O81" i="11"/>
  <c r="N81" i="11"/>
  <c r="M81" i="11"/>
  <c r="L81" i="11"/>
  <c r="K81" i="11"/>
  <c r="J81" i="11"/>
  <c r="I81" i="11"/>
  <c r="H81" i="11"/>
  <c r="G81" i="11"/>
  <c r="F81" i="11"/>
  <c r="E81" i="11"/>
  <c r="D81" i="11"/>
  <c r="C81" i="11"/>
  <c r="B81" i="11"/>
  <c r="A81" i="11"/>
  <c r="BG80" i="39"/>
  <c r="BG79" i="39"/>
  <c r="BG78" i="39"/>
  <c r="BG77" i="39"/>
  <c r="BG76" i="39"/>
  <c r="BG75" i="39"/>
  <c r="BG74" i="39"/>
  <c r="BG73" i="39"/>
  <c r="BG72" i="39"/>
  <c r="BG71" i="39"/>
  <c r="BG70" i="39"/>
  <c r="BG69" i="39"/>
  <c r="BG68" i="39"/>
  <c r="BG67" i="39"/>
  <c r="BG66" i="39"/>
  <c r="BG65" i="39"/>
  <c r="BG64" i="39"/>
  <c r="BG63" i="39"/>
  <c r="BG62" i="39"/>
  <c r="BG61" i="39"/>
  <c r="BG60" i="39"/>
  <c r="BG59" i="39"/>
  <c r="BG58" i="39"/>
  <c r="BG57" i="39"/>
  <c r="BG56" i="39"/>
  <c r="BG55" i="39"/>
  <c r="BG54" i="39"/>
  <c r="BG53" i="39"/>
  <c r="BG52" i="39"/>
  <c r="BG51" i="39"/>
  <c r="BG50" i="39"/>
  <c r="BG49" i="39"/>
  <c r="BG48" i="39"/>
  <c r="BG47" i="39"/>
  <c r="BG46" i="39"/>
  <c r="BG45" i="39"/>
  <c r="BG44" i="39"/>
  <c r="BG43" i="39"/>
  <c r="BG42" i="39"/>
  <c r="BG41" i="39"/>
  <c r="BG40" i="39"/>
  <c r="BG39" i="39"/>
  <c r="BG38" i="39"/>
  <c r="BG37" i="39"/>
  <c r="BG36" i="39"/>
  <c r="BG35" i="39"/>
  <c r="BG34" i="39"/>
  <c r="BG33" i="39"/>
  <c r="BG32" i="39"/>
  <c r="BG31" i="39"/>
  <c r="BG30" i="39"/>
  <c r="BG29" i="39"/>
  <c r="BG80" i="44"/>
  <c r="BG79" i="44"/>
  <c r="BG78" i="44"/>
  <c r="BG77" i="44"/>
  <c r="BG76" i="44"/>
  <c r="BG75" i="44"/>
  <c r="BG74" i="44"/>
  <c r="BG73" i="44"/>
  <c r="BG72" i="44"/>
  <c r="BG71" i="44"/>
  <c r="BG70" i="44"/>
  <c r="BG69" i="44"/>
  <c r="BG68" i="44"/>
  <c r="BG67" i="44"/>
  <c r="BG66" i="44"/>
  <c r="BG65" i="44"/>
  <c r="BG64" i="44"/>
  <c r="BG63" i="44"/>
  <c r="BG62" i="44"/>
  <c r="BG61" i="44"/>
  <c r="BG60" i="44"/>
  <c r="BG59" i="44"/>
  <c r="BG58" i="44"/>
  <c r="BG57" i="44"/>
  <c r="BG56" i="44"/>
  <c r="BG55" i="44"/>
  <c r="BG54" i="44"/>
  <c r="BG53" i="44"/>
  <c r="BG52" i="44"/>
  <c r="BG51" i="44"/>
  <c r="BG50" i="44"/>
  <c r="BG49" i="44"/>
  <c r="BG48" i="44"/>
  <c r="BG47" i="44"/>
  <c r="BG46" i="44"/>
  <c r="BG45" i="44"/>
  <c r="BG44" i="44"/>
  <c r="BG43" i="44"/>
  <c r="BG42" i="44"/>
  <c r="BG41" i="44"/>
  <c r="BG40" i="44"/>
  <c r="BG39" i="44"/>
  <c r="BG38" i="44"/>
  <c r="BG37" i="44"/>
  <c r="BG36" i="44"/>
  <c r="BG35" i="44"/>
  <c r="BG34" i="44"/>
  <c r="BG33" i="44"/>
  <c r="BG32" i="44"/>
  <c r="BG31" i="44"/>
  <c r="BG30" i="44"/>
  <c r="BG29" i="44"/>
  <c r="BG80" i="11"/>
  <c r="BG79" i="11"/>
  <c r="BG78" i="11"/>
  <c r="BG77" i="11"/>
  <c r="BG76" i="11"/>
  <c r="BG75" i="11"/>
  <c r="BG74" i="11"/>
  <c r="BG73" i="11"/>
  <c r="BG72" i="11"/>
  <c r="BG71" i="11"/>
  <c r="BG70" i="11"/>
  <c r="BG69" i="11"/>
  <c r="BG68" i="11"/>
  <c r="BG67" i="11"/>
  <c r="BG66" i="11"/>
  <c r="BG65" i="11"/>
  <c r="BG64" i="11"/>
  <c r="BG63" i="11"/>
  <c r="BG62" i="11"/>
  <c r="BG61" i="11"/>
  <c r="BG60" i="11"/>
  <c r="BG59" i="11"/>
  <c r="BG58" i="11"/>
  <c r="BG57" i="11"/>
  <c r="BG56" i="11"/>
  <c r="BG55" i="11"/>
  <c r="BG54" i="11"/>
  <c r="BG53" i="11"/>
  <c r="BG52" i="11"/>
  <c r="BG51" i="11"/>
  <c r="BG50" i="11"/>
  <c r="BG49" i="11"/>
  <c r="BG48" i="11"/>
  <c r="BG47" i="11"/>
  <c r="BG46" i="11"/>
  <c r="BG45" i="11"/>
  <c r="BG44" i="11"/>
  <c r="BG43" i="11"/>
  <c r="BG42" i="11"/>
  <c r="BG41" i="11"/>
  <c r="BG40" i="11"/>
  <c r="BG39" i="11"/>
  <c r="BG38" i="11"/>
  <c r="BG37" i="11"/>
  <c r="BG36" i="11"/>
  <c r="BG35" i="11"/>
  <c r="BG34" i="11"/>
  <c r="BG33" i="11"/>
  <c r="BG32" i="11"/>
  <c r="BG31" i="11"/>
  <c r="BG30" i="11"/>
  <c r="BG29" i="11"/>
  <c r="C12" i="39"/>
  <c r="B12" i="39"/>
  <c r="B11" i="39"/>
  <c r="C10" i="39"/>
  <c r="B10" i="39"/>
  <c r="C9" i="39"/>
  <c r="B9" i="39"/>
  <c r="C12" i="11"/>
  <c r="B12" i="11"/>
  <c r="B11" i="11"/>
  <c r="C10" i="11"/>
  <c r="B10" i="11"/>
  <c r="C9" i="11"/>
  <c r="B9" i="11"/>
  <c r="BF81" i="7"/>
  <c r="BE81" i="7"/>
  <c r="BD81" i="7"/>
  <c r="BC81" i="7"/>
  <c r="BB81" i="7"/>
  <c r="BA81" i="7"/>
  <c r="AZ81" i="7"/>
  <c r="AY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E81" i="7"/>
  <c r="D81" i="7"/>
  <c r="C81" i="7"/>
  <c r="B81" i="7"/>
  <c r="A81" i="7"/>
  <c r="BG81" i="7"/>
  <c r="BG80" i="7"/>
  <c r="BG79" i="7"/>
  <c r="BG78" i="7"/>
  <c r="BG77" i="7"/>
  <c r="BG76" i="7"/>
  <c r="BG75" i="7"/>
  <c r="BG74" i="7"/>
  <c r="BG73" i="7"/>
  <c r="BG72" i="7"/>
  <c r="BG71" i="7"/>
  <c r="BG70" i="7"/>
  <c r="BG69" i="7"/>
  <c r="BG68" i="7"/>
  <c r="BG67" i="7"/>
  <c r="BG66" i="7"/>
  <c r="BG65" i="7"/>
  <c r="BG64" i="7"/>
  <c r="BG63" i="7"/>
  <c r="BG62" i="7"/>
  <c r="BG61" i="7"/>
  <c r="BG60" i="7"/>
  <c r="BG59" i="7"/>
  <c r="BG58" i="7"/>
  <c r="BG57" i="7"/>
  <c r="BG56" i="7"/>
  <c r="BG55" i="7"/>
  <c r="BG54" i="7"/>
  <c r="BG53" i="7"/>
  <c r="BG52" i="7"/>
  <c r="BG51" i="7"/>
  <c r="BG50" i="7"/>
  <c r="BG49" i="7"/>
  <c r="BG48" i="7"/>
  <c r="BG47" i="7"/>
  <c r="BG46" i="7"/>
  <c r="BG45" i="7"/>
  <c r="BG44" i="7"/>
  <c r="BG43" i="7"/>
  <c r="BG42" i="7"/>
  <c r="BG41" i="7"/>
  <c r="BG40" i="7"/>
  <c r="BG39" i="7"/>
  <c r="BG38" i="7"/>
  <c r="BG37" i="7"/>
  <c r="BG36" i="7"/>
  <c r="BG35" i="7"/>
  <c r="BG34" i="7"/>
  <c r="BG33" i="7"/>
  <c r="BG32" i="7"/>
  <c r="BG31" i="7"/>
  <c r="BG30" i="7"/>
  <c r="BG29" i="7"/>
  <c r="C12" i="7"/>
  <c r="B12" i="7"/>
  <c r="B11" i="7"/>
  <c r="C9" i="7"/>
  <c r="C10" i="7"/>
  <c r="B10" i="7"/>
  <c r="AL335" i="7"/>
  <c r="AK335" i="7"/>
  <c r="AJ335" i="7"/>
  <c r="AI335" i="7"/>
  <c r="AH335" i="7"/>
  <c r="AG335" i="7"/>
  <c r="AF335" i="7"/>
  <c r="AE335" i="7"/>
  <c r="AD335" i="7"/>
  <c r="AC335" i="7"/>
  <c r="AB335" i="7"/>
  <c r="AA335"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AM335" i="7"/>
  <c r="AM334" i="7"/>
  <c r="AM333" i="7"/>
  <c r="AM332" i="7"/>
  <c r="AM331" i="7"/>
  <c r="AM330" i="7"/>
  <c r="AM329" i="7"/>
  <c r="AM328" i="7"/>
  <c r="AM327" i="7"/>
  <c r="AM326" i="7"/>
  <c r="AM325" i="7"/>
  <c r="AM324" i="7"/>
  <c r="AM323" i="7"/>
  <c r="AM322" i="7"/>
  <c r="AM321" i="7"/>
  <c r="AM320" i="7"/>
  <c r="AM319" i="7"/>
  <c r="AM318" i="7"/>
  <c r="AM317" i="7"/>
  <c r="AM316" i="7"/>
  <c r="AM315" i="7"/>
  <c r="AM314" i="7"/>
  <c r="AM313" i="7"/>
  <c r="AM312" i="7"/>
  <c r="AM311" i="7"/>
  <c r="AM310" i="7"/>
  <c r="AM309" i="7"/>
  <c r="AM308" i="7"/>
  <c r="AM307" i="7"/>
  <c r="AM306" i="7"/>
  <c r="AM305" i="7"/>
  <c r="AM304" i="7"/>
  <c r="AM303" i="7"/>
  <c r="AM302" i="7"/>
  <c r="AM301" i="7"/>
  <c r="AM300" i="7"/>
  <c r="AM299" i="7"/>
  <c r="AM298" i="7"/>
  <c r="AM297"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M123" i="7"/>
  <c r="AM122" i="7"/>
  <c r="AM121" i="7"/>
  <c r="AM120" i="7"/>
  <c r="AM119" i="7"/>
  <c r="AM118" i="7"/>
  <c r="AM117" i="7"/>
  <c r="AM116" i="7"/>
  <c r="AM115" i="7"/>
  <c r="AM114" i="7"/>
  <c r="AM113" i="7"/>
  <c r="AM112" i="7"/>
  <c r="AM111" i="7"/>
  <c r="AM110" i="7"/>
  <c r="AM109" i="7"/>
  <c r="AM108" i="7"/>
  <c r="AM107" i="7"/>
  <c r="AM106" i="7"/>
  <c r="AM105" i="7"/>
  <c r="AM104" i="7"/>
  <c r="AM103" i="7"/>
  <c r="AM102" i="7"/>
  <c r="AM101" i="7"/>
  <c r="AM100" i="7"/>
  <c r="AM99" i="7"/>
  <c r="AM98" i="7"/>
  <c r="AM97" i="7"/>
  <c r="AM96" i="7"/>
  <c r="AM95" i="7"/>
  <c r="AM94" i="7"/>
  <c r="AM93" i="7"/>
  <c r="AM92" i="7"/>
  <c r="AM91" i="7"/>
  <c r="AM90" i="7"/>
  <c r="AM89" i="7"/>
  <c r="AM88" i="7"/>
  <c r="AM87" i="7"/>
  <c r="AM86" i="7"/>
  <c r="A124" i="7"/>
  <c r="B9" i="7"/>
  <c r="C141" i="4" l="1"/>
  <c r="B141" i="4"/>
  <c r="F27" i="2"/>
  <c r="E27" i="2"/>
  <c r="D27" i="2"/>
  <c r="F24" i="2"/>
  <c r="E24" i="2"/>
  <c r="D24" i="2"/>
  <c r="C24" i="2"/>
  <c r="B25" i="2" l="1"/>
  <c r="C97" i="4"/>
  <c r="E38" i="37"/>
  <c r="F136" i="5" s="1"/>
  <c r="E44" i="37"/>
  <c r="E43" i="37"/>
  <c r="E42" i="37"/>
  <c r="E41" i="37"/>
  <c r="E40" i="37"/>
  <c r="E39" i="37"/>
  <c r="E35" i="5" s="1"/>
  <c r="E37" i="37"/>
  <c r="F208" i="5"/>
  <c r="D164" i="5"/>
  <c r="D142" i="5"/>
  <c r="F123" i="5"/>
  <c r="C26" i="4"/>
  <c r="D26" i="4" s="1"/>
  <c r="C3" i="45" s="1"/>
  <c r="C25" i="4"/>
  <c r="D25" i="4" s="1"/>
  <c r="C2" i="45" s="1"/>
  <c r="C24" i="4"/>
  <c r="D24" i="4" s="1"/>
  <c r="C1" i="45" s="1"/>
  <c r="E12" i="37"/>
  <c r="D11" i="37"/>
  <c r="F12" i="37"/>
  <c r="E11" i="37"/>
  <c r="G11" i="37"/>
  <c r="F11" i="37"/>
  <c r="G12" i="37"/>
  <c r="D12" i="37"/>
  <c r="D222" i="5" l="1"/>
  <c r="C35" i="5"/>
  <c r="D123" i="5"/>
  <c r="F164" i="5"/>
  <c r="C222" i="5"/>
  <c r="E222" i="5"/>
  <c r="C136" i="5"/>
  <c r="E136" i="5"/>
  <c r="D136" i="5"/>
  <c r="F35" i="5"/>
  <c r="D35" i="5"/>
  <c r="F222" i="5"/>
  <c r="D186" i="5"/>
  <c r="F186" i="5"/>
  <c r="D34" i="4"/>
  <c r="D21" i="2" s="1"/>
  <c r="F34" i="4"/>
  <c r="C186" i="5"/>
  <c r="E186" i="5"/>
  <c r="F142" i="5"/>
  <c r="D208" i="5"/>
  <c r="C142" i="5"/>
  <c r="E142" i="5"/>
  <c r="C208" i="5"/>
  <c r="E208" i="5"/>
  <c r="D13" i="37"/>
  <c r="F13" i="37"/>
  <c r="E13" i="37"/>
  <c r="G13" i="37"/>
  <c r="C123" i="5"/>
  <c r="E123" i="5"/>
  <c r="C164" i="5"/>
  <c r="E164" i="5"/>
  <c r="C34" i="4"/>
  <c r="E34" i="4"/>
  <c r="E21" i="2" s="1"/>
  <c r="B46" i="4"/>
  <c r="G14" i="37"/>
  <c r="E14" i="37"/>
  <c r="F14" i="37"/>
  <c r="D14" i="37"/>
  <c r="F8" i="45" l="1"/>
  <c r="F39" i="45"/>
  <c r="F36" i="45"/>
  <c r="F38" i="45"/>
  <c r="F37" i="45"/>
  <c r="E8" i="45"/>
  <c r="D8" i="45"/>
  <c r="C8" i="45"/>
  <c r="F10" i="45"/>
  <c r="F11" i="45"/>
  <c r="F19" i="45"/>
  <c r="E10" i="45"/>
  <c r="E11" i="45"/>
  <c r="E19" i="45"/>
  <c r="C11" i="45"/>
  <c r="C10" i="45"/>
  <c r="D10" i="45"/>
  <c r="D11" i="45"/>
  <c r="D19" i="45"/>
  <c r="E207" i="4"/>
  <c r="D207" i="4"/>
  <c r="C207" i="4"/>
  <c r="F207" i="4"/>
  <c r="B17" i="2"/>
  <c r="B16" i="2"/>
  <c r="E51" i="37"/>
  <c r="F51" i="37"/>
  <c r="D51" i="37"/>
  <c r="G51" i="37"/>
  <c r="D39" i="45" l="1"/>
  <c r="E39" i="45"/>
  <c r="E16" i="45"/>
  <c r="E17" i="45"/>
  <c r="F30" i="45"/>
  <c r="F15" i="45"/>
  <c r="F17" i="45"/>
  <c r="F16" i="45"/>
  <c r="D17" i="45"/>
  <c r="D16" i="45"/>
  <c r="D90" i="4"/>
  <c r="D163" i="4" s="1"/>
  <c r="D92" i="4"/>
  <c r="D111" i="4" s="1"/>
  <c r="F90" i="4"/>
  <c r="F165" i="4" s="1"/>
  <c r="F92" i="4"/>
  <c r="F111" i="4" s="1"/>
  <c r="E92" i="4"/>
  <c r="E111" i="4" s="1"/>
  <c r="E90" i="4"/>
  <c r="E166" i="4" s="1"/>
  <c r="B39" i="2"/>
  <c r="C10" i="3"/>
  <c r="C7" i="3"/>
  <c r="D4" i="3"/>
  <c r="E4" i="3"/>
  <c r="F166" i="4" l="1"/>
  <c r="F167" i="4" s="1"/>
  <c r="F171" i="4" s="1"/>
  <c r="F163" i="4"/>
  <c r="D165" i="4"/>
  <c r="D166" i="4"/>
  <c r="F162" i="4"/>
  <c r="D162" i="4"/>
  <c r="D164" i="4" s="1"/>
  <c r="D170" i="4" s="1"/>
  <c r="E162" i="4"/>
  <c r="E163" i="4"/>
  <c r="E165" i="4"/>
  <c r="E167" i="4" s="1"/>
  <c r="E171" i="4" s="1"/>
  <c r="A30" i="3"/>
  <c r="A29" i="3"/>
  <c r="A18" i="3"/>
  <c r="C13" i="3"/>
  <c r="F164" i="4" l="1"/>
  <c r="F168" i="4" s="1"/>
  <c r="D167" i="4"/>
  <c r="D171" i="4" s="1"/>
  <c r="D172" i="4" s="1"/>
  <c r="E164" i="4"/>
  <c r="E170" i="4" s="1"/>
  <c r="E172" i="4" s="1"/>
  <c r="D168" i="4"/>
  <c r="F170" i="4"/>
  <c r="F172" i="4" s="1"/>
  <c r="F33" i="2"/>
  <c r="E33" i="2"/>
  <c r="D33" i="2"/>
  <c r="E168" i="4" l="1"/>
  <c r="C33" i="2"/>
  <c r="B131" i="5"/>
  <c r="B132" i="5"/>
  <c r="B133" i="5"/>
  <c r="B130" i="5"/>
  <c r="B37" i="2" l="1"/>
  <c r="A24" i="3" s="1"/>
  <c r="D95" i="5"/>
  <c r="E95" i="5"/>
  <c r="F95" i="5"/>
  <c r="D96" i="5"/>
  <c r="E96" i="5"/>
  <c r="F96" i="5"/>
  <c r="D99" i="5"/>
  <c r="E99" i="5"/>
  <c r="F99" i="5"/>
  <c r="D100" i="5"/>
  <c r="E100" i="5"/>
  <c r="F100" i="5"/>
  <c r="C100" i="5"/>
  <c r="C99" i="5"/>
  <c r="C96" i="5"/>
  <c r="C95" i="5"/>
  <c r="D83" i="5"/>
  <c r="E83" i="5"/>
  <c r="F83" i="5"/>
  <c r="D84" i="5"/>
  <c r="E84" i="5"/>
  <c r="F84" i="5"/>
  <c r="C84" i="5"/>
  <c r="C83" i="5"/>
  <c r="D91" i="5"/>
  <c r="E91" i="5"/>
  <c r="F91" i="5"/>
  <c r="D92" i="5"/>
  <c r="E92" i="5"/>
  <c r="F92" i="5"/>
  <c r="C92" i="5"/>
  <c r="C91" i="5"/>
  <c r="D87" i="5"/>
  <c r="E87" i="5"/>
  <c r="F87" i="5"/>
  <c r="D88" i="5"/>
  <c r="E88" i="5"/>
  <c r="F88" i="5"/>
  <c r="C88" i="5"/>
  <c r="C87" i="5"/>
  <c r="E16" i="37"/>
  <c r="E15" i="37"/>
  <c r="F16" i="37"/>
  <c r="D15" i="37"/>
  <c r="D16" i="37"/>
  <c r="F15" i="37"/>
  <c r="G15" i="37"/>
  <c r="G16" i="37"/>
  <c r="G17" i="37" l="1"/>
  <c r="F17" i="37"/>
  <c r="E17" i="37"/>
  <c r="D17" i="37"/>
  <c r="B123" i="4"/>
  <c r="F18" i="37"/>
  <c r="E18" i="37"/>
  <c r="G18" i="37"/>
  <c r="D18" i="37"/>
  <c r="B80" i="4" l="1"/>
  <c r="D55" i="5"/>
  <c r="E55" i="5"/>
  <c r="F55" i="5"/>
  <c r="D56" i="5"/>
  <c r="E56" i="5"/>
  <c r="F56" i="5"/>
  <c r="D59" i="5"/>
  <c r="E59" i="5"/>
  <c r="F59" i="5"/>
  <c r="D60" i="5"/>
  <c r="E60" i="5"/>
  <c r="F60" i="5"/>
  <c r="D63" i="5"/>
  <c r="E63" i="5"/>
  <c r="F63" i="5"/>
  <c r="D64" i="5"/>
  <c r="E64" i="5"/>
  <c r="F64" i="5"/>
  <c r="D67" i="5"/>
  <c r="E67" i="5"/>
  <c r="F67" i="5"/>
  <c r="D68" i="5"/>
  <c r="E68" i="5"/>
  <c r="F68" i="5"/>
  <c r="D71" i="5"/>
  <c r="E71" i="5"/>
  <c r="F71" i="5"/>
  <c r="D72" i="5"/>
  <c r="E72" i="5"/>
  <c r="F72" i="5"/>
  <c r="D75" i="5"/>
  <c r="E75" i="5"/>
  <c r="F75" i="5"/>
  <c r="D76" i="5"/>
  <c r="E76" i="5"/>
  <c r="F76" i="5"/>
  <c r="D79" i="5"/>
  <c r="E79" i="5"/>
  <c r="F79" i="5"/>
  <c r="D80" i="5"/>
  <c r="E80" i="5"/>
  <c r="F80" i="5"/>
  <c r="D103" i="5"/>
  <c r="E103" i="5"/>
  <c r="F103" i="5"/>
  <c r="D104" i="5"/>
  <c r="E104" i="5"/>
  <c r="F104" i="5"/>
  <c r="D107" i="5"/>
  <c r="E107" i="5"/>
  <c r="F107" i="5"/>
  <c r="D108" i="5"/>
  <c r="E108" i="5"/>
  <c r="F108" i="5"/>
  <c r="D111" i="5"/>
  <c r="E111" i="5"/>
  <c r="F111" i="5"/>
  <c r="D112" i="5"/>
  <c r="E112" i="5"/>
  <c r="F112" i="5"/>
  <c r="D115" i="5"/>
  <c r="E115" i="5"/>
  <c r="F115" i="5"/>
  <c r="D116" i="5"/>
  <c r="E116" i="5"/>
  <c r="F116" i="5"/>
  <c r="C116" i="5"/>
  <c r="C115" i="5"/>
  <c r="C112" i="5"/>
  <c r="C111" i="5"/>
  <c r="C108" i="5"/>
  <c r="C107" i="5"/>
  <c r="C104" i="5"/>
  <c r="C103" i="5"/>
  <c r="C80" i="5"/>
  <c r="C79" i="5"/>
  <c r="C76" i="5"/>
  <c r="C75" i="5"/>
  <c r="C72" i="5"/>
  <c r="C71" i="5"/>
  <c r="C68" i="5"/>
  <c r="C67" i="5"/>
  <c r="C64" i="5"/>
  <c r="C63" i="5"/>
  <c r="C60" i="5"/>
  <c r="C59" i="5"/>
  <c r="C56" i="5"/>
  <c r="C55" i="5"/>
  <c r="E20" i="37"/>
  <c r="G19" i="37"/>
  <c r="G20" i="37"/>
  <c r="E19" i="37"/>
  <c r="F19" i="37"/>
  <c r="F20" i="37"/>
  <c r="B124" i="4" l="1"/>
  <c r="B125" i="4"/>
  <c r="B126" i="4"/>
  <c r="B127" i="4"/>
  <c r="B128" i="4"/>
  <c r="B129" i="4"/>
  <c r="B130" i="4"/>
  <c r="B135" i="4"/>
  <c r="B136" i="4"/>
  <c r="B79" i="4"/>
  <c r="C85" i="4" l="1"/>
  <c r="C87" i="4" s="1"/>
  <c r="C89" i="4" s="1"/>
  <c r="D19" i="37"/>
  <c r="D20" i="37"/>
  <c r="C37" i="45" l="1"/>
  <c r="C38" i="45"/>
  <c r="C86" i="4"/>
  <c r="C98" i="4"/>
  <c r="D21" i="37"/>
  <c r="F21" i="37"/>
  <c r="E21" i="37"/>
  <c r="G21" i="37"/>
  <c r="C143" i="4"/>
  <c r="G22" i="37"/>
  <c r="F22" i="37"/>
  <c r="D22" i="37"/>
  <c r="E22" i="37"/>
  <c r="C39" i="45" l="1"/>
  <c r="C17" i="45"/>
  <c r="C16" i="45"/>
  <c r="B36" i="2"/>
  <c r="A23" i="3" s="1"/>
  <c r="E30" i="2"/>
  <c r="E14" i="3" s="1"/>
  <c r="D30" i="2"/>
  <c r="D14" i="3" s="1"/>
  <c r="F30" i="2"/>
  <c r="F14" i="3" s="1"/>
  <c r="C92" i="4"/>
  <c r="C90" i="4"/>
  <c r="C16" i="2" s="1"/>
  <c r="C140" i="4"/>
  <c r="B30" i="2"/>
  <c r="C104" i="4"/>
  <c r="B103" i="4" s="1"/>
  <c r="G50" i="37"/>
  <c r="E50" i="37"/>
  <c r="D50" i="37"/>
  <c r="F50" i="37"/>
  <c r="F106" i="4" l="1"/>
  <c r="F113" i="4" s="1"/>
  <c r="F114" i="4" s="1"/>
  <c r="D106" i="4"/>
  <c r="D113" i="4" s="1"/>
  <c r="D114" i="4" s="1"/>
  <c r="E106" i="4"/>
  <c r="E113" i="4" s="1"/>
  <c r="E114" i="4" s="1"/>
  <c r="A19" i="3"/>
  <c r="F18" i="2"/>
  <c r="F17" i="3" s="1"/>
  <c r="E18" i="2"/>
  <c r="E17" i="3" s="1"/>
  <c r="C106" i="4"/>
  <c r="C113" i="4" s="1"/>
  <c r="D16" i="2"/>
  <c r="E16" i="2"/>
  <c r="F16" i="2"/>
  <c r="C111" i="4"/>
  <c r="C18" i="2"/>
  <c r="C17" i="3" s="1"/>
  <c r="B15" i="2"/>
  <c r="F108" i="4" l="1"/>
  <c r="E108" i="4"/>
  <c r="D108" i="4"/>
  <c r="D18" i="2"/>
  <c r="D17" i="3" s="1"/>
  <c r="C108" i="4"/>
  <c r="C95" i="4"/>
  <c r="C96" i="4" s="1"/>
  <c r="C21" i="2" s="1"/>
  <c r="B19" i="2"/>
  <c r="C101" i="4" l="1"/>
  <c r="C99" i="4"/>
  <c r="C100" i="4" s="1"/>
  <c r="C19" i="45" l="1"/>
  <c r="F31" i="2"/>
  <c r="F15" i="3" s="1"/>
  <c r="E31" i="2"/>
  <c r="E15" i="3" s="1"/>
  <c r="D31" i="2"/>
  <c r="D15" i="3" s="1"/>
  <c r="D18" i="3"/>
  <c r="E18" i="3"/>
  <c r="F18" i="3"/>
  <c r="C18" i="3"/>
  <c r="C112" i="4"/>
  <c r="F23" i="2" l="1"/>
  <c r="F20" i="3" s="1"/>
  <c r="E23" i="2"/>
  <c r="E20" i="3" s="1"/>
  <c r="D23" i="2"/>
  <c r="D20" i="3" s="1"/>
  <c r="C114" i="4"/>
  <c r="E18" i="5"/>
  <c r="E146" i="5" s="1"/>
  <c r="C37" i="4"/>
  <c r="D37" i="4"/>
  <c r="E37" i="4"/>
  <c r="F37" i="4"/>
  <c r="C203" i="4"/>
  <c r="C206" i="4" s="1"/>
  <c r="C5" i="45" s="1"/>
  <c r="C18" i="5" l="1"/>
  <c r="C23" i="2"/>
  <c r="C20" i="3" s="1"/>
  <c r="C38" i="4"/>
  <c r="F18" i="5"/>
  <c r="F146" i="5" s="1"/>
  <c r="B48" i="4"/>
  <c r="B47" i="4"/>
  <c r="B65" i="4"/>
  <c r="B66" i="4"/>
  <c r="B64" i="4"/>
  <c r="F69" i="4" l="1"/>
  <c r="F71" i="4" s="1"/>
  <c r="F72" i="4" s="1"/>
  <c r="F13" i="45" s="1"/>
  <c r="D69" i="4"/>
  <c r="D71" i="4" s="1"/>
  <c r="D72" i="4" s="1"/>
  <c r="D13" i="45" s="1"/>
  <c r="E69" i="4"/>
  <c r="E71" i="4" s="1"/>
  <c r="E72" i="4" s="1"/>
  <c r="E13" i="45" s="1"/>
  <c r="E208" i="4"/>
  <c r="E9" i="2" s="1"/>
  <c r="F208" i="4"/>
  <c r="F9" i="2" s="1"/>
  <c r="C208" i="4"/>
  <c r="C9" i="2" s="1"/>
  <c r="D208" i="4"/>
  <c r="D9" i="2" s="1"/>
  <c r="C53" i="4"/>
  <c r="F247" i="4"/>
  <c r="F248" i="4" s="1"/>
  <c r="E247" i="4"/>
  <c r="E248" i="4" s="1"/>
  <c r="D247" i="4"/>
  <c r="D248" i="4" s="1"/>
  <c r="C247" i="4"/>
  <c r="C248" i="4" s="1"/>
  <c r="A26" i="3"/>
  <c r="B38" i="2"/>
  <c r="A25" i="3" s="1"/>
  <c r="A24" i="2"/>
  <c r="F255" i="4"/>
  <c r="C199" i="4"/>
  <c r="C202" i="4" s="1"/>
  <c r="C4" i="45" s="1"/>
  <c r="C4" i="3"/>
  <c r="A14" i="3"/>
  <c r="D3" i="3"/>
  <c r="C54" i="37"/>
  <c r="C55" i="37"/>
  <c r="C56" i="37"/>
  <c r="C57" i="37"/>
  <c r="C53" i="37"/>
  <c r="G32" i="37"/>
  <c r="F4" i="37"/>
  <c r="D31" i="37"/>
  <c r="F7" i="37"/>
  <c r="G31" i="37"/>
  <c r="F24" i="37"/>
  <c r="G24" i="37"/>
  <c r="E27" i="37"/>
  <c r="F8" i="37"/>
  <c r="D24" i="37"/>
  <c r="D3" i="37"/>
  <c r="E32" i="37"/>
  <c r="D28" i="37"/>
  <c r="G8" i="37"/>
  <c r="D27" i="37"/>
  <c r="G28" i="37"/>
  <c r="E24" i="37"/>
  <c r="F23" i="37"/>
  <c r="F28" i="37"/>
  <c r="G4" i="37"/>
  <c r="E3" i="37"/>
  <c r="G27" i="37"/>
  <c r="G3" i="37"/>
  <c r="E7" i="37"/>
  <c r="E31" i="37"/>
  <c r="E28" i="37"/>
  <c r="D7" i="37"/>
  <c r="G23" i="37"/>
  <c r="F27" i="37"/>
  <c r="E23" i="37"/>
  <c r="G7" i="37"/>
  <c r="D4" i="37"/>
  <c r="F3" i="37"/>
  <c r="E8" i="37"/>
  <c r="F32" i="37"/>
  <c r="D8" i="37"/>
  <c r="E4" i="37"/>
  <c r="D23" i="37"/>
  <c r="F31" i="37"/>
  <c r="D32" i="37"/>
  <c r="F209" i="4" l="1"/>
  <c r="F8" i="3"/>
  <c r="C8" i="3"/>
  <c r="C209" i="4"/>
  <c r="E8" i="3"/>
  <c r="F13" i="2"/>
  <c r="F12" i="3" s="1"/>
  <c r="D7" i="2"/>
  <c r="C69" i="4"/>
  <c r="F249" i="4"/>
  <c r="F260" i="4" s="1"/>
  <c r="F261" i="4" s="1"/>
  <c r="F262" i="4" s="1"/>
  <c r="F5" i="37"/>
  <c r="D5" i="37"/>
  <c r="G5" i="37"/>
  <c r="E5" i="37"/>
  <c r="E249" i="4"/>
  <c r="D249" i="4"/>
  <c r="D260" i="4" s="1"/>
  <c r="D261" i="4" s="1"/>
  <c r="D262" i="4" s="1"/>
  <c r="C249" i="4"/>
  <c r="C260" i="4" s="1"/>
  <c r="C261" i="4" s="1"/>
  <c r="C262" i="4" s="1"/>
  <c r="F259" i="4"/>
  <c r="D259" i="4"/>
  <c r="D257" i="4"/>
  <c r="D258" i="4"/>
  <c r="D256" i="4"/>
  <c r="D255" i="4"/>
  <c r="D254" i="4"/>
  <c r="F256" i="4"/>
  <c r="B26" i="2"/>
  <c r="G33" i="37"/>
  <c r="F33" i="37"/>
  <c r="D33" i="37"/>
  <c r="E29" i="37"/>
  <c r="G25" i="37"/>
  <c r="F25" i="37"/>
  <c r="D25" i="37"/>
  <c r="E33" i="37"/>
  <c r="G29" i="37"/>
  <c r="F29" i="37"/>
  <c r="D29" i="37"/>
  <c r="E25" i="37"/>
  <c r="D9" i="37"/>
  <c r="E9" i="37"/>
  <c r="F9" i="37"/>
  <c r="G9" i="37"/>
  <c r="C255" i="4"/>
  <c r="D6" i="37"/>
  <c r="G10" i="37"/>
  <c r="E34" i="37"/>
  <c r="D34" i="37"/>
  <c r="G26" i="37"/>
  <c r="D10" i="37"/>
  <c r="F26" i="37"/>
  <c r="F10" i="37"/>
  <c r="F30" i="37"/>
  <c r="E26" i="37"/>
  <c r="G30" i="37"/>
  <c r="F34" i="37"/>
  <c r="G34" i="37"/>
  <c r="E6" i="37"/>
  <c r="E30" i="37"/>
  <c r="F6" i="37"/>
  <c r="D30" i="37"/>
  <c r="D26" i="37"/>
  <c r="G6" i="37"/>
  <c r="E10" i="37"/>
  <c r="C211" i="4" l="1"/>
  <c r="C210" i="4"/>
  <c r="F211" i="4"/>
  <c r="F210" i="4"/>
  <c r="D209" i="4"/>
  <c r="D8" i="3"/>
  <c r="F214" i="4"/>
  <c r="F10" i="2" s="1"/>
  <c r="F9" i="3" s="1"/>
  <c r="C71" i="4"/>
  <c r="C72" i="4" s="1"/>
  <c r="C13" i="45" s="1"/>
  <c r="C13" i="2"/>
  <c r="C12" i="3" s="1"/>
  <c r="E209" i="4"/>
  <c r="C214" i="4"/>
  <c r="D13" i="2"/>
  <c r="D12" i="3" s="1"/>
  <c r="E13" i="2"/>
  <c r="E12" i="3" s="1"/>
  <c r="F19" i="5"/>
  <c r="F135" i="5" s="1"/>
  <c r="F137" i="5" s="1"/>
  <c r="B140" i="4"/>
  <c r="F226" i="5"/>
  <c r="F258" i="4"/>
  <c r="F263" i="4"/>
  <c r="C226" i="5"/>
  <c r="D263" i="4"/>
  <c r="C263" i="4"/>
  <c r="E260" i="4"/>
  <c r="F257" i="4"/>
  <c r="D253" i="4"/>
  <c r="F252" i="4"/>
  <c r="F254" i="4"/>
  <c r="F253" i="4"/>
  <c r="E257" i="4"/>
  <c r="E258" i="4"/>
  <c r="E259" i="4"/>
  <c r="E255" i="4"/>
  <c r="E253" i="4"/>
  <c r="E256" i="4"/>
  <c r="C254" i="4"/>
  <c r="C146" i="4"/>
  <c r="C256" i="4"/>
  <c r="E254" i="4"/>
  <c r="C145" i="4"/>
  <c r="C253" i="4"/>
  <c r="E53" i="37"/>
  <c r="D55" i="37"/>
  <c r="D57" i="37"/>
  <c r="E55" i="37"/>
  <c r="D56" i="37"/>
  <c r="G56" i="37"/>
  <c r="E57" i="37"/>
  <c r="G55" i="37"/>
  <c r="D54" i="37"/>
  <c r="D53" i="37"/>
  <c r="G57" i="37"/>
  <c r="G53" i="37"/>
  <c r="E56" i="37"/>
  <c r="E54" i="37"/>
  <c r="G54" i="37"/>
  <c r="F139" i="5"/>
  <c r="F215" i="4" l="1"/>
  <c r="F84" i="4"/>
  <c r="F91" i="4" s="1"/>
  <c r="E211" i="4"/>
  <c r="E210" i="4"/>
  <c r="D211" i="4"/>
  <c r="D210" i="4"/>
  <c r="E59" i="37"/>
  <c r="F11" i="2"/>
  <c r="F11" i="3" s="1"/>
  <c r="F44" i="2"/>
  <c r="E214" i="4"/>
  <c r="E10" i="2" s="1"/>
  <c r="E9" i="3" s="1"/>
  <c r="C215" i="4"/>
  <c r="C10" i="2"/>
  <c r="C9" i="3" s="1"/>
  <c r="C212" i="4"/>
  <c r="C213" i="4" s="1"/>
  <c r="D214" i="4"/>
  <c r="F122" i="5"/>
  <c r="F124" i="5" s="1"/>
  <c r="C19" i="5"/>
  <c r="C135" i="5" s="1"/>
  <c r="C137" i="5" s="1"/>
  <c r="D252" i="4"/>
  <c r="F34" i="5"/>
  <c r="E19" i="5"/>
  <c r="E135" i="5" s="1"/>
  <c r="E137" i="5" s="1"/>
  <c r="D19" i="5"/>
  <c r="D135" i="5" s="1"/>
  <c r="D137" i="5" s="1"/>
  <c r="C162" i="4"/>
  <c r="C163" i="4"/>
  <c r="E13" i="5"/>
  <c r="E190" i="5" s="1"/>
  <c r="C147" i="4"/>
  <c r="F227" i="5"/>
  <c r="C227" i="5"/>
  <c r="E263" i="4"/>
  <c r="E261" i="4"/>
  <c r="E262" i="4" s="1"/>
  <c r="E226" i="5"/>
  <c r="E227" i="5"/>
  <c r="D227" i="5"/>
  <c r="D226" i="5"/>
  <c r="C258" i="4"/>
  <c r="C257" i="4"/>
  <c r="C259" i="4"/>
  <c r="F185" i="5"/>
  <c r="F187" i="5" s="1"/>
  <c r="F207" i="5"/>
  <c r="F209" i="5" s="1"/>
  <c r="F221" i="5"/>
  <c r="F223" i="5" s="1"/>
  <c r="F163" i="5"/>
  <c r="F165" i="5" s="1"/>
  <c r="F141" i="5"/>
  <c r="F225" i="5"/>
  <c r="D139" i="5"/>
  <c r="F188" i="5"/>
  <c r="F125" i="5"/>
  <c r="F210" i="5"/>
  <c r="E138" i="5"/>
  <c r="F138" i="5"/>
  <c r="C138" i="5"/>
  <c r="F166" i="5"/>
  <c r="D84" i="4" l="1"/>
  <c r="D91" i="4" s="1"/>
  <c r="D39" i="2" s="1"/>
  <c r="D26" i="3" s="1"/>
  <c r="C44" i="2"/>
  <c r="E215" i="4"/>
  <c r="D10" i="2"/>
  <c r="D9" i="3" s="1"/>
  <c r="C11" i="2"/>
  <c r="C11" i="3" s="1"/>
  <c r="F39" i="2"/>
  <c r="F26" i="3" s="1"/>
  <c r="F17" i="2"/>
  <c r="D215" i="4"/>
  <c r="D122" i="5"/>
  <c r="D124" i="5" s="1"/>
  <c r="E122" i="5"/>
  <c r="E124" i="5" s="1"/>
  <c r="C122" i="5"/>
  <c r="C124" i="5" s="1"/>
  <c r="F36" i="5"/>
  <c r="C34" i="5"/>
  <c r="C36" i="5" s="1"/>
  <c r="F143" i="5"/>
  <c r="D34" i="5"/>
  <c r="E34" i="5"/>
  <c r="E36" i="5" s="1"/>
  <c r="C159" i="4"/>
  <c r="C13" i="5"/>
  <c r="C190" i="5" s="1"/>
  <c r="F15" i="5"/>
  <c r="D13" i="5"/>
  <c r="D190" i="5" s="1"/>
  <c r="D15" i="5"/>
  <c r="F13" i="5"/>
  <c r="F190" i="5" s="1"/>
  <c r="E15" i="5"/>
  <c r="C164" i="4"/>
  <c r="D163" i="5"/>
  <c r="D165" i="5" s="1"/>
  <c r="D185" i="5"/>
  <c r="D187" i="5" s="1"/>
  <c r="D207" i="5"/>
  <c r="D209" i="5" s="1"/>
  <c r="D221" i="5"/>
  <c r="D223" i="5" s="1"/>
  <c r="D141" i="5"/>
  <c r="C252" i="4"/>
  <c r="E252" i="4"/>
  <c r="E74" i="37"/>
  <c r="C146" i="5"/>
  <c r="D225" i="5"/>
  <c r="F224" i="5"/>
  <c r="F229" i="5"/>
  <c r="D138" i="5"/>
  <c r="D189" i="5"/>
  <c r="D125" i="5"/>
  <c r="C139" i="5"/>
  <c r="C125" i="5"/>
  <c r="C37" i="5"/>
  <c r="F37" i="5"/>
  <c r="F145" i="5"/>
  <c r="E125" i="5"/>
  <c r="F167" i="5"/>
  <c r="D210" i="5"/>
  <c r="E38" i="5"/>
  <c r="E139" i="5"/>
  <c r="F189" i="5"/>
  <c r="D167" i="5"/>
  <c r="F9" i="45" l="1"/>
  <c r="C9" i="45"/>
  <c r="E9" i="45"/>
  <c r="D9" i="45"/>
  <c r="E84" i="4"/>
  <c r="E91" i="4" s="1"/>
  <c r="D44" i="2"/>
  <c r="C84" i="4"/>
  <c r="C17" i="2" s="1"/>
  <c r="E11" i="2"/>
  <c r="E11" i="3" s="1"/>
  <c r="E44" i="2"/>
  <c r="D11" i="2"/>
  <c r="D11" i="3" s="1"/>
  <c r="F222" i="4"/>
  <c r="D17" i="2"/>
  <c r="C228" i="4"/>
  <c r="D6" i="3" s="1"/>
  <c r="D36" i="5"/>
  <c r="D143" i="5"/>
  <c r="C170" i="4"/>
  <c r="C15" i="5"/>
  <c r="E168" i="5"/>
  <c r="D168" i="5"/>
  <c r="F168" i="5"/>
  <c r="C221" i="5"/>
  <c r="C223" i="5" s="1"/>
  <c r="C141" i="5"/>
  <c r="C163" i="5"/>
  <c r="C165" i="5" s="1"/>
  <c r="C185" i="5"/>
  <c r="C187" i="5" s="1"/>
  <c r="C207" i="5"/>
  <c r="C209" i="5" s="1"/>
  <c r="E207" i="5"/>
  <c r="E209" i="5" s="1"/>
  <c r="E163" i="5"/>
  <c r="E165" i="5" s="1"/>
  <c r="E185" i="5"/>
  <c r="E187" i="5" s="1"/>
  <c r="E221" i="5"/>
  <c r="E223" i="5" s="1"/>
  <c r="E141" i="5"/>
  <c r="F170" i="5"/>
  <c r="F57" i="5"/>
  <c r="E189" i="5"/>
  <c r="E78" i="5"/>
  <c r="C127" i="5"/>
  <c r="E37" i="5"/>
  <c r="E74" i="5"/>
  <c r="E106" i="5"/>
  <c r="C126" i="5"/>
  <c r="F192" i="5"/>
  <c r="F101" i="5"/>
  <c r="C117" i="5"/>
  <c r="E62" i="5"/>
  <c r="E70" i="5"/>
  <c r="F81" i="5"/>
  <c r="C129" i="5"/>
  <c r="C97" i="5"/>
  <c r="C69" i="5"/>
  <c r="E66" i="5"/>
  <c r="C81" i="5"/>
  <c r="F65" i="5"/>
  <c r="C89" i="5"/>
  <c r="E90" i="5"/>
  <c r="D166" i="5"/>
  <c r="C85" i="5"/>
  <c r="F127" i="5"/>
  <c r="D224" i="5"/>
  <c r="E114" i="5"/>
  <c r="C73" i="5"/>
  <c r="C113" i="5"/>
  <c r="F73" i="5"/>
  <c r="C61" i="5"/>
  <c r="C109" i="5"/>
  <c r="E225" i="5"/>
  <c r="F128" i="5"/>
  <c r="E94" i="5"/>
  <c r="D229" i="5"/>
  <c r="F61" i="5"/>
  <c r="E58" i="5"/>
  <c r="E118" i="5"/>
  <c r="E86" i="5"/>
  <c r="F105" i="5"/>
  <c r="F85" i="5"/>
  <c r="D188" i="5"/>
  <c r="F69" i="5"/>
  <c r="C57" i="5"/>
  <c r="E98" i="5"/>
  <c r="F93" i="5"/>
  <c r="F126" i="5"/>
  <c r="C65" i="5"/>
  <c r="F109" i="5"/>
  <c r="F144" i="5"/>
  <c r="C93" i="5"/>
  <c r="C101" i="5"/>
  <c r="C38" i="5"/>
  <c r="E110" i="5"/>
  <c r="C128" i="5"/>
  <c r="F113" i="5"/>
  <c r="F228" i="5"/>
  <c r="F89" i="5"/>
  <c r="F77" i="5"/>
  <c r="E210" i="5"/>
  <c r="F97" i="5"/>
  <c r="D145" i="5"/>
  <c r="C77" i="5"/>
  <c r="E82" i="5"/>
  <c r="C105" i="5"/>
  <c r="F38" i="5"/>
  <c r="F129" i="5"/>
  <c r="E166" i="5"/>
  <c r="F117" i="5"/>
  <c r="E102" i="5"/>
  <c r="C210" i="5"/>
  <c r="E222" i="4" l="1"/>
  <c r="E17" i="2"/>
  <c r="C91" i="4"/>
  <c r="C39" i="2" s="1"/>
  <c r="E143" i="5"/>
  <c r="C143" i="5"/>
  <c r="C168" i="5"/>
  <c r="C118" i="5"/>
  <c r="D192" i="5"/>
  <c r="D170" i="5"/>
  <c r="F66" i="5"/>
  <c r="C110" i="5"/>
  <c r="E127" i="5"/>
  <c r="C167" i="5"/>
  <c r="F232" i="5"/>
  <c r="D127" i="5"/>
  <c r="F172" i="5"/>
  <c r="E229" i="5"/>
  <c r="C114" i="5"/>
  <c r="E69" i="5"/>
  <c r="D38" i="5"/>
  <c r="C166" i="5"/>
  <c r="F230" i="5"/>
  <c r="C74" i="5"/>
  <c r="F82" i="5"/>
  <c r="D37" i="5"/>
  <c r="C130" i="5"/>
  <c r="F132" i="5"/>
  <c r="F78" i="5"/>
  <c r="C224" i="5"/>
  <c r="F133" i="5"/>
  <c r="E188" i="5"/>
  <c r="D129" i="5"/>
  <c r="F102" i="5"/>
  <c r="C78" i="5"/>
  <c r="D126" i="5"/>
  <c r="F130" i="5"/>
  <c r="C58" i="5"/>
  <c r="C102" i="5"/>
  <c r="E101" i="5"/>
  <c r="C188" i="5"/>
  <c r="E224" i="5"/>
  <c r="E85" i="5"/>
  <c r="F94" i="5"/>
  <c r="E144" i="5"/>
  <c r="C94" i="5"/>
  <c r="E97" i="5"/>
  <c r="E128" i="5"/>
  <c r="C90" i="5"/>
  <c r="E109" i="5"/>
  <c r="E77" i="5"/>
  <c r="E117" i="5"/>
  <c r="F195" i="5"/>
  <c r="F114" i="5"/>
  <c r="E89" i="5"/>
  <c r="F86" i="5"/>
  <c r="F62" i="5"/>
  <c r="E61" i="5"/>
  <c r="F131" i="5"/>
  <c r="E113" i="5"/>
  <c r="C86" i="5"/>
  <c r="F194" i="5"/>
  <c r="D128" i="5"/>
  <c r="C132" i="5"/>
  <c r="F98" i="5"/>
  <c r="F231" i="5"/>
  <c r="F233" i="5"/>
  <c r="F106" i="5"/>
  <c r="C131" i="5"/>
  <c r="C189" i="5"/>
  <c r="F148" i="5"/>
  <c r="C66" i="5"/>
  <c r="F90" i="5"/>
  <c r="E57" i="5"/>
  <c r="C144" i="5"/>
  <c r="E65" i="5"/>
  <c r="C62" i="5"/>
  <c r="F70" i="5"/>
  <c r="E170" i="5"/>
  <c r="E129" i="5"/>
  <c r="D144" i="5"/>
  <c r="F74" i="5"/>
  <c r="C106" i="5"/>
  <c r="C98" i="5"/>
  <c r="F173" i="5"/>
  <c r="E126" i="5"/>
  <c r="E73" i="5"/>
  <c r="C225" i="5"/>
  <c r="F118" i="5"/>
  <c r="C70" i="5"/>
  <c r="F58" i="5"/>
  <c r="C133" i="5"/>
  <c r="F110" i="5"/>
  <c r="D228" i="5"/>
  <c r="E93" i="5"/>
  <c r="C82" i="5"/>
  <c r="E167" i="5"/>
  <c r="E81" i="5"/>
  <c r="E105" i="5"/>
  <c r="E39" i="2" l="1"/>
  <c r="E26" i="3" s="1"/>
  <c r="C26" i="3"/>
  <c r="C222" i="4"/>
  <c r="F234" i="5"/>
  <c r="F235" i="5" s="1"/>
  <c r="F236" i="5" s="1"/>
  <c r="C182" i="4"/>
  <c r="C183" i="4"/>
  <c r="F181" i="4"/>
  <c r="F182" i="4"/>
  <c r="F183" i="4"/>
  <c r="F180" i="4"/>
  <c r="F187" i="4" s="1"/>
  <c r="F34" i="2" s="1"/>
  <c r="C181" i="4"/>
  <c r="C180" i="4"/>
  <c r="E47" i="5"/>
  <c r="F188" i="4" l="1"/>
  <c r="F189" i="4" s="1"/>
  <c r="F192" i="4" s="1"/>
  <c r="C187" i="4"/>
  <c r="C34" i="2" s="1"/>
  <c r="E131" i="5"/>
  <c r="E44" i="5"/>
  <c r="D73" i="5"/>
  <c r="D109" i="5"/>
  <c r="F151" i="5"/>
  <c r="E50" i="5"/>
  <c r="F43" i="5"/>
  <c r="D89" i="5"/>
  <c r="D113" i="5"/>
  <c r="E43" i="5"/>
  <c r="D65" i="5"/>
  <c r="D61" i="5"/>
  <c r="C52" i="5"/>
  <c r="C54" i="5"/>
  <c r="E148" i="5"/>
  <c r="D132" i="5"/>
  <c r="D232" i="5"/>
  <c r="E173" i="5"/>
  <c r="D62" i="5"/>
  <c r="C48" i="5"/>
  <c r="D57" i="5"/>
  <c r="D117" i="5"/>
  <c r="F42" i="5"/>
  <c r="F45" i="5"/>
  <c r="C229" i="5"/>
  <c r="C44" i="5"/>
  <c r="C51" i="5"/>
  <c r="C145" i="5"/>
  <c r="D195" i="5"/>
  <c r="E228" i="5"/>
  <c r="D58" i="5"/>
  <c r="D69" i="5"/>
  <c r="D131" i="5"/>
  <c r="C148" i="5"/>
  <c r="F47" i="5"/>
  <c r="E133" i="5"/>
  <c r="D105" i="5"/>
  <c r="E145" i="5"/>
  <c r="D74" i="5"/>
  <c r="D77" i="5"/>
  <c r="F53" i="5"/>
  <c r="F39" i="5"/>
  <c r="D93" i="5"/>
  <c r="F49" i="5"/>
  <c r="D133" i="5"/>
  <c r="F150" i="5"/>
  <c r="F41" i="5"/>
  <c r="C41" i="5"/>
  <c r="D230" i="5"/>
  <c r="E48" i="5"/>
  <c r="D172" i="5"/>
  <c r="D114" i="5"/>
  <c r="D101" i="5"/>
  <c r="E40" i="5"/>
  <c r="D66" i="5"/>
  <c r="E45" i="5"/>
  <c r="D78" i="5"/>
  <c r="D130" i="5"/>
  <c r="D94" i="5"/>
  <c r="F50" i="5"/>
  <c r="D102" i="5"/>
  <c r="F46" i="5"/>
  <c r="C192" i="5"/>
  <c r="C170" i="5"/>
  <c r="C53" i="5"/>
  <c r="C50" i="5"/>
  <c r="D86" i="5"/>
  <c r="E54" i="5"/>
  <c r="E49" i="5"/>
  <c r="D194" i="5"/>
  <c r="D98" i="5"/>
  <c r="F48" i="5"/>
  <c r="C40" i="5"/>
  <c r="C42" i="5"/>
  <c r="E41" i="5"/>
  <c r="D97" i="5"/>
  <c r="C46" i="5"/>
  <c r="E39" i="5"/>
  <c r="E130" i="5"/>
  <c r="E53" i="5"/>
  <c r="C39" i="5"/>
  <c r="C228" i="5"/>
  <c r="F40" i="5"/>
  <c r="D70" i="5"/>
  <c r="D173" i="5"/>
  <c r="E51" i="5"/>
  <c r="F44" i="5"/>
  <c r="F52" i="5"/>
  <c r="D82" i="5"/>
  <c r="D110" i="5"/>
  <c r="E52" i="5"/>
  <c r="E192" i="5"/>
  <c r="D118" i="5"/>
  <c r="F54" i="5"/>
  <c r="C45" i="5"/>
  <c r="D85" i="5"/>
  <c r="C47" i="5"/>
  <c r="C49" i="5"/>
  <c r="F51" i="5"/>
  <c r="D106" i="5"/>
  <c r="D233" i="5"/>
  <c r="D231" i="5"/>
  <c r="C43" i="5"/>
  <c r="E172" i="5"/>
  <c r="D90" i="5"/>
  <c r="E132" i="5"/>
  <c r="E42" i="5"/>
  <c r="D81" i="5"/>
  <c r="E46" i="5"/>
  <c r="F34" i="45" l="1"/>
  <c r="F40" i="45"/>
  <c r="E127" i="4"/>
  <c r="F123" i="4"/>
  <c r="F79" i="4"/>
  <c r="D180" i="4"/>
  <c r="D187" i="4" s="1"/>
  <c r="D34" i="2" s="1"/>
  <c r="F80" i="4"/>
  <c r="E126" i="4"/>
  <c r="E79" i="4"/>
  <c r="D181" i="4"/>
  <c r="E181" i="4"/>
  <c r="E129" i="4"/>
  <c r="D234" i="5"/>
  <c r="D235" i="5" s="1"/>
  <c r="D236" i="5" s="1"/>
  <c r="C127" i="4"/>
  <c r="C132" i="4"/>
  <c r="F133" i="4"/>
  <c r="F125" i="4"/>
  <c r="C130" i="4"/>
  <c r="E135" i="4"/>
  <c r="E133" i="4"/>
  <c r="E125" i="4"/>
  <c r="E182" i="4"/>
  <c r="D183" i="4"/>
  <c r="C125" i="4"/>
  <c r="F135" i="4"/>
  <c r="E183" i="4"/>
  <c r="E134" i="4"/>
  <c r="F128" i="4"/>
  <c r="C128" i="4"/>
  <c r="C124" i="4"/>
  <c r="E131" i="4"/>
  <c r="F136" i="4"/>
  <c r="C80" i="4"/>
  <c r="C136" i="4"/>
  <c r="F129" i="4"/>
  <c r="C79" i="4"/>
  <c r="E123" i="4"/>
  <c r="C134" i="4"/>
  <c r="F130" i="4"/>
  <c r="F131" i="4"/>
  <c r="C123" i="4"/>
  <c r="E80" i="4"/>
  <c r="E124" i="4"/>
  <c r="F127" i="4"/>
  <c r="D182" i="4"/>
  <c r="C129" i="4"/>
  <c r="C131" i="4"/>
  <c r="C133" i="4"/>
  <c r="F134" i="4"/>
  <c r="C135" i="4"/>
  <c r="E136" i="4"/>
  <c r="C126" i="4"/>
  <c r="E132" i="4"/>
  <c r="F132" i="4"/>
  <c r="F126" i="4"/>
  <c r="F124" i="4"/>
  <c r="E130" i="4"/>
  <c r="E128" i="4"/>
  <c r="E180" i="4"/>
  <c r="E187" i="4" s="1"/>
  <c r="E34" i="2" s="1"/>
  <c r="C188" i="4"/>
  <c r="C223" i="4" s="1"/>
  <c r="C29" i="3"/>
  <c r="F29" i="3"/>
  <c r="F223" i="4"/>
  <c r="C231" i="5"/>
  <c r="E151" i="5"/>
  <c r="C230" i="5"/>
  <c r="D42" i="5"/>
  <c r="E150" i="5"/>
  <c r="C151" i="5"/>
  <c r="C173" i="5"/>
  <c r="D47" i="5"/>
  <c r="E194" i="5"/>
  <c r="E232" i="5"/>
  <c r="D44" i="5"/>
  <c r="E195" i="5"/>
  <c r="D43" i="5"/>
  <c r="C195" i="5"/>
  <c r="D49" i="5"/>
  <c r="D41" i="5"/>
  <c r="D50" i="5"/>
  <c r="D48" i="5"/>
  <c r="E231" i="5"/>
  <c r="D51" i="5"/>
  <c r="D39" i="5"/>
  <c r="C232" i="5"/>
  <c r="E230" i="5"/>
  <c r="D54" i="5"/>
  <c r="C194" i="5"/>
  <c r="E233" i="5"/>
  <c r="D45" i="5"/>
  <c r="C172" i="5"/>
  <c r="D40" i="5"/>
  <c r="D53" i="5"/>
  <c r="D52" i="5"/>
  <c r="D46" i="5"/>
  <c r="C150" i="5"/>
  <c r="C233" i="5"/>
  <c r="C151" i="4" l="1"/>
  <c r="F153" i="4"/>
  <c r="C155" i="4"/>
  <c r="E152" i="4"/>
  <c r="E154" i="4"/>
  <c r="F169" i="4"/>
  <c r="E169" i="4"/>
  <c r="E38" i="45" s="1"/>
  <c r="E151" i="4"/>
  <c r="F152" i="4"/>
  <c r="E155" i="4"/>
  <c r="F156" i="4"/>
  <c r="F151" i="4"/>
  <c r="F154" i="4"/>
  <c r="F29" i="45" s="1"/>
  <c r="E153" i="4"/>
  <c r="E156" i="4"/>
  <c r="F155" i="4"/>
  <c r="C152" i="4"/>
  <c r="C115" i="4"/>
  <c r="C22" i="45" s="1"/>
  <c r="F115" i="4"/>
  <c r="E115" i="4"/>
  <c r="D127" i="4"/>
  <c r="D129" i="4"/>
  <c r="D123" i="4"/>
  <c r="D134" i="4"/>
  <c r="D132" i="4"/>
  <c r="C234" i="5"/>
  <c r="C235" i="5" s="1"/>
  <c r="C236" i="5" s="1"/>
  <c r="E234" i="5"/>
  <c r="E235" i="5" s="1"/>
  <c r="D131" i="4"/>
  <c r="D125" i="4"/>
  <c r="D133" i="4"/>
  <c r="F40" i="2"/>
  <c r="F30" i="3" s="1"/>
  <c r="D188" i="4"/>
  <c r="D223" i="4" s="1"/>
  <c r="E188" i="4"/>
  <c r="E223" i="4" s="1"/>
  <c r="C189" i="4"/>
  <c r="C40" i="2"/>
  <c r="C30" i="3" s="1"/>
  <c r="E29" i="3"/>
  <c r="D29" i="3"/>
  <c r="C40" i="45" l="1"/>
  <c r="C192" i="4"/>
  <c r="F173" i="4"/>
  <c r="E173" i="4"/>
  <c r="E31" i="45" s="1"/>
  <c r="C34" i="45"/>
  <c r="F14" i="45"/>
  <c r="E14" i="45"/>
  <c r="C14" i="45"/>
  <c r="F28" i="45"/>
  <c r="F26" i="45"/>
  <c r="F25" i="45"/>
  <c r="C15" i="45"/>
  <c r="C20" i="45"/>
  <c r="C21" i="45"/>
  <c r="C116" i="4"/>
  <c r="C23" i="45" s="1"/>
  <c r="C18" i="45"/>
  <c r="F157" i="4"/>
  <c r="E32" i="45"/>
  <c r="D156" i="4"/>
  <c r="D155" i="4"/>
  <c r="E157" i="4"/>
  <c r="E28" i="45"/>
  <c r="E29" i="45"/>
  <c r="E25" i="45"/>
  <c r="F32" i="45"/>
  <c r="F22" i="45"/>
  <c r="F21" i="45"/>
  <c r="F18" i="45"/>
  <c r="F23" i="45"/>
  <c r="F20" i="45"/>
  <c r="F35" i="45"/>
  <c r="E22" i="45"/>
  <c r="E35" i="45"/>
  <c r="E18" i="45"/>
  <c r="E15" i="45"/>
  <c r="E20" i="45"/>
  <c r="E21" i="45"/>
  <c r="E26" i="45"/>
  <c r="E116" i="4"/>
  <c r="E23" i="45" s="1"/>
  <c r="F116" i="4"/>
  <c r="F31" i="45"/>
  <c r="E236" i="5"/>
  <c r="D40" i="2"/>
  <c r="D30" i="3" s="1"/>
  <c r="E40" i="2"/>
  <c r="E30" i="3" s="1"/>
  <c r="E189" i="4"/>
  <c r="E192" i="4" s="1"/>
  <c r="D189" i="4"/>
  <c r="D192" i="4" s="1"/>
  <c r="E36" i="45" l="1"/>
  <c r="E37" i="45"/>
  <c r="E34" i="45"/>
  <c r="E40" i="45"/>
  <c r="D34" i="45"/>
  <c r="D40" i="45"/>
  <c r="D157" i="4"/>
  <c r="F229" i="4"/>
  <c r="F44" i="45" s="1"/>
  <c r="E30" i="45"/>
  <c r="E229" i="4"/>
  <c r="D222" i="4"/>
  <c r="D37" i="45" l="1"/>
  <c r="D36" i="45"/>
  <c r="E44" i="45"/>
  <c r="D18" i="5"/>
  <c r="D146" i="5" s="1"/>
  <c r="D148" i="5"/>
  <c r="D126" i="4" l="1"/>
  <c r="D152" i="4" s="1"/>
  <c r="D124" i="4"/>
  <c r="D151" i="4" s="1"/>
  <c r="D150" i="5"/>
  <c r="D151" i="5"/>
  <c r="D79" i="4" l="1"/>
  <c r="D136" i="4"/>
  <c r="D135" i="4"/>
  <c r="D128" i="4"/>
  <c r="D153" i="4" s="1"/>
  <c r="D130" i="4"/>
  <c r="D154" i="4" s="1"/>
  <c r="D169" i="4" l="1"/>
  <c r="D38" i="45" s="1"/>
  <c r="D80" i="4"/>
  <c r="D115" i="4" s="1"/>
  <c r="D22" i="45" s="1"/>
  <c r="D173" i="4" l="1"/>
  <c r="D15" i="45"/>
  <c r="D116" i="4"/>
  <c r="D14" i="45"/>
  <c r="D29" i="45"/>
  <c r="D26" i="45"/>
  <c r="D32" i="45"/>
  <c r="D25" i="45"/>
  <c r="D35" i="45"/>
  <c r="D18" i="45"/>
  <c r="D21" i="45"/>
  <c r="D20" i="45"/>
  <c r="D28" i="45"/>
  <c r="D23" i="45"/>
  <c r="C144" i="4"/>
  <c r="C149" i="4"/>
  <c r="C154" i="4" s="1"/>
  <c r="D31" i="45" l="1"/>
  <c r="D30" i="45"/>
  <c r="D229" i="4"/>
  <c r="C166" i="4"/>
  <c r="C27" i="2"/>
  <c r="C148" i="4"/>
  <c r="C153" i="4" s="1"/>
  <c r="D44" i="45" l="1"/>
  <c r="C165" i="4"/>
  <c r="C150" i="4"/>
  <c r="C156" i="4" s="1"/>
  <c r="C157" i="4" l="1"/>
  <c r="C36" i="45" s="1"/>
  <c r="C160" i="4"/>
  <c r="C161" i="4" s="1"/>
  <c r="C30" i="2" s="1"/>
  <c r="C14" i="3" s="1"/>
  <c r="C167" i="4"/>
  <c r="C16" i="5" s="1"/>
  <c r="C158" i="4"/>
  <c r="C14" i="5"/>
  <c r="C191" i="5" s="1"/>
  <c r="C171" i="4" l="1"/>
  <c r="C172" i="4" s="1"/>
  <c r="C31" i="2" s="1"/>
  <c r="C15" i="3" s="1"/>
  <c r="C168" i="4"/>
  <c r="C169" i="4" s="1"/>
  <c r="C169" i="5"/>
  <c r="C193" i="5"/>
  <c r="C171" i="5"/>
  <c r="C35" i="45" l="1"/>
  <c r="C173" i="4"/>
  <c r="C26" i="45"/>
  <c r="C25" i="45"/>
  <c r="C29" i="45"/>
  <c r="C28" i="45"/>
  <c r="C32" i="45"/>
  <c r="C30" i="45"/>
  <c r="C32" i="2"/>
  <c r="C16" i="3" s="1"/>
  <c r="C17" i="5"/>
  <c r="C197" i="5"/>
  <c r="C198" i="5"/>
  <c r="C178" i="5"/>
  <c r="C196" i="5"/>
  <c r="C174" i="5"/>
  <c r="C179" i="5"/>
  <c r="C175" i="5"/>
  <c r="C176" i="5"/>
  <c r="C199" i="5"/>
  <c r="C200" i="5"/>
  <c r="C201" i="5"/>
  <c r="C177" i="5"/>
  <c r="C229" i="4" l="1"/>
  <c r="C44" i="45" s="1"/>
  <c r="C31" i="45"/>
  <c r="C211" i="5"/>
  <c r="C147" i="5"/>
  <c r="C181" i="5"/>
  <c r="C203" i="5"/>
  <c r="C180" i="5"/>
  <c r="C202" i="5"/>
  <c r="C149" i="5"/>
  <c r="C212" i="5"/>
  <c r="C204" i="5" l="1"/>
  <c r="C205" i="5" s="1"/>
  <c r="C23" i="5" s="1"/>
  <c r="C182" i="5"/>
  <c r="C183" i="5" s="1"/>
  <c r="C22" i="5" s="1"/>
  <c r="C219" i="4" s="1"/>
  <c r="C214" i="5"/>
  <c r="C156" i="5"/>
  <c r="C154" i="5"/>
  <c r="C213" i="5"/>
  <c r="C155" i="5"/>
  <c r="C216" i="5"/>
  <c r="C215" i="5"/>
  <c r="C153" i="5"/>
  <c r="C157" i="5"/>
  <c r="C152" i="5"/>
  <c r="C36" i="2" l="1"/>
  <c r="C23" i="3" s="1"/>
  <c r="C159" i="5"/>
  <c r="C158" i="5"/>
  <c r="C217" i="5"/>
  <c r="C218" i="5" s="1"/>
  <c r="C219" i="5" s="1"/>
  <c r="C21" i="5" s="1"/>
  <c r="C221" i="4" s="1"/>
  <c r="C38" i="2" s="1"/>
  <c r="C25" i="3" s="1"/>
  <c r="C220" i="4"/>
  <c r="C37" i="2" s="1"/>
  <c r="C160" i="5" l="1"/>
  <c r="C161" i="5" s="1"/>
  <c r="C20" i="5" s="1"/>
  <c r="C218" i="4" s="1"/>
  <c r="C24" i="3"/>
  <c r="C35" i="2" l="1"/>
  <c r="C22" i="3" s="1"/>
  <c r="C230" i="4"/>
  <c r="D16" i="5"/>
  <c r="D14" i="5"/>
  <c r="D191" i="5" s="1"/>
  <c r="C43" i="2" l="1"/>
  <c r="C32" i="3" s="1"/>
  <c r="C234" i="4"/>
  <c r="C233" i="4"/>
  <c r="C43" i="45" s="1"/>
  <c r="D169" i="5"/>
  <c r="D193" i="5"/>
  <c r="D171" i="5"/>
  <c r="C45" i="2" l="1"/>
  <c r="C33" i="3" s="1"/>
  <c r="C237" i="4"/>
  <c r="C45" i="45" s="1"/>
  <c r="D32" i="2"/>
  <c r="D16" i="3" s="1"/>
  <c r="D17" i="5"/>
  <c r="D201" i="5"/>
  <c r="D177" i="5"/>
  <c r="D199" i="5"/>
  <c r="D178" i="5"/>
  <c r="D200" i="5"/>
  <c r="D196" i="5"/>
  <c r="D179" i="5"/>
  <c r="D198" i="5"/>
  <c r="D174" i="5"/>
  <c r="D176" i="5"/>
  <c r="D197" i="5"/>
  <c r="D175" i="5"/>
  <c r="D202" i="5" l="1"/>
  <c r="D180" i="5"/>
  <c r="D203" i="5"/>
  <c r="D181" i="5"/>
  <c r="D211" i="5"/>
  <c r="D147" i="5"/>
  <c r="D149" i="5"/>
  <c r="D212" i="5"/>
  <c r="D182" i="5" l="1"/>
  <c r="D183" i="5" s="1"/>
  <c r="D22" i="5" s="1"/>
  <c r="D219" i="4" s="1"/>
  <c r="D204" i="5"/>
  <c r="D205" i="5" s="1"/>
  <c r="D23" i="5" s="1"/>
  <c r="D220" i="4" s="1"/>
  <c r="D37" i="2" s="1"/>
  <c r="D24" i="3" s="1"/>
  <c r="D214" i="5"/>
  <c r="D157" i="5"/>
  <c r="D154" i="5"/>
  <c r="D216" i="5"/>
  <c r="D215" i="5"/>
  <c r="D155" i="5"/>
  <c r="D152" i="5"/>
  <c r="D153" i="5"/>
  <c r="D213" i="5"/>
  <c r="D156" i="5"/>
  <c r="D36" i="2" l="1"/>
  <c r="D23" i="3" s="1"/>
  <c r="D158" i="5"/>
  <c r="D217" i="5"/>
  <c r="D218" i="5" s="1"/>
  <c r="D219" i="5" s="1"/>
  <c r="D21" i="5" s="1"/>
  <c r="D159" i="5"/>
  <c r="D160" i="5" l="1"/>
  <c r="D161" i="5" s="1"/>
  <c r="D20" i="5" s="1"/>
  <c r="D218" i="4" s="1"/>
  <c r="D221" i="4"/>
  <c r="D38" i="2" s="1"/>
  <c r="D25" i="3" s="1"/>
  <c r="D35" i="2" l="1"/>
  <c r="D22" i="3" s="1"/>
  <c r="D230" i="4"/>
  <c r="D43" i="2" l="1"/>
  <c r="D32" i="3" s="1"/>
  <c r="D233" i="4"/>
  <c r="D43" i="45" s="1"/>
  <c r="D234" i="4"/>
  <c r="D45" i="2" l="1"/>
  <c r="D33" i="3" s="1"/>
  <c r="D237" i="4"/>
  <c r="D45" i="45" s="1"/>
  <c r="E14" i="5" l="1"/>
  <c r="E191" i="5" s="1"/>
  <c r="E16" i="5"/>
  <c r="E169" i="5" l="1"/>
  <c r="E32" i="2"/>
  <c r="E16" i="3" s="1"/>
  <c r="E17" i="5"/>
  <c r="E193" i="5"/>
  <c r="E171" i="5"/>
  <c r="E211" i="5" l="1"/>
  <c r="E147" i="5"/>
  <c r="E201" i="5"/>
  <c r="E176" i="5"/>
  <c r="E197" i="5"/>
  <c r="E179" i="5"/>
  <c r="E198" i="5"/>
  <c r="E175" i="5"/>
  <c r="E149" i="5"/>
  <c r="E174" i="5"/>
  <c r="E212" i="5"/>
  <c r="E196" i="5"/>
  <c r="E177" i="5"/>
  <c r="E178" i="5"/>
  <c r="E200" i="5"/>
  <c r="E199" i="5"/>
  <c r="E203" i="5" l="1"/>
  <c r="E181" i="5"/>
  <c r="E202" i="5"/>
  <c r="E180" i="5"/>
  <c r="E152" i="5"/>
  <c r="E156" i="5"/>
  <c r="E213" i="5"/>
  <c r="E157" i="5"/>
  <c r="E216" i="5"/>
  <c r="E155" i="5"/>
  <c r="E153" i="5"/>
  <c r="E154" i="5"/>
  <c r="E215" i="5"/>
  <c r="E214" i="5"/>
  <c r="E182" i="5" l="1"/>
  <c r="E183" i="5" s="1"/>
  <c r="E22" i="5" s="1"/>
  <c r="E219" i="4" s="1"/>
  <c r="E204" i="5"/>
  <c r="E205" i="5" s="1"/>
  <c r="E23" i="5" s="1"/>
  <c r="E159" i="5"/>
  <c r="E158" i="5"/>
  <c r="E217" i="5"/>
  <c r="E218" i="5" s="1"/>
  <c r="E36" i="2" l="1"/>
  <c r="E23" i="3" s="1"/>
  <c r="E220" i="4"/>
  <c r="E160" i="5"/>
  <c r="E161" i="5" s="1"/>
  <c r="E20" i="5" s="1"/>
  <c r="E218" i="4" s="1"/>
  <c r="E219" i="5"/>
  <c r="E21" i="5" s="1"/>
  <c r="B144" i="4"/>
  <c r="B143" i="4"/>
  <c r="E37" i="2" l="1"/>
  <c r="E24" i="3" s="1"/>
  <c r="E35" i="2"/>
  <c r="E22" i="3" s="1"/>
  <c r="E221" i="4"/>
  <c r="B29" i="2"/>
  <c r="B28" i="2"/>
  <c r="E230" i="4" l="1"/>
  <c r="E38" i="2"/>
  <c r="E25" i="3" s="1"/>
  <c r="F14" i="5"/>
  <c r="F191" i="5" s="1"/>
  <c r="F16" i="5"/>
  <c r="E43" i="2" l="1"/>
  <c r="E32" i="3" s="1"/>
  <c r="E233" i="4"/>
  <c r="E43" i="45" s="1"/>
  <c r="E234" i="4"/>
  <c r="F32" i="2"/>
  <c r="F16" i="3" s="1"/>
  <c r="F17" i="5"/>
  <c r="F169" i="5"/>
  <c r="F193" i="5"/>
  <c r="F171" i="5"/>
  <c r="E45" i="2" l="1"/>
  <c r="E33" i="3" s="1"/>
  <c r="E237" i="4"/>
  <c r="E45" i="45" s="1"/>
  <c r="F211" i="5"/>
  <c r="F147" i="5"/>
  <c r="F198" i="5"/>
  <c r="F177" i="5"/>
  <c r="F212" i="5"/>
  <c r="F178" i="5"/>
  <c r="F176" i="5"/>
  <c r="F201" i="5"/>
  <c r="F179" i="5"/>
  <c r="F174" i="5"/>
  <c r="F196" i="5"/>
  <c r="F200" i="5"/>
  <c r="F175" i="5"/>
  <c r="F199" i="5"/>
  <c r="F197" i="5"/>
  <c r="F149" i="5"/>
  <c r="F203" i="5" l="1"/>
  <c r="F180" i="5"/>
  <c r="F181" i="5"/>
  <c r="F202" i="5"/>
  <c r="F215" i="5"/>
  <c r="F157" i="5"/>
  <c r="F156" i="5"/>
  <c r="F213" i="5"/>
  <c r="F216" i="5"/>
  <c r="F155" i="5"/>
  <c r="F152" i="5"/>
  <c r="F153" i="5"/>
  <c r="F154" i="5"/>
  <c r="F214" i="5"/>
  <c r="F182" i="5" l="1"/>
  <c r="F183" i="5" s="1"/>
  <c r="F22" i="5" s="1"/>
  <c r="F219" i="4" s="1"/>
  <c r="F204" i="5"/>
  <c r="F205" i="5" s="1"/>
  <c r="F23" i="5" s="1"/>
  <c r="F158" i="5"/>
  <c r="F217" i="5"/>
  <c r="F218" i="5" s="1"/>
  <c r="F159" i="5"/>
  <c r="F36" i="2" l="1"/>
  <c r="F23" i="3" s="1"/>
  <c r="F220" i="4"/>
  <c r="F37" i="2" s="1"/>
  <c r="F24" i="3" s="1"/>
  <c r="F219" i="5"/>
  <c r="F21" i="5" s="1"/>
  <c r="F160" i="5"/>
  <c r="F161" i="5" s="1"/>
  <c r="F20" i="5" s="1"/>
  <c r="F218" i="4" s="1"/>
  <c r="F35" i="2" l="1"/>
  <c r="F22" i="3" s="1"/>
  <c r="F221" i="4"/>
  <c r="F230" i="4" l="1"/>
  <c r="F38" i="2"/>
  <c r="F25" i="3" s="1"/>
  <c r="F43" i="2" l="1"/>
  <c r="F32" i="3" s="1"/>
  <c r="F233" i="4"/>
  <c r="F43" i="45" s="1"/>
  <c r="F234" i="4"/>
  <c r="F45" i="2" l="1"/>
  <c r="F33" i="3" s="1"/>
  <c r="F237" i="4"/>
  <c r="F45" i="45" s="1"/>
</calcChain>
</file>

<file path=xl/comments1.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7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C6" authorId="0">
      <text>
        <r>
          <rPr>
            <b/>
            <sz val="9"/>
            <color indexed="81"/>
            <rFont val="Tahoma"/>
            <family val="2"/>
          </rPr>
          <t xml:space="preserve">Extended Distance: </t>
        </r>
        <r>
          <rPr>
            <sz val="9"/>
            <color indexed="81"/>
            <rFont val="Tahoma"/>
            <family val="2"/>
          </rPr>
          <t>Select this tickbox to enable extended distance calculations</t>
        </r>
      </text>
    </comment>
    <comment ref="D6" authorId="0">
      <text>
        <r>
          <rPr>
            <b/>
            <sz val="9"/>
            <color indexed="81"/>
            <rFont val="Tahoma"/>
            <family val="2"/>
          </rPr>
          <t xml:space="preserve">Bolus:  </t>
        </r>
        <r>
          <rPr>
            <sz val="9"/>
            <color indexed="81"/>
            <rFont val="Tahoma"/>
            <family val="2"/>
          </rPr>
          <t>Select this tickbox to add bolus</t>
        </r>
      </text>
    </comment>
    <comment ref="E6" authorId="0">
      <text>
        <r>
          <rPr>
            <b/>
            <sz val="9"/>
            <color indexed="81"/>
            <rFont val="Tahoma"/>
            <family val="2"/>
          </rPr>
          <t xml:space="preserve">Shielding: </t>
        </r>
        <r>
          <rPr>
            <sz val="9"/>
            <color indexed="81"/>
            <rFont val="Tahoma"/>
            <family val="2"/>
          </rPr>
          <t>Select this tickbox to add a shielding/tray factor</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C7" authorId="1">
      <text>
        <r>
          <rPr>
            <b/>
            <sz val="9"/>
            <color indexed="81"/>
            <rFont val="Tahoma"/>
            <family val="2"/>
          </rPr>
          <t xml:space="preserve">Treatment Unit Selector </t>
        </r>
        <r>
          <rPr>
            <sz val="9"/>
            <color indexed="81"/>
            <rFont val="Tahoma"/>
            <family val="2"/>
          </rPr>
          <t>is the drop down Box to select the treatment unit. 
Energy options and other factors depend on the coice of treatment unit</t>
        </r>
      </text>
    </comment>
    <comment ref="D7" authorId="0">
      <text>
        <r>
          <rPr>
            <b/>
            <sz val="9"/>
            <color indexed="81"/>
            <rFont val="Tahoma"/>
            <family val="2"/>
          </rPr>
          <t xml:space="preserve">Treatment Unit: </t>
        </r>
        <r>
          <rPr>
            <sz val="9"/>
            <color indexed="81"/>
            <rFont val="Tahoma"/>
            <family val="2"/>
          </rPr>
          <t>Treatment Unit is selected from the dropdown menu on th left</t>
        </r>
      </text>
    </comment>
    <comment ref="H7" authorId="1">
      <text>
        <r>
          <rPr>
            <b/>
            <sz val="9"/>
            <color indexed="81"/>
            <rFont val="Tahoma"/>
            <family val="2"/>
          </rPr>
          <t xml:space="preserve">White Blank Boxes </t>
        </r>
        <r>
          <rPr>
            <sz val="9"/>
            <color indexed="81"/>
            <rFont val="Tahoma"/>
            <family val="2"/>
          </rPr>
          <t>are not used in the present MU calculations</t>
        </r>
      </text>
    </comment>
    <comment ref="C8" authorId="0">
      <text>
        <r>
          <rPr>
            <b/>
            <sz val="9"/>
            <color indexed="81"/>
            <rFont val="Tahoma"/>
            <family val="2"/>
          </rPr>
          <t>Field name</t>
        </r>
        <r>
          <rPr>
            <sz val="9"/>
            <color indexed="81"/>
            <rFont val="Tahoma"/>
            <family val="2"/>
          </rPr>
          <t xml:space="preserve">
A field name is required for calculations to be completed.
Field names cannot be duplicated, 
it cannot be all spaces,
it cannot be a number.</t>
        </r>
      </text>
    </comment>
    <comment ref="H8"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9" authorId="1">
      <text>
        <r>
          <rPr>
            <b/>
            <sz val="9"/>
            <color indexed="81"/>
            <rFont val="Tahoma"/>
            <family val="2"/>
          </rPr>
          <t>Red Text</t>
        </r>
        <r>
          <rPr>
            <sz val="9"/>
            <color indexed="81"/>
            <rFont val="Tahoma"/>
            <family val="2"/>
          </rPr>
          <t xml:space="preserve"> indicate that the data is not valid</t>
        </r>
      </text>
    </comment>
    <comment ref="C10" authorId="0">
      <text>
        <r>
          <rPr>
            <b/>
            <sz val="9"/>
            <color indexed="81"/>
            <rFont val="Tahoma"/>
            <family val="2"/>
          </rPr>
          <t>Dose per Field</t>
        </r>
        <r>
          <rPr>
            <sz val="9"/>
            <color indexed="81"/>
            <rFont val="Tahoma"/>
            <family val="2"/>
          </rPr>
          <t xml:space="preserve"> is equal to Total Dose x Beam Weight
It cannot be directly modified.</t>
        </r>
      </text>
    </comment>
    <comment ref="H10"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1" authorId="0">
      <text>
        <r>
          <rPr>
            <b/>
            <sz val="9"/>
            <color indexed="81"/>
            <rFont val="Tahoma"/>
            <family val="2"/>
          </rPr>
          <t xml:space="preserve">Dose per Fraction </t>
        </r>
        <r>
          <rPr>
            <sz val="9"/>
            <color indexed="81"/>
            <rFont val="Tahoma"/>
            <family val="2"/>
          </rPr>
          <t>is equal to Dose per Field / # Fractions
It cannot be directly modified.</t>
        </r>
      </text>
    </comment>
    <comment ref="C12" authorId="1">
      <text>
        <r>
          <rPr>
            <b/>
            <sz val="9"/>
            <color indexed="81"/>
            <rFont val="Tahoma"/>
            <family val="2"/>
          </rPr>
          <t>Energy Selector:</t>
        </r>
        <r>
          <rPr>
            <sz val="9"/>
            <color indexed="81"/>
            <rFont val="Tahoma"/>
            <family val="2"/>
          </rPr>
          <t xml:space="preserve"> This drop-down box is used the select file eneregy for the field.  Blank selections are not allowed</t>
        </r>
      </text>
    </comment>
    <comment ref="C13" authorId="0">
      <text>
        <r>
          <rPr>
            <b/>
            <sz val="8"/>
            <color indexed="81"/>
            <rFont val="Tahoma"/>
            <family val="2"/>
          </rPr>
          <t>Energy</t>
        </r>
        <r>
          <rPr>
            <sz val="8"/>
            <color indexed="81"/>
            <rFont val="Tahoma"/>
            <family val="2"/>
          </rPr>
          <t xml:space="preserve"> is selected from the dropdown menu above.
The energies available to be selected depends on the </t>
        </r>
        <r>
          <rPr>
            <b/>
            <sz val="8"/>
            <color indexed="81"/>
            <rFont val="Tahoma"/>
            <family val="2"/>
          </rPr>
          <t xml:space="preserve">Treatment Unit </t>
        </r>
      </text>
    </comment>
    <comment ref="C14" authorId="0">
      <text>
        <r>
          <rPr>
            <b/>
            <sz val="8"/>
            <color indexed="81"/>
            <rFont val="Tahoma"/>
            <family val="2"/>
          </rPr>
          <t>SSD</t>
        </r>
        <r>
          <rPr>
            <sz val="8"/>
            <color indexed="81"/>
            <rFont val="Tahoma"/>
            <family val="2"/>
          </rPr>
          <t xml:space="preserve"> is the SSD value given in Eclipse.  Use the Eclipse value regardless of whether Bolus is present or Extended distances are used.
A mix of normal and extended distances is possible.</t>
        </r>
      </text>
    </comment>
    <comment ref="C15"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6"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7"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8"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19"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0"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1"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2"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3"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4"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5"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6"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7"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8"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29"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1"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2"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3" authorId="1">
      <text>
        <r>
          <rPr>
            <b/>
            <sz val="9"/>
            <color indexed="81"/>
            <rFont val="Tahoma"/>
            <family val="2"/>
          </rPr>
          <t xml:space="preserve">Shielding Selector </t>
        </r>
        <r>
          <rPr>
            <sz val="9"/>
            <color indexed="81"/>
            <rFont val="Tahoma"/>
            <family val="2"/>
          </rPr>
          <t>Slects the shielding type for each field</t>
        </r>
      </text>
    </comment>
    <comment ref="C34"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5"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6"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7"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8"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39"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1"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2"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3"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4"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5"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2.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8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H7"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8" authorId="1">
      <text>
        <r>
          <rPr>
            <b/>
            <sz val="9"/>
            <color indexed="81"/>
            <rFont val="Tahoma"/>
            <family val="2"/>
          </rPr>
          <t>Red Text</t>
        </r>
        <r>
          <rPr>
            <sz val="9"/>
            <color indexed="81"/>
            <rFont val="Tahoma"/>
            <family val="2"/>
          </rPr>
          <t xml:space="preserve"> indicate that the data is not valid</t>
        </r>
      </text>
    </comment>
    <comment ref="H9"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5"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6"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7"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8"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19"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0"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1"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2"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3"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4"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5"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6"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7"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8"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29"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1"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2"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3" authorId="1">
      <text>
        <r>
          <rPr>
            <b/>
            <sz val="9"/>
            <color indexed="81"/>
            <rFont val="Tahoma"/>
            <family val="2"/>
          </rPr>
          <t xml:space="preserve">Shielding Selector </t>
        </r>
        <r>
          <rPr>
            <sz val="9"/>
            <color indexed="81"/>
            <rFont val="Tahoma"/>
            <family val="2"/>
          </rPr>
          <t>Slects the shielding type for each field</t>
        </r>
      </text>
    </comment>
    <comment ref="C34"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5"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6"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7"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8"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39"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1"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2"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3"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4"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5"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3.xml><?xml version="1.0" encoding="utf-8"?>
<comments xmlns="http://schemas.openxmlformats.org/spreadsheetml/2006/main">
  <authors>
    <author>Salomons, Greg</author>
    <author>Greg Salomons</author>
    <author>Greg &amp; Jina Salomons</author>
  </authors>
  <commentList>
    <comment ref="B2" authorId="0">
      <text>
        <r>
          <rPr>
            <b/>
            <sz val="12"/>
            <color indexed="81"/>
            <rFont val="Tahoma"/>
            <family val="2"/>
          </rPr>
          <t xml:space="preserve">Data Calculations: </t>
        </r>
        <r>
          <rPr>
            <sz val="12"/>
            <color indexed="81"/>
            <rFont val="Tahoma"/>
            <family val="2"/>
          </rPr>
          <t>The</t>
        </r>
        <r>
          <rPr>
            <i/>
            <sz val="12"/>
            <color indexed="81"/>
            <rFont val="Tahoma"/>
            <family val="2"/>
          </rPr>
          <t xml:space="preserve"> Data Calculations</t>
        </r>
        <r>
          <rPr>
            <sz val="12"/>
            <color indexed="81"/>
            <rFont val="Tahoma"/>
            <family val="2"/>
          </rPr>
          <t xml:space="preserve"> Worksheet takes the data entered in the </t>
        </r>
        <r>
          <rPr>
            <i/>
            <sz val="12"/>
            <color indexed="81"/>
            <rFont val="Tahoma"/>
            <family val="2"/>
          </rPr>
          <t>Data Entry</t>
        </r>
        <r>
          <rPr>
            <sz val="12"/>
            <color indexed="81"/>
            <rFont val="Tahoma"/>
            <family val="2"/>
          </rPr>
          <t xml:space="preserve"> Worksheet, checks it, performs calculations and passes results back to the </t>
        </r>
        <r>
          <rPr>
            <i/>
            <sz val="12"/>
            <color indexed="81"/>
            <rFont val="Tahoma"/>
            <family val="2"/>
          </rPr>
          <t>Data Entry</t>
        </r>
        <r>
          <rPr>
            <sz val="12"/>
            <color indexed="81"/>
            <rFont val="Tahoma"/>
            <family val="2"/>
          </rPr>
          <t xml:space="preserve"> Form</t>
        </r>
      </text>
    </comment>
    <comment ref="C4" authorId="0">
      <text>
        <r>
          <rPr>
            <b/>
            <sz val="12"/>
            <color indexed="81"/>
            <rFont val="Tahoma"/>
            <family val="2"/>
          </rPr>
          <t>Blue Boxes</t>
        </r>
        <r>
          <rPr>
            <sz val="12"/>
            <color indexed="81"/>
            <rFont val="Tahoma"/>
            <family val="2"/>
          </rPr>
          <t xml:space="preserve"> indicate the header of a Data Table</t>
        </r>
      </text>
    </comment>
    <comment ref="C5" authorId="1">
      <text>
        <r>
          <rPr>
            <b/>
            <sz val="12"/>
            <color indexed="81"/>
            <rFont val="Tahoma"/>
            <family val="2"/>
          </rPr>
          <t xml:space="preserve">Light Blue Boxes </t>
        </r>
        <r>
          <rPr>
            <sz val="12"/>
            <color indexed="81"/>
            <rFont val="Tahoma"/>
            <family val="2"/>
          </rPr>
          <t xml:space="preserve">Indicate a member of a drop down list for </t>
        </r>
        <r>
          <rPr>
            <i/>
            <sz val="12"/>
            <color indexed="81"/>
            <rFont val="Tahoma"/>
            <family val="2"/>
          </rPr>
          <t>Data Entry</t>
        </r>
      </text>
    </comment>
    <comment ref="C6" authorId="1">
      <text>
        <r>
          <rPr>
            <b/>
            <sz val="12"/>
            <color indexed="81"/>
            <rFont val="Tahoma"/>
            <family val="2"/>
          </rPr>
          <t xml:space="preserve">Magenta Boxes </t>
        </r>
        <r>
          <rPr>
            <sz val="12"/>
            <color indexed="81"/>
            <rFont val="Tahoma"/>
            <family val="2"/>
          </rPr>
          <t xml:space="preserve">indicate the link cell for a drop down list in </t>
        </r>
        <r>
          <rPr>
            <i/>
            <sz val="12"/>
            <color indexed="81"/>
            <rFont val="Tahoma"/>
            <family val="2"/>
          </rPr>
          <t xml:space="preserve">Data Entry
</t>
        </r>
        <r>
          <rPr>
            <sz val="12"/>
            <color indexed="81"/>
            <rFont val="Tahoma"/>
            <family val="2"/>
          </rPr>
          <t>It's value will be a number which references the item in the list</t>
        </r>
      </text>
    </comment>
    <comment ref="C7" authorId="1">
      <text>
        <r>
          <rPr>
            <b/>
            <sz val="12"/>
            <color indexed="81"/>
            <rFont val="Tahoma"/>
            <family val="2"/>
          </rPr>
          <t>Pink Boxes</t>
        </r>
        <r>
          <rPr>
            <sz val="12"/>
            <color indexed="81"/>
            <rFont val="Tahoma"/>
            <family val="2"/>
          </rPr>
          <t xml:space="preserve"> indicate the Item references by a drop down box index #</t>
        </r>
      </text>
    </comment>
    <comment ref="C8" authorId="1">
      <text>
        <r>
          <rPr>
            <b/>
            <sz val="12"/>
            <color indexed="81"/>
            <rFont val="Tahoma"/>
            <family val="2"/>
          </rPr>
          <t xml:space="preserve">Orange Boxes </t>
        </r>
        <r>
          <rPr>
            <sz val="12"/>
            <color indexed="81"/>
            <rFont val="Tahoma"/>
            <family val="2"/>
          </rPr>
          <t xml:space="preserve">indicate the link cell for a tick box in </t>
        </r>
        <r>
          <rPr>
            <i/>
            <sz val="12"/>
            <color indexed="81"/>
            <rFont val="Tahoma"/>
            <family val="2"/>
          </rPr>
          <t>Data Entry</t>
        </r>
        <r>
          <rPr>
            <sz val="12"/>
            <color indexed="81"/>
            <rFont val="Tahoma"/>
            <family val="2"/>
          </rPr>
          <t>.  
It's value will be either True (light Orange) or false (Dark Orange).</t>
        </r>
      </text>
    </comment>
    <comment ref="D8" authorId="0">
      <text>
        <r>
          <rPr>
            <b/>
            <sz val="12"/>
            <color indexed="81"/>
            <rFont val="Tahoma"/>
            <family val="2"/>
          </rPr>
          <t>Orange Boxes</t>
        </r>
        <r>
          <rPr>
            <sz val="12"/>
            <color indexed="81"/>
            <rFont val="Tahoma"/>
            <family val="2"/>
          </rPr>
          <t xml:space="preserve"> indicate the link cell for a tick box in </t>
        </r>
        <r>
          <rPr>
            <i/>
            <sz val="12"/>
            <color indexed="81"/>
            <rFont val="Tahoma"/>
            <family val="2"/>
          </rPr>
          <t>Data Entry</t>
        </r>
        <r>
          <rPr>
            <sz val="12"/>
            <color indexed="81"/>
            <rFont val="Tahoma"/>
            <family val="2"/>
          </rPr>
          <t>.  
It's value will be either True (</t>
        </r>
        <r>
          <rPr>
            <b/>
            <sz val="12"/>
            <color indexed="81"/>
            <rFont val="Tahoma"/>
            <family val="2"/>
          </rPr>
          <t>Light Orange</t>
        </r>
        <r>
          <rPr>
            <sz val="12"/>
            <color indexed="81"/>
            <rFont val="Tahoma"/>
            <family val="2"/>
          </rPr>
          <t>) or false (</t>
        </r>
        <r>
          <rPr>
            <b/>
            <sz val="12"/>
            <color indexed="81"/>
            <rFont val="Tahoma"/>
            <family val="2"/>
          </rPr>
          <t>Dark Orange</t>
        </r>
        <r>
          <rPr>
            <sz val="12"/>
            <color indexed="81"/>
            <rFont val="Tahoma"/>
            <family val="2"/>
          </rPr>
          <t>).</t>
        </r>
      </text>
    </comment>
    <comment ref="C9" authorId="1">
      <text>
        <r>
          <rPr>
            <b/>
            <sz val="12"/>
            <color indexed="81"/>
            <rFont val="Tahoma"/>
            <family val="2"/>
          </rPr>
          <t xml:space="preserve">Yellow Boxes </t>
        </r>
        <r>
          <rPr>
            <sz val="12"/>
            <color indexed="81"/>
            <rFont val="Tahoma"/>
            <family val="2"/>
          </rPr>
          <t>indicate part of a look-up data table from which  parameters and limits are obtained.</t>
        </r>
      </text>
    </comment>
    <comment ref="C10" authorId="0">
      <text>
        <r>
          <rPr>
            <b/>
            <sz val="12"/>
            <color indexed="81"/>
            <rFont val="Tahoma"/>
            <family val="2"/>
          </rPr>
          <t>Light Green Boxes i</t>
        </r>
        <r>
          <rPr>
            <sz val="12"/>
            <color indexed="81"/>
            <rFont val="Tahoma"/>
            <family val="2"/>
          </rPr>
          <t>ndicate data obtained from a look-up table</t>
        </r>
      </text>
    </comment>
    <comment ref="C11" authorId="1">
      <text>
        <r>
          <rPr>
            <b/>
            <sz val="12"/>
            <color indexed="81"/>
            <rFont val="Tahoma"/>
            <family val="2"/>
          </rPr>
          <t>Purple Boxes</t>
        </r>
        <r>
          <rPr>
            <sz val="12"/>
            <color indexed="81"/>
            <rFont val="Tahoma"/>
            <family val="2"/>
          </rPr>
          <t xml:space="preserve"> indicate information obtained from the </t>
        </r>
        <r>
          <rPr>
            <i/>
            <sz val="12"/>
            <color indexed="81"/>
            <rFont val="Tahoma"/>
            <family val="2"/>
          </rPr>
          <t>Data Entry</t>
        </r>
        <r>
          <rPr>
            <sz val="12"/>
            <color indexed="81"/>
            <rFont val="Tahoma"/>
            <family val="2"/>
          </rPr>
          <t xml:space="preserve"> worksheet</t>
        </r>
      </text>
    </comment>
    <comment ref="C12" authorId="0">
      <text>
        <r>
          <rPr>
            <b/>
            <sz val="12"/>
            <color indexed="81"/>
            <rFont val="Tahoma"/>
            <family val="2"/>
          </rPr>
          <t xml:space="preserve">Red-Brown Boxes </t>
        </r>
        <r>
          <rPr>
            <sz val="12"/>
            <color indexed="81"/>
            <rFont val="Tahoma"/>
            <family val="2"/>
          </rPr>
          <t>indicate a calculation is done in the cell</t>
        </r>
      </text>
    </comment>
    <comment ref="C13" authorId="1">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 xml:space="preserve">Data Entry
</t>
        </r>
        <r>
          <rPr>
            <sz val="12"/>
            <color indexed="81"/>
            <rFont val="Tahoma"/>
            <family val="2"/>
          </rPr>
          <t>This will sometimes occur in cells with different background colours indicating the source of the data</t>
        </r>
      </text>
    </comment>
    <comment ref="C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D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C15" authorId="0">
      <text>
        <r>
          <rPr>
            <b/>
            <sz val="12"/>
            <color indexed="81"/>
            <rFont val="Tahoma"/>
            <family val="2"/>
          </rPr>
          <t>Bright Yellow Boxes</t>
        </r>
        <r>
          <rPr>
            <sz val="12"/>
            <color indexed="81"/>
            <rFont val="Tahoma"/>
            <family val="2"/>
          </rPr>
          <t xml:space="preserve"> indicate a failed sanity check.
This means that an unusual, but not nessesarily wrong value is present.
Failed sanity checks will not prevent dose calculations.</t>
        </r>
      </text>
    </comment>
    <comment ref="C16" authorId="0">
      <text>
        <r>
          <rPr>
            <b/>
            <sz val="12"/>
            <color indexed="81"/>
            <rFont val="Tahoma"/>
            <family val="2"/>
          </rPr>
          <t>Grey Boxes:</t>
        </r>
        <r>
          <rPr>
            <sz val="12"/>
            <color indexed="81"/>
            <rFont val="Tahoma"/>
            <family val="2"/>
          </rPr>
          <t xml:space="preserve"> indicate data which is not being used in the calculation under the selected conditions</t>
        </r>
      </text>
    </comment>
    <comment ref="C17" authorId="0">
      <text>
        <r>
          <rPr>
            <b/>
            <sz val="12"/>
            <color indexed="81"/>
            <rFont val="Tahoma"/>
            <family val="2"/>
          </rPr>
          <t>Olive Green Boxes i</t>
        </r>
        <r>
          <rPr>
            <sz val="12"/>
            <color indexed="81"/>
            <rFont val="Tahoma"/>
            <family val="2"/>
          </rPr>
          <t xml:space="preserve">ndicate information obtained from the </t>
        </r>
        <r>
          <rPr>
            <i/>
            <sz val="12"/>
            <color indexed="81"/>
            <rFont val="Tahoma"/>
            <family val="2"/>
          </rPr>
          <t>Parameters</t>
        </r>
        <r>
          <rPr>
            <sz val="12"/>
            <color indexed="81"/>
            <rFont val="Tahoma"/>
            <family val="2"/>
          </rPr>
          <t xml:space="preserve"> worksheet</t>
        </r>
      </text>
    </comment>
    <comment ref="B21" authorId="0">
      <text>
        <r>
          <rPr>
            <b/>
            <sz val="12"/>
            <color indexed="81"/>
            <rFont val="Tahoma"/>
            <family val="2"/>
          </rPr>
          <t xml:space="preserve">Header Data </t>
        </r>
        <r>
          <rPr>
            <sz val="12"/>
            <color indexed="81"/>
            <rFont val="Tahoma"/>
            <family val="2"/>
          </rPr>
          <t xml:space="preserve">collects and tests the patient information
</t>
        </r>
      </text>
    </comment>
    <comment ref="B23" authorId="1">
      <text>
        <r>
          <rPr>
            <b/>
            <sz val="12"/>
            <color indexed="81"/>
            <rFont val="Tahoma"/>
            <family val="2"/>
          </rPr>
          <t>Patient &amp; Plan Info:</t>
        </r>
        <r>
          <rPr>
            <sz val="12"/>
            <color indexed="81"/>
            <rFont val="Tahoma"/>
            <family val="2"/>
          </rPr>
          <t xml:space="preserve">  This table checks the status of basic patient and plan information</t>
        </r>
      </text>
    </comment>
    <comment ref="D24" authorId="1">
      <text>
        <r>
          <rPr>
            <b/>
            <sz val="12"/>
            <color indexed="81"/>
            <rFont val="Tahoma"/>
            <family val="2"/>
          </rPr>
          <t>Patient Name:</t>
        </r>
        <r>
          <rPr>
            <sz val="12"/>
            <color indexed="81"/>
            <rFont val="Tahoma"/>
            <family val="2"/>
          </rPr>
          <t xml:space="preserve"> Tests that the patient name has been entered and is text</t>
        </r>
      </text>
    </comment>
    <comment ref="D25" authorId="1">
      <text>
        <r>
          <rPr>
            <b/>
            <sz val="12"/>
            <color indexed="81"/>
            <rFont val="Tahoma"/>
            <family val="2"/>
          </rPr>
          <t>Chart Number:</t>
        </r>
        <r>
          <rPr>
            <sz val="12"/>
            <color indexed="81"/>
            <rFont val="Tahoma"/>
            <family val="2"/>
          </rPr>
          <t xml:space="preserve"> Verifies that the patient chart number is 8 digits long</t>
        </r>
      </text>
    </comment>
    <comment ref="D26" authorId="1">
      <text>
        <r>
          <rPr>
            <b/>
            <sz val="12"/>
            <color indexed="81"/>
            <rFont val="Tahoma"/>
            <family val="2"/>
          </rPr>
          <t xml:space="preserve">Plan ID: </t>
        </r>
        <r>
          <rPr>
            <sz val="12"/>
            <color indexed="81"/>
            <rFont val="Tahoma"/>
            <family val="2"/>
          </rPr>
          <t>Verifies that a plan ID has been entered and is text</t>
        </r>
      </text>
    </comment>
    <comment ref="B30" authorId="0">
      <text>
        <r>
          <rPr>
            <b/>
            <sz val="12"/>
            <color indexed="81"/>
            <rFont val="Tahoma"/>
            <family val="2"/>
          </rPr>
          <t xml:space="preserve"> Field Info</t>
        </r>
        <r>
          <rPr>
            <sz val="12"/>
            <color indexed="81"/>
            <rFont val="Tahoma"/>
            <family val="2"/>
          </rPr>
          <t xml:space="preserve"> collects and tests the field names and counts the number of fields.</t>
        </r>
        <r>
          <rPr>
            <b/>
            <sz val="12"/>
            <color indexed="81"/>
            <rFont val="Tahoma"/>
            <family val="2"/>
          </rPr>
          <t xml:space="preserve">
</t>
        </r>
      </text>
    </comment>
    <comment ref="B32" authorId="0">
      <text>
        <r>
          <rPr>
            <b/>
            <u/>
            <sz val="12"/>
            <color indexed="81"/>
            <rFont val="Tahoma"/>
            <family val="2"/>
          </rPr>
          <t>Field Names</t>
        </r>
        <r>
          <rPr>
            <b/>
            <sz val="12"/>
            <color indexed="81"/>
            <rFont val="Tahoma"/>
            <family val="2"/>
          </rPr>
          <t xml:space="preserve">: </t>
        </r>
        <r>
          <rPr>
            <sz val="12"/>
            <color indexed="81"/>
            <rFont val="Tahoma"/>
            <family val="2"/>
          </rPr>
          <t>collects the field names and test their validity</t>
        </r>
      </text>
    </comment>
    <comment ref="C33" authorId="0">
      <text>
        <r>
          <rPr>
            <b/>
            <sz val="12"/>
            <color indexed="81"/>
            <rFont val="Tahoma"/>
            <family val="2"/>
          </rPr>
          <t xml:space="preserve">Field Name: </t>
        </r>
        <r>
          <rPr>
            <sz val="12"/>
            <color indexed="81"/>
            <rFont val="Tahoma"/>
            <family val="2"/>
          </rPr>
          <t>The field name from data entry, with leading and trailing spaces removed. This must contain text for calculations to be done. 
Field Names must not be identical</t>
        </r>
      </text>
    </comment>
    <comment ref="C34" authorId="0">
      <text>
        <r>
          <rPr>
            <b/>
            <sz val="12"/>
            <color indexed="81"/>
            <rFont val="Tahoma"/>
            <family val="2"/>
          </rPr>
          <t xml:space="preserve">Valid Field Name:  </t>
        </r>
        <r>
          <rPr>
            <sz val="12"/>
            <color indexed="81"/>
            <rFont val="Tahoma"/>
            <family val="2"/>
          </rPr>
          <t>Tests to see that field names are unique and do not contain all spaces</t>
        </r>
      </text>
    </comment>
    <comment ref="B36" authorId="0">
      <text>
        <r>
          <rPr>
            <b/>
            <sz val="12"/>
            <color indexed="81"/>
            <rFont val="Tahoma"/>
            <family val="2"/>
          </rPr>
          <t xml:space="preserve"> </t>
        </r>
        <r>
          <rPr>
            <b/>
            <u/>
            <sz val="12"/>
            <color indexed="81"/>
            <rFont val="Tahoma"/>
            <family val="2"/>
          </rPr>
          <t>Number of Fields</t>
        </r>
        <r>
          <rPr>
            <b/>
            <sz val="12"/>
            <color indexed="81"/>
            <rFont val="Tahoma"/>
            <family val="2"/>
          </rPr>
          <t xml:space="preserve">: </t>
        </r>
        <r>
          <rPr>
            <sz val="12"/>
            <color indexed="81"/>
            <rFont val="Tahoma"/>
            <family val="2"/>
          </rPr>
          <t>counts the number of valid fields</t>
        </r>
      </text>
    </comment>
    <comment ref="C37" authorId="0">
      <text>
        <r>
          <rPr>
            <b/>
            <sz val="12"/>
            <color indexed="81"/>
            <rFont val="Tahoma"/>
            <family val="2"/>
          </rPr>
          <t>Field Count: =</t>
        </r>
        <r>
          <rPr>
            <sz val="12"/>
            <color indexed="81"/>
            <rFont val="Tahoma"/>
            <family val="2"/>
          </rPr>
          <t xml:space="preserve"> 1 if the field name is valid, 0 otherwise.  It is used to count the number of beams</t>
        </r>
      </text>
    </comment>
    <comment ref="C38" authorId="0">
      <text>
        <r>
          <rPr>
            <b/>
            <sz val="12"/>
            <color indexed="81"/>
            <rFont val="Tahoma"/>
            <family val="2"/>
          </rPr>
          <t xml:space="preserve"># Beams: </t>
        </r>
        <r>
          <rPr>
            <sz val="12"/>
            <color indexed="81"/>
            <rFont val="Tahoma"/>
            <family val="2"/>
          </rPr>
          <t>A count of the number of valid field names.  
It is used to calculate the default field weighting.</t>
        </r>
      </text>
    </comment>
    <comment ref="B42" authorId="0">
      <text>
        <r>
          <rPr>
            <b/>
            <sz val="12"/>
            <color indexed="81"/>
            <rFont val="Tahoma"/>
            <family val="2"/>
          </rPr>
          <t>Machine &amp; Energy</t>
        </r>
        <r>
          <rPr>
            <sz val="12"/>
            <color indexed="81"/>
            <rFont val="Tahoma"/>
            <family val="2"/>
          </rPr>
          <t xml:space="preserve"> processes the selection of the treatment unit and energy.  The information here is used to select the appropriate table for different parameters.
</t>
        </r>
      </text>
    </comment>
    <comment ref="B44" authorId="1">
      <text>
        <r>
          <rPr>
            <b/>
            <u/>
            <sz val="12"/>
            <color indexed="81"/>
            <rFont val="Tahoma"/>
            <family val="2"/>
          </rPr>
          <t>Treatment Unit</t>
        </r>
        <r>
          <rPr>
            <sz val="12"/>
            <color indexed="81"/>
            <rFont val="Tahoma"/>
            <family val="2"/>
          </rPr>
          <t xml:space="preserve"> is a drop-down menu list derived from the available </t>
        </r>
        <r>
          <rPr>
            <b/>
            <u/>
            <sz val="12"/>
            <color indexed="81"/>
            <rFont val="Tahoma"/>
            <family val="2"/>
          </rPr>
          <t>Data Tables</t>
        </r>
        <r>
          <rPr>
            <sz val="12"/>
            <color indexed="81"/>
            <rFont val="Tahoma"/>
            <family val="2"/>
          </rPr>
          <t xml:space="preserve"> list and is used to select the unit for calculations</t>
        </r>
      </text>
    </comment>
    <comment ref="B45" authorId="1">
      <text>
        <r>
          <rPr>
            <sz val="12"/>
            <color indexed="81"/>
            <rFont val="Tahoma"/>
            <family val="2"/>
          </rPr>
          <t>The list of All Treatment Unit names from</t>
        </r>
        <r>
          <rPr>
            <i/>
            <sz val="12"/>
            <color indexed="81"/>
            <rFont val="Tahoma"/>
            <family val="2"/>
          </rPr>
          <t xml:space="preserve"> </t>
        </r>
        <r>
          <rPr>
            <b/>
            <u/>
            <sz val="12"/>
            <color indexed="81"/>
            <rFont val="Tahoma"/>
            <family val="2"/>
          </rPr>
          <t>DataTables</t>
        </r>
        <r>
          <rPr>
            <i/>
            <sz val="12"/>
            <color indexed="81"/>
            <rFont val="Tahoma"/>
            <family val="2"/>
          </rPr>
          <t>.</t>
        </r>
      </text>
    </comment>
    <comment ref="B52" authorId="0">
      <text>
        <r>
          <rPr>
            <b/>
            <sz val="12"/>
            <color indexed="81"/>
            <rFont val="Tahoma"/>
            <family val="2"/>
          </rPr>
          <t xml:space="preserve">  </t>
        </r>
        <r>
          <rPr>
            <b/>
            <u/>
            <sz val="12"/>
            <color indexed="81"/>
            <rFont val="Tahoma"/>
            <family val="2"/>
          </rPr>
          <t>Treatment Unit Selection</t>
        </r>
        <r>
          <rPr>
            <b/>
            <sz val="12"/>
            <color indexed="81"/>
            <rFont val="Tahoma"/>
            <family val="2"/>
          </rPr>
          <t xml:space="preserve"> </t>
        </r>
        <r>
          <rPr>
            <sz val="12"/>
            <color indexed="81"/>
            <rFont val="Tahoma"/>
            <family val="2"/>
          </rPr>
          <t xml:space="preserve">is a table linked to the drop-down menu in </t>
        </r>
        <r>
          <rPr>
            <i/>
            <sz val="12"/>
            <color indexed="81"/>
            <rFont val="Tahoma"/>
            <family val="2"/>
          </rPr>
          <t>Data Entry</t>
        </r>
        <r>
          <rPr>
            <sz val="12"/>
            <color indexed="81"/>
            <rFont val="Tahoma"/>
            <family val="2"/>
          </rPr>
          <t xml:space="preserve"> where the treatment unit is selected.  All fields must use the same treatment unit.</t>
        </r>
      </text>
    </comment>
    <comment ref="C53" authorId="1">
      <text>
        <r>
          <rPr>
            <b/>
            <sz val="12"/>
            <color indexed="81"/>
            <rFont val="Tahoma"/>
            <family val="2"/>
          </rPr>
          <t xml:space="preserve">Treatment Unit </t>
        </r>
        <r>
          <rPr>
            <sz val="12"/>
            <color indexed="81"/>
            <rFont val="Tahoma"/>
            <family val="2"/>
          </rPr>
          <t xml:space="preserve">is the unit name from the </t>
        </r>
        <r>
          <rPr>
            <b/>
            <u/>
            <sz val="12"/>
            <color indexed="81"/>
            <rFont val="Tahoma"/>
            <family val="2"/>
          </rPr>
          <t>Treatment Unit</t>
        </r>
        <r>
          <rPr>
            <sz val="12"/>
            <color indexed="81"/>
            <rFont val="Tahoma"/>
            <family val="2"/>
          </rPr>
          <t xml:space="preserve"> drop-down list</t>
        </r>
      </text>
    </comment>
    <comment ref="C54" authorId="1">
      <text>
        <r>
          <rPr>
            <b/>
            <sz val="12"/>
            <color indexed="81"/>
            <rFont val="Tahoma"/>
            <family val="2"/>
          </rPr>
          <t>Treatment Unit Drop Down Index</t>
        </r>
        <r>
          <rPr>
            <sz val="12"/>
            <color indexed="81"/>
            <rFont val="Tahoma"/>
            <family val="2"/>
          </rPr>
          <t xml:space="preserve"> is an index to the</t>
        </r>
        <r>
          <rPr>
            <i/>
            <sz val="12"/>
            <color indexed="81"/>
            <rFont val="Tahoma"/>
            <family val="2"/>
          </rPr>
          <t xml:space="preserve"> </t>
        </r>
        <r>
          <rPr>
            <b/>
            <u/>
            <sz val="12"/>
            <color indexed="81"/>
            <rFont val="Tahoma"/>
            <family val="2"/>
          </rPr>
          <t>Treatment Unit</t>
        </r>
        <r>
          <rPr>
            <sz val="12"/>
            <color indexed="81"/>
            <rFont val="Tahoma"/>
            <family val="2"/>
          </rPr>
          <t xml:space="preserve"> list 
It is linked to the drop down list in </t>
        </r>
        <r>
          <rPr>
            <i/>
            <sz val="12"/>
            <color indexed="81"/>
            <rFont val="Tahoma"/>
            <family val="2"/>
          </rPr>
          <t>Data Entry</t>
        </r>
      </text>
    </comment>
    <comment ref="B56" authorId="1">
      <text>
        <r>
          <rPr>
            <b/>
            <u/>
            <sz val="12"/>
            <color indexed="81"/>
            <rFont val="Tahoma"/>
            <family val="2"/>
          </rPr>
          <t>Data Tables</t>
        </r>
        <r>
          <rPr>
            <b/>
            <sz val="12"/>
            <color indexed="81"/>
            <rFont val="Tahoma"/>
            <family val="2"/>
          </rPr>
          <t xml:space="preserve"> </t>
        </r>
        <r>
          <rPr>
            <sz val="12"/>
            <color indexed="81"/>
            <rFont val="Tahoma"/>
            <family val="2"/>
          </rPr>
          <t xml:space="preserve">correlates the treatment unit with the list of energies available and the data tables in </t>
        </r>
        <r>
          <rPr>
            <i/>
            <sz val="12"/>
            <color indexed="81"/>
            <rFont val="Tahoma"/>
            <family val="2"/>
          </rPr>
          <t>Table References</t>
        </r>
        <r>
          <rPr>
            <sz val="12"/>
            <color indexed="81"/>
            <rFont val="Tahoma"/>
            <family val="2"/>
          </rPr>
          <t>.</t>
        </r>
      </text>
    </comment>
    <comment ref="B57" authorId="0">
      <text>
        <r>
          <rPr>
            <b/>
            <sz val="12"/>
            <color indexed="81"/>
            <rFont val="Tahoma"/>
            <family val="2"/>
          </rPr>
          <t xml:space="preserve">Energy: </t>
        </r>
        <r>
          <rPr>
            <sz val="12"/>
            <color indexed="81"/>
            <rFont val="Tahoma"/>
            <family val="2"/>
          </rPr>
          <t>The list of all possible beam energies for all machines.
 The</t>
        </r>
        <r>
          <rPr>
            <b/>
            <sz val="12"/>
            <color indexed="81"/>
            <rFont val="Tahoma"/>
            <family val="2"/>
          </rPr>
          <t xml:space="preserve"> </t>
        </r>
        <r>
          <rPr>
            <b/>
            <u/>
            <sz val="12"/>
            <color indexed="81"/>
            <rFont val="Tahoma"/>
            <family val="2"/>
          </rPr>
          <t>Beam Energies</t>
        </r>
        <r>
          <rPr>
            <sz val="12"/>
            <color indexed="81"/>
            <rFont val="Tahoma"/>
            <family val="2"/>
          </rPr>
          <t xml:space="preserve"> drop-down box references this list.</t>
        </r>
      </text>
    </comment>
    <comment ref="C57" authorId="1">
      <text>
        <r>
          <rPr>
            <b/>
            <sz val="12"/>
            <color indexed="81"/>
            <rFont val="Tahoma"/>
            <family val="2"/>
          </rPr>
          <t xml:space="preserve">Treatment Unit: </t>
        </r>
        <r>
          <rPr>
            <sz val="12"/>
            <color indexed="81"/>
            <rFont val="Tahoma"/>
            <family val="2"/>
          </rPr>
          <t xml:space="preserve">The list of all treatment units from </t>
        </r>
        <r>
          <rPr>
            <i/>
            <sz val="12"/>
            <color indexed="81"/>
            <rFont val="Tahoma"/>
            <family val="2"/>
          </rPr>
          <t>Table References.</t>
        </r>
        <r>
          <rPr>
            <sz val="12"/>
            <color indexed="81"/>
            <rFont val="Tahoma"/>
            <family val="2"/>
          </rPr>
          <t xml:space="preserve"> This is referenced by the </t>
        </r>
        <r>
          <rPr>
            <b/>
            <u/>
            <sz val="12"/>
            <color indexed="81"/>
            <rFont val="Tahoma"/>
            <family val="2"/>
          </rPr>
          <t>Treatment Unit</t>
        </r>
        <r>
          <rPr>
            <sz val="12"/>
            <color indexed="81"/>
            <rFont val="Tahoma"/>
            <family val="2"/>
          </rPr>
          <t xml:space="preserve"> drop-down list</t>
        </r>
      </text>
    </comment>
    <comment ref="C58" authorId="0">
      <text>
        <r>
          <rPr>
            <b/>
            <sz val="9"/>
            <color indexed="81"/>
            <rFont val="Tahoma"/>
            <family val="2"/>
          </rPr>
          <t xml:space="preserve">Data Table Names: </t>
        </r>
        <r>
          <rPr>
            <sz val="9"/>
            <color indexed="81"/>
            <rFont val="Tahoma"/>
            <family val="2"/>
          </rPr>
          <t xml:space="preserve">The table of all Data Sheet names by Treatment Unit and Energy from </t>
        </r>
        <r>
          <rPr>
            <i/>
            <sz val="9"/>
            <color indexed="81"/>
            <rFont val="Tahoma"/>
            <family val="2"/>
          </rPr>
          <t>Table References</t>
        </r>
      </text>
    </comment>
    <comment ref="B62" authorId="1">
      <text>
        <r>
          <rPr>
            <sz val="12"/>
            <color indexed="81"/>
            <rFont val="Tahoma"/>
            <family val="2"/>
          </rPr>
          <t xml:space="preserve">The </t>
        </r>
        <r>
          <rPr>
            <b/>
            <u/>
            <sz val="12"/>
            <color indexed="81"/>
            <rFont val="Tahoma"/>
            <family val="2"/>
          </rPr>
          <t>Beam Energy</t>
        </r>
        <r>
          <rPr>
            <sz val="12"/>
            <color indexed="81"/>
            <rFont val="Tahoma"/>
            <family val="2"/>
          </rPr>
          <t xml:space="preserve"> list includes all energies from </t>
        </r>
        <r>
          <rPr>
            <b/>
            <u/>
            <sz val="12"/>
            <color indexed="81"/>
            <rFont val="Tahoma"/>
            <family val="2"/>
          </rPr>
          <t xml:space="preserve">Data Tables </t>
        </r>
        <r>
          <rPr>
            <sz val="12"/>
            <color indexed="81"/>
            <rFont val="Tahoma"/>
            <family val="2"/>
          </rPr>
          <t xml:space="preserve">for which the selected unit has a data table name.  This list is used by the drop-down menu in </t>
        </r>
        <r>
          <rPr>
            <i/>
            <sz val="12"/>
            <color indexed="81"/>
            <rFont val="Tahoma"/>
            <family val="2"/>
          </rPr>
          <t>Data Entry.</t>
        </r>
      </text>
    </comment>
    <comment ref="B63" authorId="1">
      <text>
        <r>
          <rPr>
            <sz val="12"/>
            <color indexed="81"/>
            <rFont val="Tahoma"/>
            <family val="2"/>
          </rPr>
          <t xml:space="preserve">The list of All available energy names for the selected treatment unit. 
It is used by the drop down box in </t>
        </r>
        <r>
          <rPr>
            <i/>
            <sz val="12"/>
            <color indexed="81"/>
            <rFont val="Tahoma"/>
            <family val="2"/>
          </rPr>
          <t>Data Entry.</t>
        </r>
        <r>
          <rPr>
            <sz val="12"/>
            <color indexed="81"/>
            <rFont val="Tahoma"/>
            <family val="2"/>
          </rPr>
          <t xml:space="preserve">
The energies displayed depend on the unit selected.
The same number of selection slots is always available, but some are blank
If no treatment unit is selected all slots are blank</t>
        </r>
      </text>
    </comment>
    <comment ref="B68" authorId="0">
      <text>
        <r>
          <rPr>
            <b/>
            <sz val="12"/>
            <color indexed="81"/>
            <rFont val="Tahoma"/>
            <family val="2"/>
          </rPr>
          <t>Energy Selection: i</t>
        </r>
        <r>
          <rPr>
            <sz val="12"/>
            <color indexed="81"/>
            <rFont val="Tahoma"/>
            <family val="2"/>
          </rPr>
          <t xml:space="preserve">s linked to the drop-down menu in </t>
        </r>
        <r>
          <rPr>
            <i/>
            <sz val="12"/>
            <color indexed="81"/>
            <rFont val="Tahoma"/>
            <family val="2"/>
          </rPr>
          <t>Data Entry</t>
        </r>
        <r>
          <rPr>
            <sz val="12"/>
            <color indexed="81"/>
            <rFont val="Tahoma"/>
            <family val="2"/>
          </rPr>
          <t xml:space="preserve"> and references the </t>
        </r>
        <r>
          <rPr>
            <b/>
            <u/>
            <sz val="12"/>
            <color indexed="81"/>
            <rFont val="Tahoma"/>
            <family val="2"/>
          </rPr>
          <t xml:space="preserve">Beam Energies </t>
        </r>
        <r>
          <rPr>
            <sz val="12"/>
            <color indexed="81"/>
            <rFont val="Tahoma"/>
            <family val="2"/>
          </rPr>
          <t>table.</t>
        </r>
      </text>
    </comment>
    <comment ref="C69" authorId="1">
      <text>
        <r>
          <rPr>
            <b/>
            <sz val="12"/>
            <color indexed="81"/>
            <rFont val="Tahoma"/>
            <family val="2"/>
          </rPr>
          <t xml:space="preserve">Beam Energy: </t>
        </r>
        <r>
          <rPr>
            <sz val="12"/>
            <color indexed="81"/>
            <rFont val="Tahoma"/>
            <family val="2"/>
          </rPr>
          <t xml:space="preserve">The energy name selected by the energy drop menu in </t>
        </r>
        <r>
          <rPr>
            <i/>
            <sz val="12"/>
            <color indexed="81"/>
            <rFont val="Tahoma"/>
            <family val="2"/>
          </rPr>
          <t>Data Entry</t>
        </r>
      </text>
    </comment>
    <comment ref="C70" authorId="1">
      <text>
        <r>
          <rPr>
            <b/>
            <sz val="12"/>
            <color indexed="81"/>
            <rFont val="Tahoma"/>
            <family val="2"/>
          </rPr>
          <t>Energy Drop Down Index</t>
        </r>
        <r>
          <rPr>
            <sz val="12"/>
            <color indexed="81"/>
            <rFont val="Tahoma"/>
            <family val="2"/>
          </rPr>
          <t xml:space="preserve"> is an index to the</t>
        </r>
        <r>
          <rPr>
            <b/>
            <u/>
            <sz val="12"/>
            <color indexed="81"/>
            <rFont val="Tahoma"/>
            <family val="2"/>
          </rPr>
          <t xml:space="preserve"> Beam Energy</t>
        </r>
        <r>
          <rPr>
            <sz val="12"/>
            <color indexed="81"/>
            <rFont val="Tahoma"/>
            <family val="2"/>
          </rPr>
          <t xml:space="preserve"> table 
and is linked to the drop down list in </t>
        </r>
        <r>
          <rPr>
            <i/>
            <sz val="12"/>
            <color indexed="81"/>
            <rFont val="Tahoma"/>
            <family val="2"/>
          </rPr>
          <t xml:space="preserve">Data Entry
</t>
        </r>
        <r>
          <rPr>
            <sz val="12"/>
            <color indexed="81"/>
            <rFont val="Tahoma"/>
            <family val="2"/>
          </rPr>
          <t>The energies displayed depend on the unit selected.
The same number of selection slots is always available, but some are blank</t>
        </r>
      </text>
    </comment>
    <comment ref="C71" authorId="1">
      <text>
        <r>
          <rPr>
            <b/>
            <sz val="12"/>
            <color indexed="81"/>
            <rFont val="Tahoma"/>
            <family val="2"/>
          </rPr>
          <t xml:space="preserve">Data Table: </t>
        </r>
        <r>
          <rPr>
            <sz val="12"/>
            <color indexed="81"/>
            <rFont val="Tahoma"/>
            <family val="2"/>
          </rPr>
          <t xml:space="preserve">The name of the data table in </t>
        </r>
        <r>
          <rPr>
            <i/>
            <sz val="12"/>
            <color indexed="81"/>
            <rFont val="Tahoma"/>
            <family val="2"/>
          </rPr>
          <t xml:space="preserve">Table References </t>
        </r>
        <r>
          <rPr>
            <sz val="12"/>
            <color indexed="81"/>
            <rFont val="Tahoma"/>
            <family val="2"/>
          </rPr>
          <t xml:space="preserve">based on the unit and energy selected.  It comes from the </t>
        </r>
        <r>
          <rPr>
            <b/>
            <u/>
            <sz val="12"/>
            <color indexed="81"/>
            <rFont val="Tahoma"/>
            <family val="2"/>
          </rPr>
          <t>Data Tables</t>
        </r>
        <r>
          <rPr>
            <sz val="12"/>
            <color indexed="81"/>
            <rFont val="Tahoma"/>
            <family val="2"/>
          </rPr>
          <t xml:space="preserve"> list and is used to lookup values in those worksheet tables.  An N/A value indicates a failed lookup in </t>
        </r>
        <r>
          <rPr>
            <b/>
            <u/>
            <sz val="12"/>
            <color indexed="81"/>
            <rFont val="Tahoma"/>
            <family val="2"/>
          </rPr>
          <t>Data Tables</t>
        </r>
        <r>
          <rPr>
            <b/>
            <sz val="12"/>
            <color indexed="81"/>
            <rFont val="Tahoma"/>
            <family val="2"/>
          </rPr>
          <t xml:space="preserve">
</t>
        </r>
      </text>
    </comment>
    <comment ref="C72" authorId="0">
      <text>
        <r>
          <rPr>
            <b/>
            <sz val="12"/>
            <color indexed="81"/>
            <rFont val="Tahoma"/>
            <family val="2"/>
          </rPr>
          <t xml:space="preserve">Valid Energy: </t>
        </r>
        <r>
          <rPr>
            <sz val="12"/>
            <color indexed="81"/>
            <rFont val="Tahoma"/>
            <family val="2"/>
          </rPr>
          <t>This checks that an appropriate energy was selected and the Data Table lookup was successful</t>
        </r>
      </text>
    </comment>
    <comment ref="B76" authorId="0">
      <text>
        <r>
          <rPr>
            <b/>
            <sz val="12"/>
            <color indexed="81"/>
            <rFont val="Tahoma"/>
            <family val="2"/>
          </rPr>
          <t xml:space="preserve">Depths </t>
        </r>
        <r>
          <rPr>
            <sz val="12"/>
            <color indexed="81"/>
            <rFont val="Tahoma"/>
            <family val="2"/>
          </rPr>
          <t xml:space="preserve"> Collects and tests all of the values from </t>
        </r>
        <r>
          <rPr>
            <i/>
            <sz val="12"/>
            <color indexed="81"/>
            <rFont val="Tahoma"/>
            <family val="2"/>
          </rPr>
          <t>Data Entry</t>
        </r>
        <r>
          <rPr>
            <sz val="12"/>
            <color indexed="81"/>
            <rFont val="Tahoma"/>
            <family val="2"/>
          </rPr>
          <t xml:space="preserve"> that relate to depth calculations.  Extended Distance, Bolus and Other Depth are checked.  SSD values are combined with othe ther depth data to calculate a target depth, which is used for TPR selection.
</t>
        </r>
      </text>
    </comment>
    <comment ref="B78" authorId="0">
      <text>
        <r>
          <rPr>
            <b/>
            <sz val="12"/>
            <color indexed="81"/>
            <rFont val="Tahoma"/>
            <family val="2"/>
          </rPr>
          <t xml:space="preserve">Depth Limits: </t>
        </r>
        <r>
          <rPr>
            <sz val="12"/>
            <color indexed="81"/>
            <rFont val="Tahoma"/>
            <family val="2"/>
          </rPr>
          <t xml:space="preserve">the Min and Max allowable depths for the selected data table from </t>
        </r>
        <r>
          <rPr>
            <i/>
            <sz val="12"/>
            <color indexed="81"/>
            <rFont val="Tahoma"/>
            <family val="2"/>
          </rPr>
          <t>Parameters</t>
        </r>
      </text>
    </comment>
    <comment ref="B82" authorId="0">
      <text>
        <r>
          <rPr>
            <b/>
            <sz val="12"/>
            <color indexed="81"/>
            <rFont val="Tahoma"/>
            <family val="2"/>
          </rPr>
          <t xml:space="preserve">SSD &amp; Extended Distance: </t>
        </r>
        <r>
          <rPr>
            <sz val="12"/>
            <color indexed="81"/>
            <rFont val="Tahoma"/>
            <family val="2"/>
          </rPr>
          <t xml:space="preserve">This table does the calculations for any Extended Distance Fields.   It also calculates the depth from the SSD for fields that are not extended distance.  </t>
        </r>
      </text>
    </comment>
    <comment ref="B83" authorId="1">
      <text>
        <r>
          <rPr>
            <sz val="12"/>
            <color indexed="81"/>
            <rFont val="Tahoma"/>
            <family val="2"/>
          </rPr>
          <t xml:space="preserve">A link to the </t>
        </r>
        <r>
          <rPr>
            <u/>
            <sz val="12"/>
            <color indexed="81"/>
            <rFont val="Tahoma"/>
            <family val="2"/>
          </rPr>
          <t>Extended Distance Tick box</t>
        </r>
        <r>
          <rPr>
            <sz val="12"/>
            <color indexed="81"/>
            <rFont val="Tahoma"/>
            <family val="2"/>
          </rPr>
          <t xml:space="preserve"> in </t>
        </r>
        <r>
          <rPr>
            <i/>
            <sz val="12"/>
            <color indexed="81"/>
            <rFont val="Tahoma"/>
            <family val="2"/>
          </rPr>
          <t>Data Entry</t>
        </r>
        <r>
          <rPr>
            <sz val="12"/>
            <color indexed="81"/>
            <rFont val="Tahoma"/>
            <family val="2"/>
          </rPr>
          <t>.
TRUE indicates that extended distance calculations are enabled.
The default is FALSE</t>
        </r>
      </text>
    </comment>
    <comment ref="C84" authorId="0">
      <text>
        <r>
          <rPr>
            <b/>
            <sz val="12"/>
            <color indexed="81"/>
            <rFont val="Tahoma"/>
            <family val="2"/>
          </rPr>
          <t>Effective SSD</t>
        </r>
        <r>
          <rPr>
            <sz val="12"/>
            <color indexed="81"/>
            <rFont val="Tahoma"/>
            <family val="2"/>
          </rPr>
          <t xml:space="preserve">: The Effective SSD value for this field based on Treatment Unit and Energy selected for the field.  
It is obtained from a table in </t>
        </r>
        <r>
          <rPr>
            <i/>
            <sz val="12"/>
            <color indexed="81"/>
            <rFont val="Tahoma"/>
            <family val="2"/>
          </rPr>
          <t>Parameters</t>
        </r>
      </text>
    </comment>
    <comment ref="C85" authorId="1">
      <text>
        <r>
          <rPr>
            <b/>
            <sz val="12"/>
            <color indexed="81"/>
            <rFont val="Tahoma"/>
            <family val="2"/>
          </rPr>
          <t xml:space="preserve">SSD: </t>
        </r>
        <r>
          <rPr>
            <sz val="12"/>
            <color indexed="81"/>
            <rFont val="Tahoma"/>
            <family val="2"/>
          </rPr>
          <t>is the SSD value from</t>
        </r>
        <r>
          <rPr>
            <i/>
            <sz val="12"/>
            <color indexed="81"/>
            <rFont val="Tahoma"/>
            <family val="2"/>
          </rPr>
          <t xml:space="preserve"> Data Entry</t>
        </r>
      </text>
    </comment>
    <comment ref="C86" authorId="0">
      <text>
        <r>
          <rPr>
            <b/>
            <sz val="12"/>
            <color indexed="81"/>
            <rFont val="Tahoma"/>
            <family val="2"/>
          </rPr>
          <t xml:space="preserve">Valid SSD: </t>
        </r>
        <r>
          <rPr>
            <sz val="12"/>
            <color indexed="81"/>
            <rFont val="Tahoma"/>
            <family val="2"/>
          </rPr>
          <t xml:space="preserve">Tests to verify that </t>
        </r>
        <r>
          <rPr>
            <b/>
            <sz val="12"/>
            <color indexed="81"/>
            <rFont val="Tahoma"/>
            <family val="2"/>
          </rPr>
          <t>SSD</t>
        </r>
        <r>
          <rPr>
            <sz val="12"/>
            <color indexed="81"/>
            <rFont val="Tahoma"/>
            <family val="2"/>
          </rPr>
          <t xml:space="preserve"> is a valid number and if </t>
        </r>
        <r>
          <rPr>
            <b/>
            <sz val="12"/>
            <color indexed="81"/>
            <rFont val="Tahoma"/>
            <family val="2"/>
          </rPr>
          <t>Extended Distance</t>
        </r>
        <r>
          <rPr>
            <sz val="12"/>
            <color indexed="81"/>
            <rFont val="Tahoma"/>
            <family val="2"/>
          </rPr>
          <t xml:space="preserve"> is not selected, that </t>
        </r>
        <r>
          <rPr>
            <b/>
            <sz val="12"/>
            <color indexed="81"/>
            <rFont val="Tahoma"/>
            <family val="2"/>
          </rPr>
          <t>SSD</t>
        </r>
        <r>
          <rPr>
            <sz val="12"/>
            <color indexed="81"/>
            <rFont val="Tahoma"/>
            <family val="2"/>
          </rPr>
          <t xml:space="preserve"> is less than 100.
</t>
        </r>
      </text>
    </comment>
    <comment ref="C87" authorId="0">
      <text>
        <r>
          <rPr>
            <b/>
            <sz val="12"/>
            <color indexed="81"/>
            <rFont val="Tahoma"/>
            <family val="2"/>
          </rPr>
          <t xml:space="preserve">Extended SSD: </t>
        </r>
        <r>
          <rPr>
            <sz val="12"/>
            <color indexed="81"/>
            <rFont val="Tahoma"/>
            <family val="2"/>
          </rPr>
          <t xml:space="preserve">This value is TRUE if </t>
        </r>
        <r>
          <rPr>
            <b/>
            <sz val="12"/>
            <color indexed="81"/>
            <rFont val="Tahoma"/>
            <family val="2"/>
          </rPr>
          <t>Extended Distance</t>
        </r>
        <r>
          <rPr>
            <sz val="12"/>
            <color indexed="81"/>
            <rFont val="Tahoma"/>
            <family val="2"/>
          </rPr>
          <t xml:space="preserve"> is selected AND </t>
        </r>
        <r>
          <rPr>
            <b/>
            <sz val="12"/>
            <color indexed="81"/>
            <rFont val="Tahoma"/>
            <family val="2"/>
          </rPr>
          <t>SSD</t>
        </r>
        <r>
          <rPr>
            <sz val="12"/>
            <color indexed="81"/>
            <rFont val="Tahoma"/>
            <family val="2"/>
          </rPr>
          <t xml:space="preserve"> is greater than 100. If it is true then extended distance calculations will be performed for this field.  if it is true for all fields the </t>
        </r>
        <r>
          <rPr>
            <b/>
            <sz val="12"/>
            <color indexed="81"/>
            <rFont val="Tahoma"/>
            <family val="2"/>
          </rPr>
          <t>RDF label</t>
        </r>
        <r>
          <rPr>
            <sz val="12"/>
            <color indexed="81"/>
            <rFont val="Tahoma"/>
            <family val="2"/>
          </rPr>
          <t xml:space="preserve"> in </t>
        </r>
        <r>
          <rPr>
            <i/>
            <sz val="12"/>
            <color indexed="81"/>
            <rFont val="Tahoma"/>
            <family val="2"/>
          </rPr>
          <t>Data Entry</t>
        </r>
        <r>
          <rPr>
            <sz val="12"/>
            <color indexed="81"/>
            <rFont val="Tahoma"/>
            <family val="2"/>
          </rPr>
          <t xml:space="preserve"> is hidden.</t>
        </r>
      </text>
    </comment>
    <comment ref="C88" authorId="1">
      <text>
        <r>
          <rPr>
            <b/>
            <sz val="12"/>
            <color indexed="81"/>
            <rFont val="Tahoma"/>
            <family val="2"/>
          </rPr>
          <t xml:space="preserve">Reference Depth: </t>
        </r>
        <r>
          <rPr>
            <sz val="12"/>
            <color indexed="81"/>
            <rFont val="Tahoma"/>
            <family val="2"/>
          </rPr>
          <t xml:space="preserve">is obtained from </t>
        </r>
        <r>
          <rPr>
            <i/>
            <sz val="12"/>
            <color indexed="81"/>
            <rFont val="Tahoma"/>
            <family val="2"/>
          </rPr>
          <t>Data Entry</t>
        </r>
        <r>
          <rPr>
            <sz val="12"/>
            <color indexed="81"/>
            <rFont val="Tahoma"/>
            <family val="2"/>
          </rPr>
          <t xml:space="preserve">.  It is the depth from the surface to the pseudo-isocentre for extended SSD treatments.  
It is '#N/A' if the value in </t>
        </r>
        <r>
          <rPr>
            <i/>
            <sz val="12"/>
            <color indexed="81"/>
            <rFont val="Tahoma"/>
            <family val="2"/>
          </rPr>
          <t>Data Entry</t>
        </r>
        <r>
          <rPr>
            <sz val="12"/>
            <color indexed="81"/>
            <rFont val="Tahoma"/>
            <family val="2"/>
          </rPr>
          <t xml:space="preserve"> is blank. 
For normal treatments  (</t>
        </r>
        <r>
          <rPr>
            <b/>
            <sz val="12"/>
            <color indexed="81"/>
            <rFont val="Tahoma"/>
            <family val="2"/>
          </rPr>
          <t>SAD</t>
        </r>
        <r>
          <rPr>
            <sz val="12"/>
            <color indexed="81"/>
            <rFont val="Tahoma"/>
            <family val="2"/>
          </rPr>
          <t xml:space="preserve">=100, </t>
        </r>
        <r>
          <rPr>
            <b/>
            <sz val="12"/>
            <color indexed="81"/>
            <rFont val="Tahoma"/>
            <family val="2"/>
          </rPr>
          <t>SSD</t>
        </r>
        <r>
          <rPr>
            <sz val="12"/>
            <color indexed="81"/>
            <rFont val="Tahoma"/>
            <family val="2"/>
          </rPr>
          <t xml:space="preserve"> &lt; 100) it is not used.</t>
        </r>
      </text>
    </comment>
    <comment ref="C89" authorId="0">
      <text>
        <r>
          <rPr>
            <b/>
            <sz val="12"/>
            <color indexed="81"/>
            <rFont val="Tahoma"/>
            <family val="2"/>
          </rPr>
          <t xml:space="preserve">Valid Reference Depth: </t>
        </r>
        <r>
          <rPr>
            <sz val="12"/>
            <color indexed="81"/>
            <rFont val="Tahoma"/>
            <family val="2"/>
          </rPr>
          <t xml:space="preserve">Checks that the </t>
        </r>
        <r>
          <rPr>
            <b/>
            <sz val="12"/>
            <color indexed="81"/>
            <rFont val="Tahoma"/>
            <family val="2"/>
          </rPr>
          <t>Reference Depth</t>
        </r>
        <r>
          <rPr>
            <sz val="12"/>
            <color indexed="81"/>
            <rFont val="Tahoma"/>
            <family val="2"/>
          </rPr>
          <t xml:space="preserve"> is a valid number if </t>
        </r>
        <r>
          <rPr>
            <b/>
            <sz val="12"/>
            <color indexed="81"/>
            <rFont val="Tahoma"/>
            <family val="2"/>
          </rPr>
          <t>Extended SSD</t>
        </r>
        <r>
          <rPr>
            <sz val="12"/>
            <color indexed="81"/>
            <rFont val="Tahoma"/>
            <family val="2"/>
          </rPr>
          <t xml:space="preserve"> is TRUE.</t>
        </r>
      </text>
    </comment>
    <comment ref="C90" authorId="1">
      <text>
        <r>
          <rPr>
            <b/>
            <sz val="12"/>
            <color indexed="81"/>
            <rFont val="Tahoma"/>
            <family val="2"/>
          </rPr>
          <t>Source to Target Distance:</t>
        </r>
        <r>
          <rPr>
            <sz val="12"/>
            <color indexed="81"/>
            <rFont val="Tahoma"/>
            <family val="2"/>
          </rPr>
          <t xml:space="preserve"> If extended distance calculations are being done, it is </t>
        </r>
        <r>
          <rPr>
            <b/>
            <sz val="12"/>
            <color indexed="81"/>
            <rFont val="Tahoma"/>
            <family val="2"/>
          </rPr>
          <t>SSD</t>
        </r>
        <r>
          <rPr>
            <sz val="12"/>
            <color indexed="81"/>
            <rFont val="Tahoma"/>
            <family val="2"/>
          </rPr>
          <t xml:space="preserve"> + </t>
        </r>
        <r>
          <rPr>
            <b/>
            <sz val="12"/>
            <color indexed="81"/>
            <rFont val="Tahoma"/>
            <family val="2"/>
          </rPr>
          <t>Reference Depth</t>
        </r>
        <r>
          <rPr>
            <sz val="12"/>
            <color indexed="81"/>
            <rFont val="Tahoma"/>
            <family val="2"/>
          </rPr>
          <t>, otherwise it is 100.</t>
        </r>
      </text>
    </comment>
    <comment ref="C91" authorId="0">
      <text>
        <r>
          <rPr>
            <b/>
            <sz val="12"/>
            <color indexed="81"/>
            <rFont val="Tahoma"/>
            <family val="2"/>
          </rPr>
          <t xml:space="preserve">Inverse Square: </t>
        </r>
        <r>
          <rPr>
            <sz val="12"/>
            <color indexed="81"/>
            <rFont val="Tahoma"/>
            <family val="2"/>
          </rPr>
          <t xml:space="preserve"> if </t>
        </r>
        <r>
          <rPr>
            <b/>
            <sz val="12"/>
            <color indexed="81"/>
            <rFont val="Tahoma"/>
            <family val="2"/>
          </rPr>
          <t>Extended Distance</t>
        </r>
        <r>
          <rPr>
            <sz val="12"/>
            <color indexed="81"/>
            <rFont val="Tahoma"/>
            <family val="2"/>
          </rPr>
          <t xml:space="preserve"> is FALSE, it is 1.0.  
If </t>
        </r>
        <r>
          <rPr>
            <b/>
            <sz val="12"/>
            <color indexed="81"/>
            <rFont val="Tahoma"/>
            <family val="2"/>
          </rPr>
          <t>Extended Distance</t>
        </r>
        <r>
          <rPr>
            <sz val="12"/>
            <color indexed="81"/>
            <rFont val="Tahoma"/>
            <family val="2"/>
          </rPr>
          <t xml:space="preserve"> is TRUE, it is the inverse-square distance correction: 
</t>
        </r>
        <r>
          <rPr>
            <b/>
            <sz val="12"/>
            <color indexed="81"/>
            <rFont val="Tahoma"/>
            <family val="2"/>
          </rPr>
          <t>Effective SAD</t>
        </r>
        <r>
          <rPr>
            <sz val="12"/>
            <color indexed="81"/>
            <rFont val="Tahoma"/>
            <family val="2"/>
          </rPr>
          <t>/(</t>
        </r>
        <r>
          <rPr>
            <b/>
            <sz val="12"/>
            <color indexed="81"/>
            <rFont val="Tahoma"/>
            <family val="2"/>
          </rPr>
          <t>STD</t>
        </r>
        <r>
          <rPr>
            <sz val="12"/>
            <color indexed="81"/>
            <rFont val="Tahoma"/>
            <family val="2"/>
          </rPr>
          <t>-(100-</t>
        </r>
        <r>
          <rPr>
            <b/>
            <sz val="12"/>
            <color indexed="81"/>
            <rFont val="Tahoma"/>
            <family val="2"/>
          </rPr>
          <t>Effective SAD</t>
        </r>
        <r>
          <rPr>
            <sz val="12"/>
            <color indexed="81"/>
            <rFont val="Tahoma"/>
            <family val="2"/>
          </rPr>
          <t xml:space="preserve">)))^2 
</t>
        </r>
      </text>
    </comment>
    <comment ref="C92" authorId="0">
      <text>
        <r>
          <rPr>
            <b/>
            <sz val="12"/>
            <color indexed="81"/>
            <rFont val="Tahoma"/>
            <family val="2"/>
          </rPr>
          <t xml:space="preserve">Target Depth: </t>
        </r>
        <r>
          <rPr>
            <sz val="12"/>
            <color indexed="81"/>
            <rFont val="Tahoma"/>
            <family val="2"/>
          </rPr>
          <t xml:space="preserve">If </t>
        </r>
        <r>
          <rPr>
            <b/>
            <sz val="12"/>
            <color indexed="81"/>
            <rFont val="Tahoma"/>
            <family val="2"/>
          </rPr>
          <t>Extended SSD</t>
        </r>
        <r>
          <rPr>
            <sz val="12"/>
            <color indexed="81"/>
            <rFont val="Tahoma"/>
            <family val="2"/>
          </rPr>
          <t xml:space="preserve"> is TRUE, it is </t>
        </r>
        <r>
          <rPr>
            <b/>
            <sz val="12"/>
            <color indexed="81"/>
            <rFont val="Tahoma"/>
            <family val="2"/>
          </rPr>
          <t>Reference Depth</t>
        </r>
        <r>
          <rPr>
            <sz val="12"/>
            <color indexed="81"/>
            <rFont val="Tahoma"/>
            <family val="2"/>
          </rPr>
          <t>,  otherwise it is 100-</t>
        </r>
        <r>
          <rPr>
            <b/>
            <sz val="12"/>
            <color indexed="81"/>
            <rFont val="Tahoma"/>
            <family val="2"/>
          </rPr>
          <t xml:space="preserve">SSD
</t>
        </r>
      </text>
    </comment>
    <comment ref="B94" authorId="1">
      <text>
        <r>
          <rPr>
            <sz val="12"/>
            <color indexed="81"/>
            <rFont val="Tahoma"/>
            <family val="2"/>
          </rPr>
          <t xml:space="preserve">A link to the </t>
        </r>
        <r>
          <rPr>
            <u/>
            <sz val="12"/>
            <color indexed="81"/>
            <rFont val="Tahoma"/>
            <family val="2"/>
          </rPr>
          <t>Bolus Tick box</t>
        </r>
        <r>
          <rPr>
            <sz val="12"/>
            <color indexed="81"/>
            <rFont val="Tahoma"/>
            <family val="2"/>
          </rPr>
          <t xml:space="preserve"> in </t>
        </r>
        <r>
          <rPr>
            <i/>
            <sz val="12"/>
            <color indexed="81"/>
            <rFont val="Tahoma"/>
            <family val="2"/>
          </rPr>
          <t>Data Entry</t>
        </r>
        <r>
          <rPr>
            <sz val="12"/>
            <color indexed="81"/>
            <rFont val="Tahoma"/>
            <family val="2"/>
          </rPr>
          <t>.
TRUE indicates that Bolus Entry is enabled.
The default is FALSE</t>
        </r>
      </text>
    </comment>
    <comment ref="C94" authorId="0">
      <text>
        <r>
          <rPr>
            <b/>
            <sz val="12"/>
            <color indexed="81"/>
            <rFont val="Tahoma"/>
            <family val="2"/>
          </rPr>
          <t xml:space="preserve">Bolus: </t>
        </r>
        <r>
          <rPr>
            <sz val="12"/>
            <color indexed="81"/>
            <rFont val="Tahoma"/>
            <family val="2"/>
          </rPr>
          <t xml:space="preserve"> This table calculates and tests effective bolus thickness if bolus is selected</t>
        </r>
      </text>
    </comment>
    <comment ref="C95" authorId="1">
      <text>
        <r>
          <rPr>
            <b/>
            <sz val="12"/>
            <color indexed="81"/>
            <rFont val="Tahoma"/>
            <family val="2"/>
          </rPr>
          <t xml:space="preserve">Nominal Bolus Thickness: </t>
        </r>
        <r>
          <rPr>
            <sz val="12"/>
            <color indexed="81"/>
            <rFont val="Tahoma"/>
            <family val="2"/>
          </rPr>
          <t xml:space="preserve">is obtained from </t>
        </r>
        <r>
          <rPr>
            <i/>
            <sz val="12"/>
            <color indexed="81"/>
            <rFont val="Tahoma"/>
            <family val="2"/>
          </rPr>
          <t>Data Entry</t>
        </r>
        <r>
          <rPr>
            <sz val="12"/>
            <color indexed="81"/>
            <rFont val="Tahoma"/>
            <family val="2"/>
          </rPr>
          <t xml:space="preserve">.  
If the </t>
        </r>
        <r>
          <rPr>
            <u/>
            <sz val="12"/>
            <color indexed="81"/>
            <rFont val="Tahoma"/>
            <family val="2"/>
          </rPr>
          <t>Bolus Tick box</t>
        </r>
        <r>
          <rPr>
            <sz val="12"/>
            <color indexed="81"/>
            <rFont val="Tahoma"/>
            <family val="2"/>
          </rPr>
          <t xml:space="preserve"> is not selected, then this value is ignored.  
If the </t>
        </r>
        <r>
          <rPr>
            <u/>
            <sz val="12"/>
            <color indexed="81"/>
            <rFont val="Tahoma"/>
            <family val="2"/>
          </rPr>
          <t xml:space="preserve">Bolus Tick box </t>
        </r>
        <r>
          <rPr>
            <sz val="12"/>
            <color indexed="81"/>
            <rFont val="Tahoma"/>
            <family val="2"/>
          </rPr>
          <t xml:space="preserve">is selected but no </t>
        </r>
        <r>
          <rPr>
            <b/>
            <sz val="12"/>
            <color indexed="81"/>
            <rFont val="Tahoma"/>
            <family val="2"/>
          </rPr>
          <t>Nominal Bolus Thickness</t>
        </r>
        <r>
          <rPr>
            <sz val="12"/>
            <color indexed="81"/>
            <rFont val="Tahoma"/>
            <family val="2"/>
          </rPr>
          <t xml:space="preserve"> value given in </t>
        </r>
        <r>
          <rPr>
            <i/>
            <sz val="12"/>
            <color indexed="81"/>
            <rFont val="Tahoma"/>
            <family val="2"/>
          </rPr>
          <t>Data Entry</t>
        </r>
        <r>
          <rPr>
            <sz val="12"/>
            <color indexed="81"/>
            <rFont val="Tahoma"/>
            <family val="2"/>
          </rPr>
          <t>, it is treated as if no bolus is present for this field.</t>
        </r>
      </text>
    </comment>
    <comment ref="C96" authorId="0">
      <text>
        <r>
          <rPr>
            <b/>
            <sz val="12"/>
            <color indexed="81"/>
            <rFont val="Tahoma"/>
            <family val="2"/>
          </rPr>
          <t>Bolus Present:</t>
        </r>
        <r>
          <rPr>
            <sz val="12"/>
            <color indexed="81"/>
            <rFont val="Tahoma"/>
            <family val="2"/>
          </rPr>
          <t xml:space="preserve"> Tests to see if bolus is selected and </t>
        </r>
        <r>
          <rPr>
            <b/>
            <sz val="12"/>
            <color indexed="81"/>
            <rFont val="Tahoma"/>
            <family val="2"/>
          </rPr>
          <t>Nominal Bolus Thickness</t>
        </r>
        <r>
          <rPr>
            <sz val="12"/>
            <color indexed="81"/>
            <rFont val="Tahoma"/>
            <family val="2"/>
          </rPr>
          <t xml:space="preserve"> is a number &gt; 0 .   
If it is TRUE, then the </t>
        </r>
        <r>
          <rPr>
            <b/>
            <sz val="12"/>
            <color indexed="81"/>
            <rFont val="Tahoma"/>
            <family val="2"/>
          </rPr>
          <t xml:space="preserve">Effective Bolus Thickness </t>
        </r>
        <r>
          <rPr>
            <sz val="12"/>
            <color indexed="81"/>
            <rFont val="Tahoma"/>
            <family val="2"/>
          </rPr>
          <t>for this field will be used.</t>
        </r>
        <r>
          <rPr>
            <b/>
            <sz val="12"/>
            <color indexed="81"/>
            <rFont val="Tahoma"/>
            <family val="2"/>
          </rPr>
          <t xml:space="preserve">
</t>
        </r>
      </text>
    </comment>
    <comment ref="C97" authorId="1">
      <text>
        <r>
          <rPr>
            <b/>
            <sz val="12"/>
            <color indexed="81"/>
            <rFont val="Tahoma"/>
            <family val="2"/>
          </rPr>
          <t xml:space="preserve">Surface to Bolus Thickness: </t>
        </r>
        <r>
          <rPr>
            <sz val="12"/>
            <color indexed="81"/>
            <rFont val="Tahoma"/>
            <family val="2"/>
          </rPr>
          <t xml:space="preserve">This value is obtained from Data Entry. </t>
        </r>
      </text>
    </comment>
    <comment ref="E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8" authorId="1">
      <text>
        <r>
          <rPr>
            <b/>
            <sz val="12"/>
            <color indexed="81"/>
            <rFont val="Tahoma"/>
            <family val="2"/>
          </rPr>
          <t xml:space="preserve">Effective Bolus Thickness: </t>
        </r>
        <r>
          <rPr>
            <sz val="12"/>
            <color indexed="81"/>
            <rFont val="Tahoma"/>
            <family val="2"/>
          </rPr>
          <t xml:space="preserve">This value is calculated by the difference between the </t>
        </r>
        <r>
          <rPr>
            <b/>
            <sz val="12"/>
            <color indexed="81"/>
            <rFont val="Tahoma"/>
            <family val="2"/>
          </rPr>
          <t xml:space="preserve">SSD </t>
        </r>
        <r>
          <rPr>
            <sz val="12"/>
            <color indexed="81"/>
            <rFont val="Tahoma"/>
            <family val="2"/>
          </rPr>
          <t xml:space="preserve">and the </t>
        </r>
        <r>
          <rPr>
            <b/>
            <sz val="12"/>
            <color indexed="81"/>
            <rFont val="Tahoma"/>
            <family val="2"/>
          </rPr>
          <t>Surface to Bolus Distance.</t>
        </r>
      </text>
    </comment>
    <comment ref="E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9" authorId="0">
      <text>
        <r>
          <rPr>
            <b/>
            <sz val="12"/>
            <color indexed="81"/>
            <rFont val="Tahoma"/>
            <family val="2"/>
          </rPr>
          <t xml:space="preserve">Max Expected Bolus Thickness:  </t>
        </r>
        <r>
          <rPr>
            <sz val="12"/>
            <color indexed="81"/>
            <rFont val="Tahoma"/>
            <family val="2"/>
          </rPr>
          <t xml:space="preserve">Is used for a "sanity check" on the </t>
        </r>
        <r>
          <rPr>
            <b/>
            <sz val="12"/>
            <color indexed="81"/>
            <rFont val="Tahoma"/>
            <family val="2"/>
          </rPr>
          <t>Effective Bolus Thickness</t>
        </r>
        <r>
          <rPr>
            <sz val="12"/>
            <color indexed="81"/>
            <rFont val="Tahoma"/>
            <family val="2"/>
          </rPr>
          <t xml:space="preserve">.  
It calculates the expected bolus thickness based on the </t>
        </r>
        <r>
          <rPr>
            <b/>
            <sz val="12"/>
            <color indexed="81"/>
            <rFont val="Tahoma"/>
            <family val="2"/>
          </rPr>
          <t>Nominal Bolus Thickness</t>
        </r>
        <r>
          <rPr>
            <sz val="12"/>
            <color indexed="81"/>
            <rFont val="Tahoma"/>
            <family val="2"/>
          </rPr>
          <t xml:space="preserve"> and a gantry angle of 70 degrees from normal incidence:  </t>
        </r>
        <r>
          <rPr>
            <b/>
            <sz val="12"/>
            <color indexed="81"/>
            <rFont val="Tahoma"/>
            <family val="2"/>
          </rPr>
          <t xml:space="preserve"> Nominal Bolus Thickness</t>
        </r>
        <r>
          <rPr>
            <sz val="12"/>
            <color indexed="81"/>
            <rFont val="Tahoma"/>
            <family val="2"/>
          </rPr>
          <t>/cos(70)</t>
        </r>
        <r>
          <rPr>
            <b/>
            <sz val="12"/>
            <color indexed="81"/>
            <rFont val="Tahoma"/>
            <family val="2"/>
          </rPr>
          <t xml:space="preserve">
</t>
        </r>
      </text>
    </comment>
    <comment ref="C100" authorId="1">
      <text>
        <r>
          <rPr>
            <b/>
            <sz val="12"/>
            <color indexed="81"/>
            <rFont val="Arial"/>
            <family val="2"/>
          </rPr>
          <t xml:space="preserve">Thickness Reasonable: </t>
        </r>
        <r>
          <rPr>
            <sz val="12"/>
            <color indexed="81"/>
            <rFont val="Arial"/>
            <family val="2"/>
          </rPr>
          <t xml:space="preserve">If </t>
        </r>
        <r>
          <rPr>
            <b/>
            <sz val="12"/>
            <color indexed="81"/>
            <rFont val="Arial"/>
            <family val="2"/>
          </rPr>
          <t xml:space="preserve">Bolus Present, Thickness Reasonable </t>
        </r>
        <r>
          <rPr>
            <sz val="12"/>
            <color indexed="81"/>
            <rFont val="Arial"/>
            <family val="2"/>
          </rPr>
          <t xml:space="preserve">tests to see if the </t>
        </r>
        <r>
          <rPr>
            <b/>
            <sz val="12"/>
            <color indexed="81"/>
            <rFont val="Arial"/>
            <family val="2"/>
          </rPr>
          <t>Effective Bolus Thickness</t>
        </r>
        <r>
          <rPr>
            <sz val="12"/>
            <color indexed="81"/>
            <rFont val="Arial"/>
            <family val="2"/>
          </rPr>
          <t xml:space="preserve"> is less than the </t>
        </r>
        <r>
          <rPr>
            <b/>
            <sz val="12"/>
            <color indexed="81"/>
            <rFont val="Arial"/>
            <family val="2"/>
          </rPr>
          <t xml:space="preserve">Max Expected Bolus Thickness. 
</t>
        </r>
        <r>
          <rPr>
            <sz val="12"/>
            <color indexed="81"/>
            <rFont val="Arial"/>
            <family val="2"/>
          </rPr>
          <t>If it is FALSE a warning is given, but MUs will still be calculated.</t>
        </r>
      </text>
    </comment>
    <comment ref="C101" authorId="1">
      <text>
        <r>
          <rPr>
            <b/>
            <sz val="12"/>
            <color indexed="81"/>
            <rFont val="Arial"/>
            <family val="2"/>
          </rPr>
          <t xml:space="preserve">Thickness Valid: </t>
        </r>
        <r>
          <rPr>
            <sz val="12"/>
            <color indexed="81"/>
            <rFont val="Arial"/>
            <family val="2"/>
          </rPr>
          <t xml:space="preserve">If </t>
        </r>
        <r>
          <rPr>
            <b/>
            <sz val="12"/>
            <color indexed="81"/>
            <rFont val="Arial"/>
            <family val="2"/>
          </rPr>
          <t>Bolus Present, Thickness Valid</t>
        </r>
        <r>
          <rPr>
            <sz val="12"/>
            <color indexed="81"/>
            <rFont val="Arial"/>
            <family val="2"/>
          </rPr>
          <t xml:space="preserve"> tests to see if </t>
        </r>
        <r>
          <rPr>
            <b/>
            <sz val="12"/>
            <color indexed="81"/>
            <rFont val="Arial"/>
            <family val="2"/>
          </rPr>
          <t xml:space="preserve">Effective Bolus Thickness </t>
        </r>
        <r>
          <rPr>
            <sz val="12"/>
            <color indexed="81"/>
            <rFont val="Arial"/>
            <family val="2"/>
          </rPr>
          <t xml:space="preserve">is greater or equal to </t>
        </r>
        <r>
          <rPr>
            <b/>
            <sz val="12"/>
            <color indexed="81"/>
            <rFont val="Arial"/>
            <family val="2"/>
          </rPr>
          <t>Nominal Bolus Thickness</t>
        </r>
        <r>
          <rPr>
            <sz val="12"/>
            <color indexed="81"/>
            <rFont val="Arial"/>
            <family val="2"/>
          </rPr>
          <t>.  
If FALSE, MUs will not be calculated.</t>
        </r>
      </text>
    </comment>
    <comment ref="B103" authorId="1">
      <text>
        <r>
          <rPr>
            <sz val="12"/>
            <color indexed="81"/>
            <rFont val="Tahoma"/>
            <family val="2"/>
          </rPr>
          <t xml:space="preserve">Indicates if the "other depth" correction is being used.  
It is TRUE 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indicating </t>
        </r>
        <r>
          <rPr>
            <b/>
            <sz val="12"/>
            <color indexed="81"/>
            <rFont val="Tahoma"/>
            <family val="2"/>
          </rPr>
          <t>Depth Type</t>
        </r>
        <r>
          <rPr>
            <sz val="12"/>
            <color indexed="81"/>
            <rFont val="Tahoma"/>
            <family val="2"/>
          </rPr>
          <t xml:space="preserve"> in </t>
        </r>
        <r>
          <rPr>
            <i/>
            <sz val="12"/>
            <color indexed="81"/>
            <rFont val="Tahoma"/>
            <family val="2"/>
          </rPr>
          <t>Data Entry</t>
        </r>
        <r>
          <rPr>
            <sz val="12"/>
            <color indexed="81"/>
            <rFont val="Tahoma"/>
            <family val="2"/>
          </rPr>
          <t xml:space="preserve"> has been changed.</t>
        </r>
      </text>
    </comment>
    <comment ref="C103" authorId="0">
      <text>
        <r>
          <rPr>
            <b/>
            <sz val="12"/>
            <color indexed="81"/>
            <rFont val="Tahoma"/>
            <family val="2"/>
          </rPr>
          <t xml:space="preserve">Other Depth: Other Depth:  </t>
        </r>
        <r>
          <rPr>
            <sz val="12"/>
            <color indexed="81"/>
            <rFont val="Tahoma"/>
            <family val="2"/>
          </rPr>
          <t>This table processes other depth corrections if used.</t>
        </r>
      </text>
    </comment>
    <comment ref="C104" authorId="0">
      <text>
        <r>
          <rPr>
            <b/>
            <sz val="12"/>
            <color indexed="81"/>
            <rFont val="Tahoma"/>
            <family val="2"/>
          </rPr>
          <t xml:space="preserve">Other Depth Type: </t>
        </r>
        <r>
          <rPr>
            <sz val="12"/>
            <color indexed="81"/>
            <rFont val="Tahoma"/>
            <family val="2"/>
          </rPr>
          <t xml:space="preserve">is obtained from the "Other Depth Type descriptor in </t>
        </r>
        <r>
          <rPr>
            <i/>
            <sz val="12"/>
            <color indexed="81"/>
            <rFont val="Tahoma"/>
            <family val="2"/>
          </rPr>
          <t>Data Entry</t>
        </r>
        <r>
          <rPr>
            <sz val="12"/>
            <color indexed="81"/>
            <rFont val="Tahoma"/>
            <family val="2"/>
          </rPr>
          <t xml:space="preserve">.  
It is used to determine if an Other Depth correction is being used.
</t>
        </r>
      </text>
    </comment>
    <comment ref="C105" authorId="0">
      <text>
        <r>
          <rPr>
            <b/>
            <sz val="12"/>
            <color indexed="81"/>
            <rFont val="Tahoma"/>
            <family val="2"/>
          </rPr>
          <t>Other Depth Reference:</t>
        </r>
        <r>
          <rPr>
            <sz val="12"/>
            <color indexed="81"/>
            <rFont val="Tahoma"/>
            <family val="2"/>
          </rPr>
          <t xml:space="preserve"> is the default value for other depth type 'Type'.  
It is used to check whether </t>
        </r>
        <r>
          <rPr>
            <b/>
            <sz val="12"/>
            <color indexed="81"/>
            <rFont val="Tahoma"/>
            <family val="2"/>
          </rPr>
          <t>Other Depth Type</t>
        </r>
        <r>
          <rPr>
            <sz val="12"/>
            <color indexed="81"/>
            <rFont val="Tahoma"/>
            <family val="2"/>
          </rPr>
          <t xml:space="preserve"> has been modified.</t>
        </r>
      </text>
    </comment>
    <comment ref="C106" authorId="1">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(TRUE), the value is obtained from the </t>
        </r>
        <r>
          <rPr>
            <b/>
            <sz val="12"/>
            <color indexed="81"/>
            <rFont val="Tahoma"/>
            <family val="2"/>
          </rPr>
          <t>Other Depth</t>
        </r>
        <r>
          <rPr>
            <sz val="12"/>
            <color indexed="81"/>
            <rFont val="Tahoma"/>
            <family val="2"/>
          </rPr>
          <t xml:space="preserve"> value in </t>
        </r>
        <r>
          <rPr>
            <i/>
            <sz val="12"/>
            <color indexed="81"/>
            <rFont val="Tahoma"/>
            <family val="2"/>
          </rPr>
          <t>Data Entry</t>
        </r>
        <r>
          <rPr>
            <sz val="12"/>
            <color indexed="81"/>
            <rFont val="Tahoma"/>
            <family val="2"/>
          </rPr>
          <t>. 
Otherwise it is 0.0</t>
        </r>
      </text>
    </comment>
    <comment ref="C107" authorId="0">
      <text>
        <r>
          <rPr>
            <b/>
            <sz val="12"/>
            <color indexed="81"/>
            <rFont val="Tahoma"/>
            <family val="2"/>
          </rPr>
          <t>Max Expected Other Depth</t>
        </r>
        <r>
          <rPr>
            <sz val="12"/>
            <color indexed="81"/>
            <rFont val="Tahoma"/>
            <family val="2"/>
          </rPr>
          <t xml:space="preserve">: is the largest expected value for </t>
        </r>
        <r>
          <rPr>
            <b/>
            <sz val="12"/>
            <color indexed="81"/>
            <rFont val="Tahoma"/>
            <family val="2"/>
          </rPr>
          <t>Other Depth</t>
        </r>
        <r>
          <rPr>
            <sz val="12"/>
            <color indexed="81"/>
            <rFont val="Tahoma"/>
            <family val="2"/>
          </rPr>
          <t xml:space="preserve">.  It is used for a sanity check on </t>
        </r>
        <r>
          <rPr>
            <b/>
            <sz val="12"/>
            <color indexed="81"/>
            <rFont val="Tahoma"/>
            <family val="2"/>
          </rPr>
          <t>Other Depth</t>
        </r>
        <r>
          <rPr>
            <sz val="12"/>
            <color indexed="81"/>
            <rFont val="Tahoma"/>
            <family val="2"/>
          </rPr>
          <t xml:space="preserve">.
</t>
        </r>
      </text>
    </comment>
    <comment ref="C108" authorId="0">
      <text>
        <r>
          <rPr>
            <b/>
            <sz val="9"/>
            <color indexed="81"/>
            <rFont val="Tahoma"/>
            <family val="2"/>
          </rPr>
          <t xml:space="preserve">Reasonable Other Depth: </t>
        </r>
        <r>
          <rPr>
            <sz val="9"/>
            <color indexed="81"/>
            <rFont val="Tahoma"/>
            <family val="2"/>
          </rPr>
          <t xml:space="preserve">Checks that the </t>
        </r>
        <r>
          <rPr>
            <b/>
            <sz val="9"/>
            <color indexed="81"/>
            <rFont val="Tahoma"/>
            <family val="2"/>
          </rPr>
          <t xml:space="preserve">Other Depth </t>
        </r>
        <r>
          <rPr>
            <sz val="9"/>
            <color indexed="81"/>
            <rFont val="Tahoma"/>
            <family val="2"/>
          </rPr>
          <t xml:space="preserve">Value is a number and is less than the </t>
        </r>
        <r>
          <rPr>
            <b/>
            <sz val="9"/>
            <color indexed="81"/>
            <rFont val="Tahoma"/>
            <family val="2"/>
          </rPr>
          <t>Max Expected Other Depth</t>
        </r>
      </text>
    </comment>
    <comment ref="B110" authorId="0">
      <text>
        <r>
          <rPr>
            <b/>
            <sz val="12"/>
            <color indexed="81"/>
            <rFont val="Tahoma"/>
            <family val="2"/>
          </rPr>
          <t xml:space="preserve"> Combined Depths: </t>
        </r>
        <r>
          <rPr>
            <sz val="12"/>
            <color indexed="81"/>
            <rFont val="Tahoma"/>
            <family val="2"/>
          </rPr>
          <t xml:space="preserve">This table combines depth values from </t>
        </r>
        <r>
          <rPr>
            <b/>
            <u/>
            <sz val="12"/>
            <color indexed="81"/>
            <rFont val="Tahoma"/>
            <family val="2"/>
          </rPr>
          <t>SSD &amp; Extended Distance</t>
        </r>
        <r>
          <rPr>
            <sz val="12"/>
            <color indexed="81"/>
            <rFont val="Tahoma"/>
            <family val="2"/>
          </rPr>
          <t xml:space="preserve">, </t>
        </r>
        <r>
          <rPr>
            <b/>
            <u/>
            <sz val="12"/>
            <color indexed="81"/>
            <rFont val="Tahoma"/>
            <family val="2"/>
          </rPr>
          <t>Bolus</t>
        </r>
        <r>
          <rPr>
            <sz val="12"/>
            <color indexed="81"/>
            <rFont val="Tahoma"/>
            <family val="2"/>
          </rPr>
          <t xml:space="preserve"> and </t>
        </r>
        <r>
          <rPr>
            <b/>
            <u/>
            <sz val="12"/>
            <color indexed="81"/>
            <rFont val="Tahoma"/>
            <family val="2"/>
          </rPr>
          <t>Other Depth</t>
        </r>
        <r>
          <rPr>
            <sz val="12"/>
            <color indexed="81"/>
            <rFont val="Tahoma"/>
            <family val="2"/>
          </rPr>
          <t xml:space="preserve"> to calculate and test the final depth to be used for MU calculations.</t>
        </r>
        <r>
          <rPr>
            <b/>
            <sz val="12"/>
            <color indexed="81"/>
            <rFont val="Tahoma"/>
            <family val="2"/>
          </rPr>
          <t xml:space="preserve">
</t>
        </r>
      </text>
    </comment>
    <comment ref="C111" authorId="0">
      <text>
        <r>
          <rPr>
            <b/>
            <sz val="12"/>
            <color indexed="81"/>
            <rFont val="Tahoma"/>
            <family val="2"/>
          </rPr>
          <t xml:space="preserve">Target Depth: </t>
        </r>
        <r>
          <rPr>
            <sz val="12"/>
            <color indexed="81"/>
            <rFont val="Tahoma"/>
            <family val="2"/>
          </rPr>
          <t xml:space="preserve">The depth value calculated in the </t>
        </r>
        <r>
          <rPr>
            <b/>
            <u/>
            <sz val="12"/>
            <color indexed="81"/>
            <rFont val="Tahoma"/>
            <family val="2"/>
          </rPr>
          <t>SSD &amp; Extended Distance</t>
        </r>
        <r>
          <rPr>
            <sz val="12"/>
            <color indexed="81"/>
            <rFont val="Tahoma"/>
            <family val="2"/>
          </rPr>
          <t xml:space="preserve"> table.</t>
        </r>
        <r>
          <rPr>
            <b/>
            <sz val="12"/>
            <color indexed="81"/>
            <rFont val="Tahoma"/>
            <family val="2"/>
          </rPr>
          <t xml:space="preserve">
</t>
        </r>
      </text>
    </comment>
    <comment ref="C112" authorId="0">
      <text>
        <r>
          <rPr>
            <b/>
            <sz val="12"/>
            <color indexed="81"/>
            <rFont val="Tahoma"/>
            <family val="2"/>
          </rPr>
          <t xml:space="preserve">Effective Bolus Thickness: </t>
        </r>
        <r>
          <rPr>
            <sz val="12"/>
            <color indexed="81"/>
            <rFont val="Tahoma"/>
            <family val="2"/>
          </rPr>
          <t xml:space="preserve">If </t>
        </r>
        <r>
          <rPr>
            <b/>
            <sz val="12"/>
            <color indexed="81"/>
            <rFont val="Tahoma"/>
            <family val="2"/>
          </rPr>
          <t>Bolus Present</t>
        </r>
        <r>
          <rPr>
            <sz val="12"/>
            <color indexed="81"/>
            <rFont val="Tahoma"/>
            <family val="2"/>
          </rPr>
          <t xml:space="preserve">, The effective bolus thickness value calculated in the </t>
        </r>
        <r>
          <rPr>
            <b/>
            <u/>
            <sz val="12"/>
            <color indexed="81"/>
            <rFont val="Tahoma"/>
            <family val="2"/>
          </rPr>
          <t>Bolus</t>
        </r>
        <r>
          <rPr>
            <b/>
            <sz val="12"/>
            <color indexed="81"/>
            <rFont val="Tahoma"/>
            <family val="2"/>
          </rPr>
          <t xml:space="preserve"> </t>
        </r>
        <r>
          <rPr>
            <sz val="12"/>
            <color indexed="81"/>
            <rFont val="Tahoma"/>
            <family val="2"/>
          </rPr>
          <t>Table.</t>
        </r>
        <r>
          <rPr>
            <b/>
            <sz val="12"/>
            <color indexed="81"/>
            <rFont val="Tahoma"/>
            <family val="2"/>
          </rPr>
          <t xml:space="preserve">
</t>
        </r>
      </text>
    </comment>
    <comment ref="C113" authorId="0">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"entered", The depth correction value obtained from the </t>
        </r>
        <r>
          <rPr>
            <b/>
            <u/>
            <sz val="12"/>
            <color indexed="81"/>
            <rFont val="Tahoma"/>
            <family val="2"/>
          </rPr>
          <t>Other Depth</t>
        </r>
        <r>
          <rPr>
            <sz val="12"/>
            <color indexed="81"/>
            <rFont val="Tahoma"/>
            <family val="2"/>
          </rPr>
          <t xml:space="preserve"> table.</t>
        </r>
        <r>
          <rPr>
            <b/>
            <sz val="12"/>
            <color indexed="81"/>
            <rFont val="Tahoma"/>
            <family val="2"/>
          </rPr>
          <t xml:space="preserve">
</t>
        </r>
        <r>
          <rPr>
            <sz val="12"/>
            <color indexed="81"/>
            <rFont val="Tahoma"/>
            <family val="2"/>
          </rPr>
          <t xml:space="preserve">
</t>
        </r>
      </text>
    </comment>
    <comment ref="C114" authorId="1">
      <text>
        <r>
          <rPr>
            <b/>
            <sz val="12"/>
            <color indexed="81"/>
            <rFont val="Tahoma"/>
            <family val="2"/>
          </rPr>
          <t>Calc Depth</t>
        </r>
        <r>
          <rPr>
            <sz val="12"/>
            <color indexed="81"/>
            <rFont val="Tahoma"/>
            <family val="2"/>
          </rPr>
          <t xml:space="preserve">: is the sum of </t>
        </r>
        <r>
          <rPr>
            <b/>
            <sz val="12"/>
            <color indexed="81"/>
            <rFont val="Tahoma"/>
            <family val="2"/>
          </rPr>
          <t>Target Depth</t>
        </r>
        <r>
          <rPr>
            <sz val="12"/>
            <color indexed="81"/>
            <rFont val="Tahoma"/>
            <family val="2"/>
          </rPr>
          <t xml:space="preserve">,  </t>
        </r>
        <r>
          <rPr>
            <b/>
            <sz val="12"/>
            <color indexed="81"/>
            <rFont val="Tahoma"/>
            <family val="2"/>
          </rPr>
          <t>Effective Bolus Thickness</t>
        </r>
        <r>
          <rPr>
            <sz val="12"/>
            <color indexed="81"/>
            <rFont val="Tahoma"/>
            <family val="2"/>
          </rPr>
          <t xml:space="preserve">  (if Present) and </t>
        </r>
        <r>
          <rPr>
            <b/>
            <sz val="12"/>
            <color indexed="81"/>
            <rFont val="Tahoma"/>
            <family val="2"/>
          </rPr>
          <t>Other Depth</t>
        </r>
        <r>
          <rPr>
            <sz val="12"/>
            <color indexed="81"/>
            <rFont val="Tahoma"/>
            <family val="2"/>
          </rPr>
          <t xml:space="preserve"> (if Present)
</t>
        </r>
      </text>
    </comment>
    <comment ref="C115" authorId="0">
      <text>
        <r>
          <rPr>
            <b/>
            <sz val="12"/>
            <color indexed="81"/>
            <rFont val="Tahoma"/>
            <family val="2"/>
          </rPr>
          <t xml:space="preserve">Valid Depth Range: </t>
        </r>
        <r>
          <rPr>
            <sz val="12"/>
            <color indexed="81"/>
            <rFont val="Tahoma"/>
            <family val="2"/>
          </rPr>
          <t xml:space="preserve">Compares </t>
        </r>
        <r>
          <rPr>
            <b/>
            <sz val="12"/>
            <color indexed="81"/>
            <rFont val="Tahoma"/>
            <family val="2"/>
          </rPr>
          <t>Calc Depth</t>
        </r>
        <r>
          <rPr>
            <sz val="12"/>
            <color indexed="81"/>
            <rFont val="Tahoma"/>
            <family val="2"/>
          </rPr>
          <t xml:space="preserve"> to the values in the </t>
        </r>
        <r>
          <rPr>
            <b/>
            <u/>
            <sz val="12"/>
            <color indexed="81"/>
            <rFont val="Tahoma"/>
            <family val="2"/>
          </rPr>
          <t>Depth Limits</t>
        </r>
        <r>
          <rPr>
            <sz val="12"/>
            <color indexed="81"/>
            <rFont val="Tahoma"/>
            <family val="2"/>
          </rPr>
          <t xml:space="preserve"> table.
</t>
        </r>
      </text>
    </comment>
    <comment ref="C116" authorId="0">
      <text>
        <r>
          <rPr>
            <b/>
            <sz val="12"/>
            <color indexed="81"/>
            <rFont val="Tahoma"/>
            <family val="2"/>
          </rPr>
          <t xml:space="preserve">Valid Depth: </t>
        </r>
        <r>
          <rPr>
            <sz val="12"/>
            <color indexed="81"/>
            <rFont val="Tahoma"/>
            <family val="2"/>
          </rPr>
          <t xml:space="preserve">is TRUE if all of: </t>
        </r>
        <r>
          <rPr>
            <b/>
            <sz val="12"/>
            <color indexed="81"/>
            <rFont val="Tahoma"/>
            <family val="2"/>
          </rPr>
          <t>Valid Field Name</t>
        </r>
        <r>
          <rPr>
            <sz val="12"/>
            <color indexed="81"/>
            <rFont val="Tahoma"/>
            <family val="2"/>
          </rPr>
          <t xml:space="preserve">,  </t>
        </r>
        <r>
          <rPr>
            <b/>
            <sz val="12"/>
            <color indexed="81"/>
            <rFont val="Tahoma"/>
            <family val="2"/>
          </rPr>
          <t>Valid SSD</t>
        </r>
        <r>
          <rPr>
            <sz val="12"/>
            <color indexed="81"/>
            <rFont val="Tahoma"/>
            <family val="2"/>
          </rPr>
          <t xml:space="preserve">, </t>
        </r>
        <r>
          <rPr>
            <b/>
            <sz val="12"/>
            <color indexed="81"/>
            <rFont val="Tahoma"/>
            <family val="2"/>
          </rPr>
          <t>Valid Reference Depth</t>
        </r>
        <r>
          <rPr>
            <sz val="12"/>
            <color indexed="81"/>
            <rFont val="Tahoma"/>
            <family val="2"/>
          </rPr>
          <t xml:space="preserve">,  </t>
        </r>
        <r>
          <rPr>
            <b/>
            <sz val="12"/>
            <color indexed="81"/>
            <rFont val="Tahoma"/>
            <family val="2"/>
          </rPr>
          <t>Thickness valid</t>
        </r>
        <r>
          <rPr>
            <sz val="12"/>
            <color indexed="81"/>
            <rFont val="Tahoma"/>
            <family val="2"/>
          </rPr>
          <t xml:space="preserve"> and </t>
        </r>
        <r>
          <rPr>
            <b/>
            <sz val="12"/>
            <color indexed="81"/>
            <rFont val="Tahoma"/>
            <family val="2"/>
          </rPr>
          <t>Valid Depth Range</t>
        </r>
        <r>
          <rPr>
            <sz val="12"/>
            <color indexed="81"/>
            <rFont val="Tahoma"/>
            <family val="2"/>
          </rPr>
          <t xml:space="preserve"> are TRUE.  
If this is FALSE, MUs are not calculated.</t>
        </r>
      </text>
    </comment>
    <comment ref="B120" authorId="0">
      <text>
        <r>
          <rPr>
            <b/>
            <sz val="12"/>
            <color indexed="81"/>
            <rFont val="Tahoma"/>
            <family val="2"/>
          </rPr>
          <t xml:space="preserve">Field Size: </t>
        </r>
        <r>
          <rPr>
            <sz val="12"/>
            <color indexed="81"/>
            <rFont val="Tahoma"/>
            <family val="2"/>
          </rPr>
          <t xml:space="preserve">collects, formats and tests all of the values from Data Entry that relate to field size.  Equivalent square field size is calculated. Formatted field size display is generated.  For extended distances field size and collimator jaw positions are determined.  Jaw positions and filed sizes are checked against machine limits and table range.
</t>
        </r>
      </text>
    </comment>
    <comment ref="B122" authorId="0">
      <text>
        <r>
          <rPr>
            <b/>
            <sz val="12"/>
            <color indexed="81"/>
            <rFont val="Tahoma"/>
            <family val="2"/>
          </rPr>
          <t xml:space="preserve">Jaw Limits: </t>
        </r>
        <r>
          <rPr>
            <sz val="12"/>
            <color indexed="81"/>
            <rFont val="Tahoma"/>
            <family val="2"/>
          </rPr>
          <t xml:space="preserve">the Min and Max allowable jaw positions and field size for the selected data table from </t>
        </r>
        <r>
          <rPr>
            <i/>
            <sz val="12"/>
            <color indexed="81"/>
            <rFont val="Tahoma"/>
            <family val="2"/>
          </rPr>
          <t>Parameters</t>
        </r>
      </text>
    </comment>
    <comment ref="B123" authorId="0">
      <text>
        <r>
          <rPr>
            <b/>
            <sz val="12"/>
            <color indexed="81"/>
            <rFont val="Tahoma"/>
            <family val="2"/>
          </rPr>
          <t xml:space="preserve">X1, X2, Y1, Y2 Min and MAX:  </t>
        </r>
        <r>
          <rPr>
            <sz val="12"/>
            <color indexed="81"/>
            <rFont val="Tahoma"/>
            <family val="2"/>
          </rPr>
          <t xml:space="preserve">The physical Jaw limits obtained from </t>
        </r>
        <r>
          <rPr>
            <i/>
            <sz val="12"/>
            <color indexed="81"/>
            <rFont val="Tahoma"/>
            <family val="2"/>
          </rPr>
          <t>Parameters</t>
        </r>
        <r>
          <rPr>
            <sz val="12"/>
            <color indexed="81"/>
            <rFont val="Tahoma"/>
            <family val="2"/>
          </rPr>
          <t xml:space="preserve">
</t>
        </r>
      </text>
    </comment>
    <comment ref="B131" authorId="0">
      <text>
        <r>
          <rPr>
            <b/>
            <sz val="12"/>
            <color indexed="81"/>
            <rFont val="Tahoma"/>
            <family val="2"/>
          </rPr>
          <t xml:space="preserve">X, Y Collimator Min &amp; Max: </t>
        </r>
        <r>
          <rPr>
            <sz val="12"/>
            <color indexed="81"/>
            <rFont val="Tahoma"/>
            <family val="2"/>
          </rPr>
          <t xml:space="preserve">The range of the RDF and ROF tables, obtained from </t>
        </r>
        <r>
          <rPr>
            <i/>
            <sz val="12"/>
            <color indexed="81"/>
            <rFont val="Tahoma"/>
            <family val="2"/>
          </rPr>
          <t>Parameters</t>
        </r>
        <r>
          <rPr>
            <sz val="12"/>
            <color indexed="81"/>
            <rFont val="Tahoma"/>
            <family val="2"/>
          </rPr>
          <t xml:space="preserve">
</t>
        </r>
      </text>
    </comment>
    <comment ref="B135" authorId="0">
      <text>
        <r>
          <rPr>
            <b/>
            <sz val="12"/>
            <color indexed="81"/>
            <rFont val="Arial"/>
            <family val="2"/>
          </rPr>
          <t xml:space="preserve">Field Size Min &amp; Max: </t>
        </r>
        <r>
          <rPr>
            <sz val="12"/>
            <color indexed="81"/>
            <rFont val="Arial"/>
            <family val="2"/>
          </rPr>
          <t xml:space="preserve">The range of the TPR table obtained from </t>
        </r>
        <r>
          <rPr>
            <i/>
            <sz val="12"/>
            <color indexed="81"/>
            <rFont val="Arial"/>
            <family val="2"/>
          </rPr>
          <t xml:space="preserve">Parameters. </t>
        </r>
        <r>
          <rPr>
            <sz val="12"/>
            <color indexed="81"/>
            <rFont val="Arial"/>
            <family val="2"/>
          </rPr>
          <t xml:space="preserve"> This applies to the equivalent square
</t>
        </r>
      </text>
    </comment>
    <comment ref="B138" authorId="0">
      <text>
        <r>
          <rPr>
            <b/>
            <sz val="12"/>
            <color indexed="81"/>
            <rFont val="Tahoma"/>
            <family val="2"/>
          </rPr>
          <t xml:space="preserve"> Field Size:</t>
        </r>
        <r>
          <rPr>
            <sz val="12"/>
            <color indexed="81"/>
            <rFont val="Tahoma"/>
            <family val="2"/>
          </rPr>
          <t xml:space="preserve"> collects, formats and tests the X and Y jaw/size values obtained from </t>
        </r>
        <r>
          <rPr>
            <i/>
            <sz val="12"/>
            <color indexed="81"/>
            <rFont val="Tahoma"/>
            <family val="2"/>
          </rPr>
          <t>Data Entry</t>
        </r>
        <r>
          <rPr>
            <sz val="12"/>
            <color indexed="81"/>
            <rFont val="Tahoma"/>
            <family val="2"/>
          </rPr>
          <t xml:space="preserve">. 
The Jaw settings are tested against the machine limits obtained from </t>
        </r>
        <r>
          <rPr>
            <b/>
            <u/>
            <sz val="12"/>
            <color indexed="81"/>
            <rFont val="Tahoma"/>
            <family val="2"/>
          </rPr>
          <t>Jaw Limits</t>
        </r>
        <r>
          <rPr>
            <sz val="12"/>
            <color indexed="81"/>
            <rFont val="Tahoma"/>
            <family val="2"/>
          </rPr>
          <t>. The X and Y collimator size are checked against the RDF and ROF table limits obtained from</t>
        </r>
        <r>
          <rPr>
            <b/>
            <u/>
            <sz val="12"/>
            <color indexed="81"/>
            <rFont val="Tahoma"/>
            <family val="2"/>
          </rPr>
          <t xml:space="preserve"> Jaw Limits</t>
        </r>
        <r>
          <rPr>
            <sz val="12"/>
            <color indexed="81"/>
            <rFont val="Tahoma"/>
            <family val="2"/>
          </rPr>
          <t xml:space="preserve">. 
If </t>
        </r>
        <r>
          <rPr>
            <b/>
            <sz val="12"/>
            <color indexed="81"/>
            <rFont val="Tahoma"/>
            <family val="2"/>
          </rPr>
          <t>Extended Distance</t>
        </r>
        <r>
          <rPr>
            <sz val="12"/>
            <color indexed="81"/>
            <rFont val="Tahoma"/>
            <family val="2"/>
          </rPr>
          <t xml:space="preserve">, The Jaw settings are extrapolated to field size at the target depth, otherwise </t>
        </r>
        <r>
          <rPr>
            <b/>
            <sz val="12"/>
            <color indexed="81"/>
            <rFont val="Tahoma"/>
            <family val="2"/>
          </rPr>
          <t>Field Size</t>
        </r>
        <r>
          <rPr>
            <sz val="12"/>
            <color indexed="81"/>
            <rFont val="Tahoma"/>
            <family val="2"/>
          </rPr>
          <t xml:space="preserve"> matches </t>
        </r>
        <r>
          <rPr>
            <b/>
            <sz val="12"/>
            <color indexed="81"/>
            <rFont val="Tahoma"/>
            <family val="2"/>
          </rPr>
          <t>Collimator</t>
        </r>
        <r>
          <rPr>
            <sz val="12"/>
            <color indexed="81"/>
            <rFont val="Tahoma"/>
            <family val="2"/>
          </rPr>
          <t xml:space="preserve"> settings. 
Collimator and Field Size are formatted to </t>
        </r>
        <r>
          <rPr>
            <sz val="12"/>
            <color indexed="81"/>
            <rFont val="Times New Roman"/>
            <family val="1"/>
          </rPr>
          <t xml:space="preserve"> (X1,X2)</t>
        </r>
        <r>
          <rPr>
            <sz val="10"/>
            <color indexed="81"/>
            <rFont val="Tahoma"/>
            <family val="2"/>
          </rPr>
          <t>x</t>
        </r>
        <r>
          <rPr>
            <sz val="12"/>
            <color indexed="81"/>
            <rFont val="Times New Roman"/>
            <family val="1"/>
          </rPr>
          <t>(Y1,Y2)</t>
        </r>
        <r>
          <rPr>
            <sz val="12"/>
            <color indexed="81"/>
            <rFont val="Tahoma"/>
            <family val="2"/>
          </rPr>
          <t xml:space="preserve">.  If X or Y jaws are symmetric, the format simplifies to </t>
        </r>
        <r>
          <rPr>
            <sz val="12"/>
            <color indexed="81"/>
            <rFont val="Times New Roman"/>
            <family val="1"/>
          </rPr>
          <t>X</t>
        </r>
        <r>
          <rPr>
            <sz val="10"/>
            <color indexed="81"/>
            <rFont val="Tahoma"/>
            <family val="2"/>
          </rPr>
          <t>x</t>
        </r>
        <r>
          <rPr>
            <sz val="12"/>
            <color indexed="81"/>
            <rFont val="Times New Roman"/>
            <family val="1"/>
          </rPr>
          <t>(Y1,Y2), (X1,X2)</t>
        </r>
        <r>
          <rPr>
            <sz val="10"/>
            <color indexed="81"/>
            <rFont val="Tahoma"/>
            <family val="2"/>
          </rPr>
          <t>x</t>
        </r>
        <r>
          <rPr>
            <sz val="12"/>
            <color indexed="81"/>
            <rFont val="Times New Roman"/>
            <family val="1"/>
          </rPr>
          <t>Y or X</t>
        </r>
        <r>
          <rPr>
            <sz val="10"/>
            <color indexed="81"/>
            <rFont val="Tahoma"/>
            <family val="2"/>
          </rPr>
          <t>x</t>
        </r>
        <r>
          <rPr>
            <sz val="12"/>
            <color indexed="81"/>
            <rFont val="Times New Roman"/>
            <family val="1"/>
          </rPr>
          <t>Y.</t>
        </r>
        <r>
          <rPr>
            <sz val="12"/>
            <color indexed="81"/>
            <rFont val="Tahoma"/>
            <family val="2"/>
          </rPr>
          <t xml:space="preserve">
</t>
        </r>
      </text>
    </comment>
    <comment ref="C139" authorId="2">
      <text>
        <r>
          <rPr>
            <b/>
            <sz val="12"/>
            <color indexed="81"/>
            <rFont val="Tahoma"/>
            <family val="2"/>
          </rPr>
          <t>Symmetric X</t>
        </r>
        <r>
          <rPr>
            <sz val="12"/>
            <color indexed="81"/>
            <rFont val="Tahoma"/>
            <family val="2"/>
          </rPr>
          <t xml:space="preserve"> is linked to the </t>
        </r>
        <r>
          <rPr>
            <u/>
            <sz val="12"/>
            <color indexed="81"/>
            <rFont val="Tahoma"/>
            <family val="2"/>
          </rPr>
          <t>Symmetric X Tick box</t>
        </r>
        <r>
          <rPr>
            <sz val="12"/>
            <color indexed="81"/>
            <rFont val="Tahoma"/>
            <family val="2"/>
          </rPr>
          <t xml:space="preserve">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0" authorId="0">
      <text>
        <r>
          <rPr>
            <b/>
            <sz val="12"/>
            <color indexed="81"/>
            <rFont val="Tahoma"/>
            <family val="2"/>
          </rPr>
          <t xml:space="preserve">X (X1) </t>
        </r>
        <r>
          <rPr>
            <sz val="12"/>
            <color indexed="81"/>
            <rFont val="Tahoma"/>
            <family val="2"/>
          </rPr>
          <t xml:space="preserve">is the X1 or X (if </t>
        </r>
        <r>
          <rPr>
            <b/>
            <sz val="12"/>
            <color indexed="81"/>
            <rFont val="Tahoma"/>
            <family val="2"/>
          </rPr>
          <t>Symmetric X</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1" authorId="0">
      <text>
        <r>
          <rPr>
            <b/>
            <sz val="12"/>
            <color indexed="81"/>
            <rFont val="Tahoma"/>
            <family val="2"/>
          </rPr>
          <t xml:space="preserve">X2 </t>
        </r>
        <r>
          <rPr>
            <sz val="12"/>
            <color indexed="81"/>
            <rFont val="Tahoma"/>
            <family val="2"/>
          </rPr>
          <t xml:space="preserve">is the X2 value from </t>
        </r>
        <r>
          <rPr>
            <i/>
            <sz val="12"/>
            <color indexed="81"/>
            <rFont val="Tahoma"/>
            <family val="2"/>
          </rPr>
          <t>Data Entry</t>
        </r>
        <r>
          <rPr>
            <sz val="12"/>
            <color indexed="81"/>
            <rFont val="Tahoma"/>
            <family val="2"/>
          </rPr>
          <t>. 
If</t>
        </r>
        <r>
          <rPr>
            <i/>
            <sz val="12"/>
            <color indexed="81"/>
            <rFont val="Tahoma"/>
            <family val="2"/>
          </rPr>
          <t xml:space="preserve"> </t>
        </r>
        <r>
          <rPr>
            <b/>
            <sz val="12"/>
            <color indexed="81"/>
            <rFont val="Tahoma"/>
            <family val="2"/>
          </rPr>
          <t>Symmetric X</t>
        </r>
        <r>
          <rPr>
            <i/>
            <sz val="12"/>
            <color indexed="81"/>
            <rFont val="Tahoma"/>
            <family val="2"/>
          </rPr>
          <t xml:space="preserve"> </t>
        </r>
        <r>
          <rPr>
            <sz val="12"/>
            <color indexed="81"/>
            <rFont val="Tahoma"/>
            <family val="2"/>
          </rPr>
          <t>is selected for this field the value is ignored.</t>
        </r>
      </text>
    </comment>
    <comment ref="C142" authorId="2">
      <text>
        <r>
          <rPr>
            <b/>
            <sz val="12"/>
            <color indexed="81"/>
            <rFont val="Tahoma"/>
            <family val="2"/>
          </rPr>
          <t xml:space="preserve">Symmetric Y </t>
        </r>
        <r>
          <rPr>
            <sz val="12"/>
            <color indexed="81"/>
            <rFont val="Tahoma"/>
            <family val="2"/>
          </rPr>
          <t xml:space="preserve">is linked to the Symmetric Y Tick box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3" authorId="0">
      <text>
        <r>
          <rPr>
            <b/>
            <sz val="12"/>
            <color indexed="81"/>
            <rFont val="Tahoma"/>
            <family val="2"/>
          </rPr>
          <t xml:space="preserve">Y (Y1) </t>
        </r>
        <r>
          <rPr>
            <sz val="12"/>
            <color indexed="81"/>
            <rFont val="Tahoma"/>
            <family val="2"/>
          </rPr>
          <t xml:space="preserve">is the Y1 or Y (if </t>
        </r>
        <r>
          <rPr>
            <b/>
            <sz val="12"/>
            <color indexed="81"/>
            <rFont val="Tahoma"/>
            <family val="2"/>
          </rPr>
          <t>Symmetric Y</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4" authorId="0">
      <text>
        <r>
          <rPr>
            <b/>
            <sz val="12"/>
            <color indexed="81"/>
            <rFont val="Tahoma"/>
            <family val="2"/>
          </rPr>
          <t xml:space="preserve">Y2 </t>
        </r>
        <r>
          <rPr>
            <sz val="12"/>
            <color indexed="81"/>
            <rFont val="Tahoma"/>
            <family val="2"/>
          </rPr>
          <t>is the Y2 value from</t>
        </r>
        <r>
          <rPr>
            <i/>
            <sz val="12"/>
            <color indexed="81"/>
            <rFont val="Tahoma"/>
            <family val="2"/>
          </rPr>
          <t xml:space="preserve"> Data Entry. </t>
        </r>
        <r>
          <rPr>
            <sz val="12"/>
            <color indexed="81"/>
            <rFont val="Tahoma"/>
            <family val="2"/>
          </rPr>
          <t xml:space="preserve">
If </t>
        </r>
        <r>
          <rPr>
            <b/>
            <sz val="12"/>
            <color indexed="81"/>
            <rFont val="Tahoma"/>
            <family val="2"/>
          </rPr>
          <t>Symmetric Y</t>
        </r>
        <r>
          <rPr>
            <sz val="12"/>
            <color indexed="81"/>
            <rFont val="Tahoma"/>
            <family val="2"/>
          </rPr>
          <t xml:space="preserve"> is selected for this field the value is ignored.</t>
        </r>
      </text>
    </comment>
    <comment ref="C145" authorId="2">
      <text>
        <r>
          <rPr>
            <b/>
            <sz val="12"/>
            <color indexed="81"/>
            <rFont val="Tahoma"/>
            <family val="2"/>
          </rPr>
          <t>Collimator X1</t>
        </r>
        <r>
          <rPr>
            <sz val="12"/>
            <color indexed="81"/>
            <rFont val="Tahoma"/>
            <family val="2"/>
          </rPr>
          <t xml:space="preserve"> is either the X1 or X/2 value from </t>
        </r>
        <r>
          <rPr>
            <i/>
            <sz val="12"/>
            <color indexed="81"/>
            <rFont val="Tahoma"/>
            <family val="2"/>
          </rPr>
          <t xml:space="preserve">Data Entry </t>
        </r>
        <r>
          <rPr>
            <sz val="12"/>
            <color indexed="81"/>
            <rFont val="Tahoma"/>
            <family val="2"/>
          </rPr>
          <t xml:space="preserve"> </t>
        </r>
      </text>
    </comment>
    <comment ref="C146" authorId="2">
      <text>
        <r>
          <rPr>
            <b/>
            <sz val="12"/>
            <color indexed="81"/>
            <rFont val="Tahoma"/>
            <family val="2"/>
          </rPr>
          <t>Collimator X2</t>
        </r>
        <r>
          <rPr>
            <sz val="12"/>
            <color indexed="81"/>
            <rFont val="Tahoma"/>
            <family val="2"/>
          </rPr>
          <t xml:space="preserve"> is either the X2 or X/2 value from </t>
        </r>
        <r>
          <rPr>
            <i/>
            <sz val="12"/>
            <color indexed="81"/>
            <rFont val="Tahoma"/>
            <family val="2"/>
          </rPr>
          <t xml:space="preserve">Data Entry  </t>
        </r>
      </text>
    </comment>
    <comment ref="C147" authorId="0">
      <text>
        <r>
          <rPr>
            <b/>
            <sz val="12"/>
            <color indexed="81"/>
            <rFont val="Tahoma"/>
            <family val="2"/>
          </rPr>
          <t>X Collimator</t>
        </r>
        <r>
          <rPr>
            <sz val="12"/>
            <color indexed="81"/>
            <rFont val="Tahoma"/>
            <family val="2"/>
          </rPr>
          <t xml:space="preserve"> is the sum of </t>
        </r>
        <r>
          <rPr>
            <b/>
            <sz val="12"/>
            <color indexed="81"/>
            <rFont val="Tahoma"/>
            <family val="2"/>
          </rPr>
          <t>X1</t>
        </r>
        <r>
          <rPr>
            <sz val="12"/>
            <color indexed="81"/>
            <rFont val="Tahoma"/>
            <family val="2"/>
          </rPr>
          <t xml:space="preserve"> + </t>
        </r>
        <r>
          <rPr>
            <b/>
            <sz val="12"/>
            <color indexed="81"/>
            <rFont val="Tahoma"/>
            <family val="2"/>
          </rPr>
          <t>X2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48" authorId="2">
      <text>
        <r>
          <rPr>
            <b/>
            <sz val="12"/>
            <color indexed="81"/>
            <rFont val="Tahoma"/>
            <family val="2"/>
          </rPr>
          <t xml:space="preserve">Collimator Y1 </t>
        </r>
        <r>
          <rPr>
            <sz val="12"/>
            <color indexed="81"/>
            <rFont val="Tahoma"/>
            <family val="2"/>
          </rPr>
          <t xml:space="preserve">is either the Y1 or Y/2 value from </t>
        </r>
        <r>
          <rPr>
            <i/>
            <sz val="12"/>
            <color indexed="81"/>
            <rFont val="Tahoma"/>
            <family val="2"/>
          </rPr>
          <t>Data Entry</t>
        </r>
        <r>
          <rPr>
            <sz val="12"/>
            <color indexed="81"/>
            <rFont val="Tahoma"/>
            <family val="2"/>
          </rPr>
          <t xml:space="preserve">  </t>
        </r>
      </text>
    </comment>
    <comment ref="C149" authorId="2">
      <text>
        <r>
          <rPr>
            <b/>
            <sz val="12"/>
            <color indexed="81"/>
            <rFont val="Tahoma"/>
            <family val="2"/>
          </rPr>
          <t xml:space="preserve">Collimator Y2 </t>
        </r>
        <r>
          <rPr>
            <sz val="12"/>
            <color indexed="81"/>
            <rFont val="Tahoma"/>
            <family val="2"/>
          </rPr>
          <t xml:space="preserve">is either the Y2 or Y/2 value from </t>
        </r>
        <r>
          <rPr>
            <i/>
            <sz val="12"/>
            <color indexed="81"/>
            <rFont val="Tahoma"/>
            <family val="2"/>
          </rPr>
          <t>Data Entry</t>
        </r>
        <r>
          <rPr>
            <sz val="12"/>
            <color indexed="81"/>
            <rFont val="Tahoma"/>
            <family val="2"/>
          </rPr>
          <t xml:space="preserve">  </t>
        </r>
      </text>
    </comment>
    <comment ref="C150" authorId="0">
      <text>
        <r>
          <rPr>
            <b/>
            <sz val="12"/>
            <color indexed="81"/>
            <rFont val="Tahoma"/>
            <family val="2"/>
          </rPr>
          <t xml:space="preserve">Y Collimator </t>
        </r>
        <r>
          <rPr>
            <sz val="12"/>
            <color indexed="81"/>
            <rFont val="Tahoma"/>
            <family val="2"/>
          </rPr>
          <t xml:space="preserve">is the sum of </t>
        </r>
        <r>
          <rPr>
            <b/>
            <sz val="12"/>
            <color indexed="81"/>
            <rFont val="Tahoma"/>
            <family val="2"/>
          </rPr>
          <t>Y1</t>
        </r>
        <r>
          <rPr>
            <sz val="12"/>
            <color indexed="81"/>
            <rFont val="Tahoma"/>
            <family val="2"/>
          </rPr>
          <t xml:space="preserve"> + </t>
        </r>
        <r>
          <rPr>
            <b/>
            <sz val="12"/>
            <color indexed="81"/>
            <rFont val="Tahoma"/>
            <family val="2"/>
          </rPr>
          <t>Y2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51" authorId="2">
      <text>
        <r>
          <rPr>
            <b/>
            <sz val="12"/>
            <color indexed="81"/>
            <rFont val="Tahoma"/>
            <family val="2"/>
          </rPr>
          <t>X1,X2,Y1,Y2 Limits</t>
        </r>
        <r>
          <rPr>
            <sz val="12"/>
            <color indexed="81"/>
            <rFont val="Tahoma"/>
            <family val="2"/>
          </rPr>
          <t xml:space="preserve"> tests that the Collimator jaw values are within the range given in </t>
        </r>
        <r>
          <rPr>
            <b/>
            <u/>
            <sz val="12"/>
            <color indexed="81"/>
            <rFont val="Tahoma"/>
            <family val="2"/>
          </rPr>
          <t>Jaw Limits</t>
        </r>
        <r>
          <rPr>
            <sz val="12"/>
            <color indexed="81"/>
            <rFont val="Tahoma"/>
            <family val="2"/>
          </rPr>
          <t xml:space="preserve">.  
They will also be FALSE if the </t>
        </r>
        <r>
          <rPr>
            <b/>
            <u/>
            <sz val="12"/>
            <color indexed="81"/>
            <rFont val="Tahoma"/>
            <family val="2"/>
          </rPr>
          <t>Jaw Limits</t>
        </r>
        <r>
          <rPr>
            <sz val="12"/>
            <color indexed="81"/>
            <rFont val="Tahoma"/>
            <family val="2"/>
          </rPr>
          <t xml:space="preserve"> values are invalid.
Individual jaw limits are based on the linac's physical capabilities.
</t>
        </r>
      </text>
    </comment>
    <comment ref="C155" authorId="2">
      <text>
        <r>
          <rPr>
            <b/>
            <sz val="12"/>
            <color indexed="81"/>
            <rFont val="Arial"/>
            <family val="2"/>
          </rPr>
          <t xml:space="preserve">X &amp; Y Collimator Limits </t>
        </r>
        <r>
          <rPr>
            <sz val="12"/>
            <color indexed="81"/>
            <rFont val="Arial"/>
            <family val="2"/>
          </rPr>
          <t xml:space="preserve">tests to see if the X &amp; Y Collimator Totals are within the range given in the </t>
        </r>
        <r>
          <rPr>
            <b/>
            <u/>
            <sz val="12"/>
            <color indexed="81"/>
            <rFont val="Arial"/>
            <family val="2"/>
          </rPr>
          <t>Jaw Limits</t>
        </r>
        <r>
          <rPr>
            <i/>
            <sz val="12"/>
            <color indexed="81"/>
            <rFont val="Arial"/>
            <family val="2"/>
          </rPr>
          <t xml:space="preserve"> </t>
        </r>
        <r>
          <rPr>
            <sz val="12"/>
            <color indexed="81"/>
            <rFont val="Arial"/>
            <family val="2"/>
          </rPr>
          <t xml:space="preserve">table.
They will also be FALSE if the </t>
        </r>
        <r>
          <rPr>
            <b/>
            <u/>
            <sz val="12"/>
            <color indexed="81"/>
            <rFont val="Arial"/>
            <family val="2"/>
          </rPr>
          <t>Jaw Limits</t>
        </r>
        <r>
          <rPr>
            <sz val="12"/>
            <color indexed="81"/>
            <rFont val="Arial"/>
            <family val="2"/>
          </rPr>
          <t xml:space="preserve"> values  are Invalid.  
Collimator jaw limits are based on the data range for the RDF and ROF tables, which can be different from physical limits.</t>
        </r>
      </text>
    </comment>
    <comment ref="C157" authorId="2">
      <text>
        <r>
          <rPr>
            <b/>
            <sz val="12"/>
            <color indexed="81"/>
            <rFont val="Tahoma"/>
            <family val="2"/>
          </rPr>
          <t>Collimator Table Limits</t>
        </r>
        <r>
          <rPr>
            <sz val="12"/>
            <color indexed="81"/>
            <rFont val="Tahoma"/>
            <family val="2"/>
          </rPr>
          <t xml:space="preserve"> is an logical AND of the X &amp; Y Collimator Limits.  
It will be FALSE if either </t>
        </r>
        <r>
          <rPr>
            <b/>
            <sz val="12"/>
            <color indexed="81"/>
            <rFont val="Tahoma"/>
            <family val="2"/>
          </rPr>
          <t>X Collimator Limits</t>
        </r>
        <r>
          <rPr>
            <sz val="12"/>
            <color indexed="81"/>
            <rFont val="Tahoma"/>
            <family val="2"/>
          </rPr>
          <t xml:space="preserve"> or </t>
        </r>
        <r>
          <rPr>
            <b/>
            <sz val="12"/>
            <color indexed="81"/>
            <rFont val="Tahoma"/>
            <family val="2"/>
          </rPr>
          <t>Y Collimator Limits</t>
        </r>
        <r>
          <rPr>
            <sz val="12"/>
            <color indexed="81"/>
            <rFont val="Tahoma"/>
            <family val="2"/>
          </rPr>
          <t xml:space="preserve"> is FALSE.
</t>
        </r>
      </text>
    </comment>
    <comment ref="C158" authorId="0">
      <text>
        <r>
          <rPr>
            <b/>
            <sz val="12"/>
            <color indexed="81"/>
            <rFont val="Tahoma"/>
            <family val="2"/>
          </rPr>
          <t xml:space="preserve">Collimator Equivalent Square </t>
        </r>
        <r>
          <rPr>
            <sz val="12"/>
            <color indexed="81"/>
            <rFont val="Tahoma"/>
            <family val="2"/>
          </rPr>
          <t xml:space="preserve">is the Equivalent Square calculated from the </t>
        </r>
        <r>
          <rPr>
            <b/>
            <sz val="12"/>
            <color indexed="81"/>
            <rFont val="Tahoma"/>
            <family val="2"/>
          </rPr>
          <t>X Collimator</t>
        </r>
        <r>
          <rPr>
            <sz val="12"/>
            <color indexed="81"/>
            <rFont val="Tahoma"/>
            <family val="2"/>
          </rPr>
          <t xml:space="preserve"> and </t>
        </r>
        <r>
          <rPr>
            <b/>
            <sz val="12"/>
            <color indexed="81"/>
            <rFont val="Tahoma"/>
            <family val="2"/>
          </rPr>
          <t>Y Collimator</t>
        </r>
        <r>
          <rPr>
            <sz val="12"/>
            <color indexed="81"/>
            <rFont val="Tahoma"/>
            <family val="2"/>
          </rPr>
          <t xml:space="preserve">  values:
  2XY/(X+Y)
</t>
        </r>
      </text>
    </comment>
    <comment ref="C159" authorId="2">
      <text>
        <r>
          <rPr>
            <b/>
            <sz val="12"/>
            <color indexed="81"/>
            <rFont val="Arial"/>
            <family val="2"/>
          </rPr>
          <t>Collimator Display X &amp; Y</t>
        </r>
        <r>
          <rPr>
            <sz val="12"/>
            <color indexed="81"/>
            <rFont val="Arial"/>
            <family val="2"/>
          </rPr>
          <t xml:space="preserve"> format the Collimator Settings for display.  
If </t>
        </r>
        <r>
          <rPr>
            <b/>
            <sz val="12"/>
            <color indexed="81"/>
            <rFont val="Arial"/>
            <family val="2"/>
          </rPr>
          <t>X1</t>
        </r>
        <r>
          <rPr>
            <sz val="12"/>
            <color indexed="81"/>
            <rFont val="Arial"/>
            <family val="2"/>
          </rPr>
          <t xml:space="preserve"> = </t>
        </r>
        <r>
          <rPr>
            <b/>
            <sz val="12"/>
            <color indexed="81"/>
            <rFont val="Arial"/>
            <family val="2"/>
          </rPr>
          <t>X2</t>
        </r>
        <r>
          <rPr>
            <sz val="12"/>
            <color indexed="81"/>
            <rFont val="Arial"/>
            <family val="2"/>
          </rPr>
          <t xml:space="preserve">,  </t>
        </r>
        <r>
          <rPr>
            <b/>
            <sz val="12"/>
            <color indexed="81"/>
            <rFont val="Arial"/>
            <family val="2"/>
          </rPr>
          <t>X Collimator</t>
        </r>
        <r>
          <rPr>
            <sz val="12"/>
            <color indexed="81"/>
            <rFont val="Arial"/>
            <family val="2"/>
          </rPr>
          <t xml:space="preserve"> is displayed, otherwise it is displayed as:  (</t>
        </r>
        <r>
          <rPr>
            <b/>
            <sz val="12"/>
            <color indexed="81"/>
            <rFont val="Arial"/>
            <family val="2"/>
          </rPr>
          <t>X1</t>
        </r>
        <r>
          <rPr>
            <sz val="12"/>
            <color indexed="81"/>
            <rFont val="Arial"/>
            <family val="2"/>
          </rPr>
          <t>,</t>
        </r>
        <r>
          <rPr>
            <b/>
            <sz val="12"/>
            <color indexed="81"/>
            <rFont val="Arial"/>
            <family val="2"/>
          </rPr>
          <t>X2</t>
        </r>
        <r>
          <rPr>
            <sz val="12"/>
            <color indexed="81"/>
            <rFont val="Arial"/>
            <family val="2"/>
          </rPr>
          <t xml:space="preserve">).  
Similar formatting is done for </t>
        </r>
        <r>
          <rPr>
            <b/>
            <sz val="12"/>
            <color indexed="81"/>
            <rFont val="Arial"/>
            <family val="2"/>
          </rPr>
          <t>Collimator Display Y</t>
        </r>
        <r>
          <rPr>
            <sz val="12"/>
            <color indexed="81"/>
            <rFont val="Arial"/>
            <family val="2"/>
          </rPr>
          <t>.  
The field size is displayed to 1 decimal place.</t>
        </r>
        <r>
          <rPr>
            <b/>
            <sz val="12"/>
            <color indexed="81"/>
            <rFont val="Arial"/>
            <family val="2"/>
          </rPr>
          <t xml:space="preserve">
</t>
        </r>
      </text>
    </comment>
    <comment ref="C161" authorId="1">
      <text>
        <r>
          <rPr>
            <b/>
            <sz val="12"/>
            <color indexed="81"/>
            <rFont val="Tahoma"/>
            <family val="2"/>
          </rPr>
          <t xml:space="preserve">Collimator Settings Display </t>
        </r>
        <r>
          <rPr>
            <sz val="12"/>
            <color indexed="81"/>
            <rFont val="Tahoma"/>
            <family val="2"/>
          </rPr>
          <t xml:space="preserve">combines the text in </t>
        </r>
        <r>
          <rPr>
            <b/>
            <sz val="12"/>
            <color indexed="81"/>
            <rFont val="Tahoma"/>
            <family val="2"/>
          </rPr>
          <t xml:space="preserve">Collimator Display X </t>
        </r>
        <r>
          <rPr>
            <sz val="12"/>
            <color indexed="81"/>
            <rFont val="Tahoma"/>
            <family val="2"/>
          </rPr>
          <t xml:space="preserve">and </t>
        </r>
        <r>
          <rPr>
            <b/>
            <sz val="12"/>
            <color indexed="81"/>
            <rFont val="Tahoma"/>
            <family val="2"/>
          </rPr>
          <t>Collimator Display Y</t>
        </r>
        <r>
          <rPr>
            <sz val="12"/>
            <color indexed="81"/>
            <rFont val="Tahoma"/>
            <family val="2"/>
          </rPr>
          <t xml:space="preserve"> to produce the standard written form for the Collimator Settings in the form:
</t>
        </r>
        <r>
          <rPr>
            <b/>
            <sz val="12"/>
            <color indexed="81"/>
            <rFont val="Times New Roman"/>
            <family val="1"/>
          </rPr>
          <t>Collimator Display X</t>
        </r>
        <r>
          <rPr>
            <sz val="12"/>
            <color indexed="81"/>
            <rFont val="Times New Roman"/>
            <family val="1"/>
          </rPr>
          <t xml:space="preserve"> </t>
        </r>
        <r>
          <rPr>
            <sz val="12"/>
            <color indexed="81"/>
            <rFont val="Arial"/>
            <family val="2"/>
          </rPr>
          <t>x</t>
        </r>
        <r>
          <rPr>
            <sz val="12"/>
            <color indexed="81"/>
            <rFont val="Times New Roman"/>
            <family val="1"/>
          </rPr>
          <t xml:space="preserve"> </t>
        </r>
        <r>
          <rPr>
            <b/>
            <sz val="12"/>
            <color indexed="81"/>
            <rFont val="Times New Roman"/>
            <family val="1"/>
          </rPr>
          <t>Collimator Display Y</t>
        </r>
      </text>
    </comment>
    <comment ref="B162" authorId="0">
      <text>
        <r>
          <rPr>
            <b/>
            <sz val="12"/>
            <color indexed="81"/>
            <rFont val="Tahoma"/>
            <family val="2"/>
          </rPr>
          <t xml:space="preserve">Field Size and Collimator Setting: </t>
        </r>
        <r>
          <rPr>
            <sz val="12"/>
            <color indexed="81"/>
            <rFont val="Tahoma"/>
            <family val="2"/>
          </rPr>
          <t xml:space="preserve"> Field size only differs from collimator setting when </t>
        </r>
        <r>
          <rPr>
            <b/>
            <sz val="12"/>
            <color indexed="81"/>
            <rFont val="Tahoma"/>
            <family val="2"/>
          </rPr>
          <t>Extended Distance</t>
        </r>
        <r>
          <rPr>
            <sz val="12"/>
            <color indexed="81"/>
            <rFont val="Tahoma"/>
            <family val="2"/>
          </rPr>
          <t xml:space="preserve"> is TRUE.  Collimator setting is the actual machine Jaw values, while Field Size is the X and Y dimensions of the field at the target.  
It is </t>
        </r>
        <r>
          <rPr>
            <b/>
            <sz val="12"/>
            <color indexed="81"/>
            <rFont val="Tahoma"/>
            <family val="2"/>
          </rPr>
          <t>Field Size Eq. Sq.</t>
        </r>
        <r>
          <rPr>
            <sz val="12"/>
            <color indexed="81"/>
            <rFont val="Tahoma"/>
            <family val="2"/>
          </rPr>
          <t xml:space="preserve"> that is used for obtaining the </t>
        </r>
        <r>
          <rPr>
            <b/>
            <sz val="12"/>
            <color indexed="81"/>
            <rFont val="Tahoma"/>
            <family val="2"/>
          </rPr>
          <t xml:space="preserve">TPR </t>
        </r>
        <r>
          <rPr>
            <sz val="12"/>
            <color indexed="81"/>
            <rFont val="Tahoma"/>
            <family val="2"/>
          </rPr>
          <t>and</t>
        </r>
        <r>
          <rPr>
            <b/>
            <sz val="12"/>
            <color indexed="81"/>
            <rFont val="Tahoma"/>
            <family val="2"/>
          </rPr>
          <t xml:space="preserve"> PSF</t>
        </r>
        <r>
          <rPr>
            <sz val="12"/>
            <color indexed="81"/>
            <rFont val="Tahoma"/>
            <family val="2"/>
          </rPr>
          <t xml:space="preserve"> values from </t>
        </r>
        <r>
          <rPr>
            <i/>
            <sz val="12"/>
            <color indexed="81"/>
            <rFont val="Tahoma"/>
            <family val="2"/>
          </rPr>
          <t>Parameters</t>
        </r>
        <r>
          <rPr>
            <sz val="12"/>
            <color indexed="81"/>
            <rFont val="Tahoma"/>
            <family val="2"/>
          </rPr>
          <t xml:space="preserve">, while it is the </t>
        </r>
        <r>
          <rPr>
            <b/>
            <sz val="12"/>
            <color indexed="81"/>
            <rFont val="Tahoma"/>
            <family val="2"/>
          </rPr>
          <t xml:space="preserve">X Collimator </t>
        </r>
        <r>
          <rPr>
            <sz val="12"/>
            <color indexed="81"/>
            <rFont val="Tahoma"/>
            <family val="2"/>
          </rPr>
          <t>and</t>
        </r>
        <r>
          <rPr>
            <b/>
            <sz val="12"/>
            <color indexed="81"/>
            <rFont val="Tahoma"/>
            <family val="2"/>
          </rPr>
          <t xml:space="preserve"> Y Collimator</t>
        </r>
        <r>
          <rPr>
            <sz val="12"/>
            <color indexed="81"/>
            <rFont val="Tahoma"/>
            <family val="2"/>
          </rPr>
          <t xml:space="preserve"> which are used for obtaining the </t>
        </r>
        <r>
          <rPr>
            <b/>
            <sz val="12"/>
            <color indexed="81"/>
            <rFont val="Tahoma"/>
            <family val="2"/>
          </rPr>
          <t xml:space="preserve">RDF </t>
        </r>
        <r>
          <rPr>
            <sz val="12"/>
            <color indexed="81"/>
            <rFont val="Tahoma"/>
            <family val="2"/>
          </rPr>
          <t>and</t>
        </r>
        <r>
          <rPr>
            <b/>
            <sz val="12"/>
            <color indexed="81"/>
            <rFont val="Tahoma"/>
            <family val="2"/>
          </rPr>
          <t xml:space="preserve"> ROF </t>
        </r>
        <r>
          <rPr>
            <sz val="12"/>
            <color indexed="81"/>
            <rFont val="Tahoma"/>
            <family val="2"/>
          </rPr>
          <t xml:space="preserve">values from </t>
        </r>
        <r>
          <rPr>
            <i/>
            <sz val="12"/>
            <color indexed="81"/>
            <rFont val="Tahoma"/>
            <family val="2"/>
          </rPr>
          <t>Parameters</t>
        </r>
        <r>
          <rPr>
            <sz val="12"/>
            <color indexed="81"/>
            <rFont val="Tahoma"/>
            <family val="2"/>
          </rPr>
          <t xml:space="preserve">.
</t>
        </r>
      </text>
    </comment>
    <comment ref="C162" authorId="2">
      <text>
        <r>
          <rPr>
            <b/>
            <sz val="12"/>
            <color indexed="81"/>
            <rFont val="Tahoma"/>
            <family val="2"/>
          </rPr>
          <t xml:space="preserve">Field Size X1 </t>
        </r>
        <r>
          <rPr>
            <sz val="12"/>
            <color indexed="81"/>
            <rFont val="Tahoma"/>
            <family val="2"/>
          </rPr>
          <t>is the X1 field size at the target.</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
        </r>
        <r>
          <rPr>
            <b/>
            <sz val="12"/>
            <color indexed="81"/>
            <rFont val="Tahoma"/>
            <family val="2"/>
          </rPr>
          <t xml:space="preserve">Collimator X1.
</t>
        </r>
        <r>
          <rPr>
            <sz val="12"/>
            <color indexed="81"/>
            <rFont val="Tahoma"/>
            <family val="2"/>
          </rPr>
          <t xml:space="preserve">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X1</t>
        </r>
        <r>
          <rPr>
            <sz val="12"/>
            <color indexed="81"/>
            <rFont val="Tahoma"/>
            <family val="2"/>
          </rPr>
          <t>=</t>
        </r>
        <r>
          <rPr>
            <b/>
            <sz val="12"/>
            <color indexed="81"/>
            <rFont val="Tahoma"/>
            <family val="2"/>
          </rPr>
          <t>Collimator X1</t>
        </r>
        <r>
          <rPr>
            <sz val="12"/>
            <color indexed="81"/>
            <rFont val="Tahoma"/>
            <family val="2"/>
          </rPr>
          <t>∙</t>
        </r>
        <r>
          <rPr>
            <b/>
            <sz val="12"/>
            <color indexed="81"/>
            <rFont val="Tahoma"/>
            <family val="2"/>
          </rPr>
          <t>STD</t>
        </r>
        <r>
          <rPr>
            <sz val="12"/>
            <color indexed="81"/>
            <rFont val="Tahoma"/>
            <family val="2"/>
          </rPr>
          <t xml:space="preserve">/100
</t>
        </r>
      </text>
    </comment>
    <comment ref="C163" authorId="2">
      <text>
        <r>
          <rPr>
            <b/>
            <sz val="12"/>
            <color indexed="81"/>
            <rFont val="Arial"/>
            <family val="2"/>
          </rPr>
          <t xml:space="preserve">Field Size X2 </t>
        </r>
        <r>
          <rPr>
            <sz val="12"/>
            <color indexed="81"/>
            <rFont val="Arial"/>
            <family val="2"/>
          </rPr>
          <t xml:space="preserve">is the X2 field size at SAD 100.
If </t>
        </r>
        <r>
          <rPr>
            <b/>
            <sz val="12"/>
            <color indexed="81"/>
            <rFont val="Arial"/>
            <family val="2"/>
          </rPr>
          <t>Extended Distance</t>
        </r>
        <r>
          <rPr>
            <sz val="12"/>
            <color indexed="81"/>
            <rFont val="Arial"/>
            <family val="2"/>
          </rPr>
          <t xml:space="preserve"> is FALSE, it will be equal to </t>
        </r>
        <r>
          <rPr>
            <b/>
            <sz val="12"/>
            <color indexed="81"/>
            <rFont val="Arial"/>
            <family val="2"/>
          </rPr>
          <t>Collimator X2</t>
        </r>
        <r>
          <rPr>
            <sz val="12"/>
            <color indexed="81"/>
            <rFont val="Arial"/>
            <family val="2"/>
          </rPr>
          <t xml:space="preserve">.
If </t>
        </r>
        <r>
          <rPr>
            <b/>
            <sz val="12"/>
            <color indexed="81"/>
            <rFont val="Arial"/>
            <family val="2"/>
          </rPr>
          <t>Extended Distance</t>
        </r>
        <r>
          <rPr>
            <sz val="12"/>
            <color indexed="81"/>
            <rFont val="Arial"/>
            <family val="2"/>
          </rPr>
          <t xml:space="preserve"> is TRUE, it will be calculated by:  </t>
        </r>
        <r>
          <rPr>
            <b/>
            <sz val="12"/>
            <color indexed="81"/>
            <rFont val="Arial"/>
            <family val="2"/>
          </rPr>
          <t xml:space="preserve">
       Field Size X2</t>
        </r>
        <r>
          <rPr>
            <sz val="12"/>
            <color indexed="81"/>
            <rFont val="Arial"/>
            <family val="2"/>
          </rPr>
          <t>=</t>
        </r>
        <r>
          <rPr>
            <b/>
            <sz val="12"/>
            <color indexed="81"/>
            <rFont val="Arial"/>
            <family val="2"/>
          </rPr>
          <t>Collimator X2</t>
        </r>
        <r>
          <rPr>
            <sz val="12"/>
            <color indexed="81"/>
            <rFont val="Arial"/>
            <family val="2"/>
          </rPr>
          <t>∙</t>
        </r>
        <r>
          <rPr>
            <b/>
            <sz val="12"/>
            <color indexed="81"/>
            <rFont val="Arial"/>
            <family val="2"/>
          </rPr>
          <t>STD</t>
        </r>
        <r>
          <rPr>
            <sz val="12"/>
            <color indexed="81"/>
            <rFont val="Arial"/>
            <family val="2"/>
          </rPr>
          <t>/100</t>
        </r>
      </text>
    </comment>
    <comment ref="C164"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t>
        </r>
        <r>
          <rPr>
            <b/>
            <sz val="12"/>
            <color indexed="81"/>
            <rFont val="Tahoma"/>
            <family val="2"/>
          </rPr>
          <t xml:space="preserve"> Field Size X2</t>
        </r>
        <r>
          <rPr>
            <sz val="12"/>
            <color indexed="81"/>
            <rFont val="Tahoma"/>
            <family val="2"/>
          </rPr>
          <t xml:space="preserve">.  </t>
        </r>
      </text>
    </comment>
    <comment ref="C165" authorId="2">
      <text>
        <r>
          <rPr>
            <b/>
            <sz val="12"/>
            <color indexed="81"/>
            <rFont val="Tahoma"/>
            <family val="2"/>
          </rPr>
          <t>Field Size Y1</t>
        </r>
        <r>
          <rPr>
            <sz val="12"/>
            <color indexed="81"/>
            <rFont val="Tahoma"/>
            <family val="2"/>
          </rPr>
          <t xml:space="preserve"> is the Y1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Y1</t>
        </r>
        <r>
          <rPr>
            <sz val="12"/>
            <color indexed="81"/>
            <rFont val="Tahoma"/>
            <family val="2"/>
          </rPr>
          <t xml:space="preserve">.
If </t>
        </r>
        <r>
          <rPr>
            <b/>
            <sz val="12"/>
            <color indexed="81"/>
            <rFont val="Tahoma"/>
            <family val="2"/>
          </rPr>
          <t xml:space="preserve">Extended Distance </t>
        </r>
        <r>
          <rPr>
            <sz val="12"/>
            <color indexed="81"/>
            <rFont val="Tahoma"/>
            <family val="2"/>
          </rPr>
          <t xml:space="preserve">is TRUE, it will be calculated by:  
      </t>
        </r>
        <r>
          <rPr>
            <b/>
            <sz val="12"/>
            <color indexed="81"/>
            <rFont val="Tahoma"/>
            <family val="2"/>
          </rPr>
          <t xml:space="preserve"> Field Size Y1</t>
        </r>
        <r>
          <rPr>
            <sz val="12"/>
            <color indexed="81"/>
            <rFont val="Tahoma"/>
            <family val="2"/>
          </rPr>
          <t>=</t>
        </r>
        <r>
          <rPr>
            <b/>
            <sz val="12"/>
            <color indexed="81"/>
            <rFont val="Tahoma"/>
            <family val="2"/>
          </rPr>
          <t>Collimator Y1</t>
        </r>
        <r>
          <rPr>
            <sz val="12"/>
            <color indexed="81"/>
            <rFont val="Tahoma"/>
            <family val="2"/>
          </rPr>
          <t>∙</t>
        </r>
        <r>
          <rPr>
            <b/>
            <sz val="12"/>
            <color indexed="81"/>
            <rFont val="Tahoma"/>
            <family val="2"/>
          </rPr>
          <t>STD</t>
        </r>
        <r>
          <rPr>
            <sz val="12"/>
            <color indexed="81"/>
            <rFont val="Tahoma"/>
            <family val="2"/>
          </rPr>
          <t>/100</t>
        </r>
      </text>
    </comment>
    <comment ref="C166" authorId="2">
      <text>
        <r>
          <rPr>
            <b/>
            <sz val="12"/>
            <color indexed="81"/>
            <rFont val="Tahoma"/>
            <family val="2"/>
          </rPr>
          <t>Field Size Y2</t>
        </r>
        <r>
          <rPr>
            <sz val="12"/>
            <color indexed="81"/>
            <rFont val="Tahoma"/>
            <family val="2"/>
          </rPr>
          <t xml:space="preserve"> is the Y2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Y2</t>
        </r>
        <r>
          <rPr>
            <sz val="12"/>
            <color indexed="81"/>
            <rFont val="Tahoma"/>
            <family val="2"/>
          </rPr>
          <t xml:space="preserve">.
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Y2</t>
        </r>
        <r>
          <rPr>
            <sz val="12"/>
            <color indexed="81"/>
            <rFont val="Tahoma"/>
            <family val="2"/>
          </rPr>
          <t>=</t>
        </r>
        <r>
          <rPr>
            <b/>
            <sz val="12"/>
            <color indexed="81"/>
            <rFont val="Tahoma"/>
            <family val="2"/>
          </rPr>
          <t>Collimator Y2</t>
        </r>
        <r>
          <rPr>
            <sz val="12"/>
            <color indexed="81"/>
            <rFont val="Tahoma"/>
            <family val="2"/>
          </rPr>
          <t>∙</t>
        </r>
        <r>
          <rPr>
            <b/>
            <sz val="12"/>
            <color indexed="81"/>
            <rFont val="Tahoma"/>
            <family val="2"/>
          </rPr>
          <t>STD</t>
        </r>
        <r>
          <rPr>
            <sz val="12"/>
            <color indexed="81"/>
            <rFont val="Tahoma"/>
            <family val="2"/>
          </rPr>
          <t>/100</t>
        </r>
      </text>
    </comment>
    <comment ref="C167"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 </t>
        </r>
        <r>
          <rPr>
            <b/>
            <sz val="12"/>
            <color indexed="81"/>
            <rFont val="Tahoma"/>
            <family val="2"/>
          </rPr>
          <t>Field Size X2</t>
        </r>
        <r>
          <rPr>
            <sz val="12"/>
            <color indexed="81"/>
            <rFont val="Tahoma"/>
            <family val="2"/>
          </rPr>
          <t xml:space="preserve">.  </t>
        </r>
      </text>
    </comment>
    <comment ref="C168" authorId="0">
      <text>
        <r>
          <rPr>
            <b/>
            <sz val="12"/>
            <color indexed="81"/>
            <rFont val="Tahoma"/>
            <family val="2"/>
          </rPr>
          <t>Field Size Eq. Sq.</t>
        </r>
        <r>
          <rPr>
            <sz val="12"/>
            <color indexed="81"/>
            <rFont val="Tahoma"/>
            <family val="2"/>
          </rPr>
          <t xml:space="preserve"> is the Equivalent Square calculated from </t>
        </r>
        <r>
          <rPr>
            <b/>
            <sz val="12"/>
            <color indexed="81"/>
            <rFont val="Tahoma"/>
            <family val="2"/>
          </rPr>
          <t xml:space="preserve">Field Size X </t>
        </r>
        <r>
          <rPr>
            <sz val="12"/>
            <color indexed="81"/>
            <rFont val="Tahoma"/>
            <family val="2"/>
          </rPr>
          <t xml:space="preserve"> and </t>
        </r>
        <r>
          <rPr>
            <b/>
            <sz val="12"/>
            <color indexed="81"/>
            <rFont val="Tahoma"/>
            <family val="2"/>
          </rPr>
          <t>Field Size Y</t>
        </r>
        <r>
          <rPr>
            <sz val="12"/>
            <color indexed="81"/>
            <rFont val="Tahoma"/>
            <family val="2"/>
          </rPr>
          <t xml:space="preserve">. It is used for obtaining the </t>
        </r>
        <r>
          <rPr>
            <b/>
            <sz val="12"/>
            <color indexed="81"/>
            <rFont val="Tahoma"/>
            <family val="2"/>
          </rPr>
          <t>TPR</t>
        </r>
        <r>
          <rPr>
            <sz val="12"/>
            <color indexed="81"/>
            <rFont val="Tahoma"/>
            <family val="2"/>
          </rPr>
          <t xml:space="preserve"> and </t>
        </r>
        <r>
          <rPr>
            <b/>
            <sz val="12"/>
            <color indexed="81"/>
            <rFont val="Tahoma"/>
            <family val="2"/>
          </rPr>
          <t>PSF</t>
        </r>
        <r>
          <rPr>
            <sz val="12"/>
            <color indexed="81"/>
            <rFont val="Tahoma"/>
            <family val="2"/>
          </rPr>
          <t xml:space="preserve"> values from </t>
        </r>
        <r>
          <rPr>
            <i/>
            <sz val="12"/>
            <color indexed="81"/>
            <rFont val="Tahoma"/>
            <family val="2"/>
          </rPr>
          <t>Parameters</t>
        </r>
        <r>
          <rPr>
            <sz val="12"/>
            <color indexed="81"/>
            <rFont val="Tahoma"/>
            <family val="2"/>
          </rPr>
          <t xml:space="preserve">.  
</t>
        </r>
        <r>
          <rPr>
            <b/>
            <sz val="12"/>
            <color indexed="81"/>
            <rFont val="Tahoma"/>
            <family val="2"/>
          </rPr>
          <t>Field Size Eq. Sq.</t>
        </r>
        <r>
          <rPr>
            <sz val="12"/>
            <color indexed="81"/>
            <rFont val="Tahoma"/>
            <family val="2"/>
          </rPr>
          <t xml:space="preserve"> is calculated by:  Field Size Eq.Sq.=(2XY)/(X+Y )</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the</t>
        </r>
        <r>
          <rPr>
            <b/>
            <sz val="12"/>
            <color indexed="81"/>
            <rFont val="Tahoma"/>
            <family val="2"/>
          </rPr>
          <t xml:space="preserve"> Collimator Eq. Sq.</t>
        </r>
        <r>
          <rPr>
            <i/>
            <sz val="12"/>
            <color indexed="81"/>
            <rFont val="Tahoma"/>
            <family val="2"/>
          </rPr>
          <t xml:space="preserve">
</t>
        </r>
      </text>
    </comment>
    <comment ref="C169" authorId="2">
      <text>
        <r>
          <rPr>
            <b/>
            <sz val="12"/>
            <color indexed="81"/>
            <rFont val="Tahoma"/>
            <family val="2"/>
          </rPr>
          <t xml:space="preserve">Field Size Limits </t>
        </r>
        <r>
          <rPr>
            <sz val="12"/>
            <color indexed="81"/>
            <rFont val="Tahoma"/>
            <family val="2"/>
          </rPr>
          <t xml:space="preserve">tests to see if </t>
        </r>
        <r>
          <rPr>
            <b/>
            <sz val="12"/>
            <color indexed="81"/>
            <rFont val="Tahoma"/>
            <family val="2"/>
          </rPr>
          <t>Field Size Eq. Sq.</t>
        </r>
        <r>
          <rPr>
            <sz val="12"/>
            <color indexed="81"/>
            <rFont val="Tahoma"/>
            <family val="2"/>
          </rPr>
          <t xml:space="preserve"> is within the range given in the </t>
        </r>
        <r>
          <rPr>
            <b/>
            <u/>
            <sz val="12"/>
            <color indexed="81"/>
            <rFont val="Tahoma"/>
            <family val="2"/>
          </rPr>
          <t>Jaw Limits</t>
        </r>
        <r>
          <rPr>
            <b/>
            <sz val="12"/>
            <color indexed="81"/>
            <rFont val="Tahoma"/>
            <family val="2"/>
          </rPr>
          <t xml:space="preserve"> </t>
        </r>
        <r>
          <rPr>
            <sz val="12"/>
            <color indexed="81"/>
            <rFont val="Tahoma"/>
            <family val="2"/>
          </rPr>
          <t xml:space="preserve">table.
It will also be FALSE if the values in </t>
        </r>
        <r>
          <rPr>
            <b/>
            <u/>
            <sz val="12"/>
            <color indexed="81"/>
            <rFont val="Tahoma"/>
            <family val="2"/>
          </rPr>
          <t>Jaw Limits</t>
        </r>
        <r>
          <rPr>
            <sz val="12"/>
            <color indexed="81"/>
            <rFont val="Tahoma"/>
            <family val="2"/>
          </rPr>
          <t xml:space="preserve">  are invalid.
Field Size Limits are based on the range on the TPR and PSF Data Tables.</t>
        </r>
      </text>
    </comment>
    <comment ref="C170" authorId="2">
      <text>
        <r>
          <rPr>
            <b/>
            <sz val="12"/>
            <color indexed="81"/>
            <rFont val="Tahoma"/>
            <family val="2"/>
          </rPr>
          <t xml:space="preserve">Field Size Display X </t>
        </r>
        <r>
          <rPr>
            <sz val="12"/>
            <color indexed="81"/>
            <rFont val="Tahoma"/>
            <family val="2"/>
          </rPr>
          <t>formats the X field size for display.  
If X1 = X2,</t>
        </r>
        <r>
          <rPr>
            <i/>
            <sz val="12"/>
            <color indexed="81"/>
            <rFont val="Tahoma"/>
            <family val="2"/>
          </rPr>
          <t xml:space="preserve"> </t>
        </r>
        <r>
          <rPr>
            <b/>
            <sz val="12"/>
            <color indexed="81"/>
            <rFont val="Tahoma"/>
            <family val="2"/>
          </rPr>
          <t xml:space="preserve">Field Size X </t>
        </r>
        <r>
          <rPr>
            <sz val="12"/>
            <color indexed="81"/>
            <rFont val="Tahoma"/>
            <family val="2"/>
          </rPr>
          <t xml:space="preserve"> is displayed
 otherwise it is displayed as:  (</t>
        </r>
        <r>
          <rPr>
            <i/>
            <sz val="12"/>
            <color indexed="81"/>
            <rFont val="Tahoma"/>
            <family val="2"/>
          </rPr>
          <t>X1,X2</t>
        </r>
        <r>
          <rPr>
            <sz val="12"/>
            <color indexed="81"/>
            <rFont val="Tahoma"/>
            <family val="2"/>
          </rPr>
          <t>)
The field size is displayed with 1 decimal place.</t>
        </r>
      </text>
    </comment>
    <comment ref="C171" authorId="1">
      <text>
        <r>
          <rPr>
            <b/>
            <sz val="12"/>
            <color indexed="81"/>
            <rFont val="Tahoma"/>
            <family val="2"/>
          </rPr>
          <t>Field Size Display Y</t>
        </r>
        <r>
          <rPr>
            <sz val="12"/>
            <color indexed="81"/>
            <rFont val="Tahoma"/>
            <family val="2"/>
          </rPr>
          <t xml:space="preserve"> formats the Y field size for display.  
If Y1 = Y2, </t>
        </r>
        <r>
          <rPr>
            <b/>
            <sz val="12"/>
            <color indexed="81"/>
            <rFont val="Tahoma"/>
            <family val="2"/>
          </rPr>
          <t>Field Size Y</t>
        </r>
        <r>
          <rPr>
            <sz val="12"/>
            <color indexed="81"/>
            <rFont val="Tahoma"/>
            <family val="2"/>
          </rPr>
          <t xml:space="preserve">  is displayed
 otherwise it is displayed as:  (</t>
        </r>
        <r>
          <rPr>
            <i/>
            <sz val="12"/>
            <color indexed="81"/>
            <rFont val="Tahoma"/>
            <family val="2"/>
          </rPr>
          <t>Y1,Y2</t>
        </r>
        <r>
          <rPr>
            <sz val="12"/>
            <color indexed="81"/>
            <rFont val="Tahoma"/>
            <family val="2"/>
          </rPr>
          <t xml:space="preserve">)
The field size is displayed with 1 decimal place, </t>
        </r>
      </text>
    </comment>
    <comment ref="C172" authorId="1">
      <text>
        <r>
          <rPr>
            <b/>
            <sz val="12"/>
            <color indexed="81"/>
            <rFont val="Tahoma"/>
            <family val="2"/>
          </rPr>
          <t xml:space="preserve">Field Size Display </t>
        </r>
        <r>
          <rPr>
            <sz val="12"/>
            <color indexed="81"/>
            <rFont val="Tahoma"/>
            <family val="2"/>
          </rPr>
          <t>combines the text in</t>
        </r>
        <r>
          <rPr>
            <b/>
            <sz val="12"/>
            <color indexed="81"/>
            <rFont val="Tahoma"/>
            <family val="2"/>
          </rPr>
          <t xml:space="preserve"> Field Size Display X </t>
        </r>
        <r>
          <rPr>
            <sz val="12"/>
            <color indexed="81"/>
            <rFont val="Tahoma"/>
            <family val="2"/>
          </rPr>
          <t>and</t>
        </r>
        <r>
          <rPr>
            <i/>
            <sz val="12"/>
            <color indexed="81"/>
            <rFont val="Tahoma"/>
            <family val="2"/>
          </rPr>
          <t xml:space="preserve"> </t>
        </r>
        <r>
          <rPr>
            <b/>
            <sz val="12"/>
            <color indexed="81"/>
            <rFont val="Tahoma"/>
            <family val="2"/>
          </rPr>
          <t>Field Size Display Y</t>
        </r>
        <r>
          <rPr>
            <sz val="12"/>
            <color indexed="81"/>
            <rFont val="Tahoma"/>
            <family val="2"/>
          </rPr>
          <t xml:space="preserve"> to produce the standard written form for the Field Size in the form:
</t>
        </r>
        <r>
          <rPr>
            <b/>
            <sz val="12"/>
            <color indexed="81"/>
            <rFont val="Tahoma"/>
            <family val="2"/>
          </rPr>
          <t>Field Size Display X</t>
        </r>
        <r>
          <rPr>
            <sz val="12"/>
            <color indexed="81"/>
            <rFont val="Tahoma"/>
            <family val="2"/>
          </rPr>
          <t xml:space="preserve"> x</t>
        </r>
        <r>
          <rPr>
            <b/>
            <sz val="12"/>
            <color indexed="81"/>
            <rFont val="Tahoma"/>
            <family val="2"/>
          </rPr>
          <t xml:space="preserve"> Field Size Display Y</t>
        </r>
      </text>
    </comment>
    <comment ref="C173" authorId="2">
      <text>
        <r>
          <rPr>
            <b/>
            <sz val="12"/>
            <color indexed="81"/>
            <rFont val="Tahoma"/>
            <family val="2"/>
          </rPr>
          <t xml:space="preserve">Valid X &amp; Y </t>
        </r>
        <r>
          <rPr>
            <sz val="12"/>
            <color indexed="81"/>
            <rFont val="Tahoma"/>
            <family val="2"/>
          </rPr>
          <t xml:space="preserve">Checks all of the above tests to confirm that the X and Y values eneterd are valid.
If a </t>
        </r>
        <r>
          <rPr>
            <i/>
            <sz val="12"/>
            <color indexed="81"/>
            <rFont val="Tahoma"/>
            <family val="2"/>
          </rPr>
          <t>Valid Field Name</t>
        </r>
        <r>
          <rPr>
            <sz val="12"/>
            <color indexed="81"/>
            <rFont val="Tahoma"/>
            <family val="2"/>
          </rPr>
          <t xml:space="preserve"> has been entered, A TRUE value indicates that the field size is good.
If the Field Name is not valid this value will be TRUE regardless of the parameters entered</t>
        </r>
      </text>
    </comment>
    <comment ref="B177" authorId="0">
      <text>
        <r>
          <rPr>
            <b/>
            <sz val="12"/>
            <color indexed="81"/>
            <rFont val="Tahoma"/>
            <family val="2"/>
          </rPr>
          <t>Blocks</t>
        </r>
        <r>
          <rPr>
            <sz val="12"/>
            <color indexed="81"/>
            <rFont val="Tahoma"/>
            <family val="2"/>
          </rPr>
          <t xml:space="preserve"> Provides for the selection of different shielding types and will include the appropriate tray factor for the shielding selected.  This section is only used if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xml:space="preserve"> is selected.
</t>
        </r>
      </text>
    </comment>
    <comment ref="B179" authorId="0">
      <text>
        <r>
          <rPr>
            <sz val="12"/>
            <color indexed="81"/>
            <rFont val="Tahoma"/>
            <family val="2"/>
          </rPr>
          <t xml:space="preserve">A link to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TRUE indicates that Blocks may be selected and tray factors will be used.
The default is FALSE</t>
        </r>
      </text>
    </comment>
    <comment ref="C179" authorId="0">
      <text>
        <r>
          <rPr>
            <b/>
            <sz val="12"/>
            <color indexed="81"/>
            <rFont val="Tahoma"/>
            <family val="2"/>
          </rPr>
          <t>Block Type Lists</t>
        </r>
        <r>
          <rPr>
            <sz val="12"/>
            <color indexed="81"/>
            <rFont val="Tahoma"/>
            <family val="2"/>
          </rPr>
          <t xml:space="preserve"> includes all block types available from the Data Table used with each field.
If </t>
        </r>
        <r>
          <rPr>
            <b/>
            <sz val="12"/>
            <color indexed="81"/>
            <rFont val="Tahoma"/>
            <family val="2"/>
          </rPr>
          <t>Blocks</t>
        </r>
        <r>
          <rPr>
            <sz val="12"/>
            <color indexed="81"/>
            <rFont val="Tahoma"/>
            <family val="2"/>
          </rPr>
          <t xml:space="preserve"> is FALSE this table will be blank
These lists are used by the 
</t>
        </r>
        <r>
          <rPr>
            <u/>
            <sz val="12"/>
            <color indexed="81"/>
            <rFont val="Tahoma"/>
            <family val="2"/>
          </rPr>
          <t>Blocks drop down boxes</t>
        </r>
        <r>
          <rPr>
            <sz val="12"/>
            <color indexed="81"/>
            <rFont val="Tahoma"/>
            <family val="2"/>
          </rPr>
          <t xml:space="preserve"> in</t>
        </r>
        <r>
          <rPr>
            <i/>
            <sz val="12"/>
            <color indexed="81"/>
            <rFont val="Tahoma"/>
            <family val="2"/>
          </rPr>
          <t xml:space="preserve"> Data Entry.</t>
        </r>
      </text>
    </comment>
    <comment ref="B180" authorId="0">
      <text>
        <r>
          <rPr>
            <b/>
            <sz val="12"/>
            <color indexed="81"/>
            <rFont val="Tahoma"/>
            <family val="2"/>
          </rPr>
          <t xml:space="preserve">Possible Block Types </t>
        </r>
        <r>
          <rPr>
            <sz val="12"/>
            <color indexed="81"/>
            <rFont val="Tahoma"/>
            <family val="2"/>
          </rPr>
          <t>This column lists all possible block types from all data tables.</t>
        </r>
      </text>
    </comment>
    <comment ref="C180" authorId="0">
      <text>
        <r>
          <rPr>
            <b/>
            <sz val="12"/>
            <color indexed="81"/>
            <rFont val="Tahoma"/>
            <family val="2"/>
          </rPr>
          <t>Block Option</t>
        </r>
        <r>
          <rPr>
            <sz val="12"/>
            <color indexed="81"/>
            <rFont val="Tahoma"/>
            <family val="2"/>
          </rPr>
          <t xml:space="preserve">, is used by the </t>
        </r>
        <r>
          <rPr>
            <u/>
            <sz val="12"/>
            <color indexed="81"/>
            <rFont val="Tahoma"/>
            <family val="2"/>
          </rPr>
          <t>Blocks Drop Down Boxes</t>
        </r>
        <r>
          <rPr>
            <sz val="12"/>
            <color indexed="81"/>
            <rFont val="Tahoma"/>
            <family val="2"/>
          </rPr>
          <t xml:space="preserve"> in </t>
        </r>
        <r>
          <rPr>
            <i/>
            <sz val="12"/>
            <color indexed="81"/>
            <rFont val="Tahoma"/>
            <family val="2"/>
          </rPr>
          <t>Data Entry</t>
        </r>
        <r>
          <rPr>
            <sz val="12"/>
            <color indexed="81"/>
            <rFont val="Tahoma"/>
            <family val="2"/>
          </rPr>
          <t xml:space="preserve"> to select block types.  
These columns are populates by searching the table in </t>
        </r>
        <r>
          <rPr>
            <i/>
            <sz val="12"/>
            <color indexed="81"/>
            <rFont val="Tahoma"/>
            <family val="2"/>
          </rPr>
          <t>Parameters</t>
        </r>
        <r>
          <rPr>
            <sz val="12"/>
            <color indexed="81"/>
            <rFont val="Tahoma"/>
            <family val="2"/>
          </rPr>
          <t xml:space="preserve">  for the presence of the block type in the first column.   
The Block Type options displayed depend on the unit and energy selected.  The same number of selection slots are always available, but some may be blank.
If </t>
        </r>
        <r>
          <rPr>
            <b/>
            <sz val="12"/>
            <color indexed="81"/>
            <rFont val="Tahoma"/>
            <family val="2"/>
          </rPr>
          <t>Blocks</t>
        </r>
        <r>
          <rPr>
            <sz val="12"/>
            <color indexed="81"/>
            <rFont val="Tahoma"/>
            <family val="2"/>
          </rPr>
          <t xml:space="preserve"> is FALSE this table will be blank. </t>
        </r>
      </text>
    </comment>
    <comment ref="C185" authorId="1">
      <text>
        <r>
          <rPr>
            <b/>
            <sz val="12"/>
            <color indexed="81"/>
            <rFont val="Tahoma"/>
            <family val="2"/>
          </rPr>
          <t>Tray Factors</t>
        </r>
        <r>
          <rPr>
            <sz val="12"/>
            <color indexed="81"/>
            <rFont val="Tahoma"/>
            <family val="2"/>
          </rPr>
          <t xml:space="preserve"> Indicates the Block type selected, and</t>
        </r>
        <r>
          <rPr>
            <b/>
            <sz val="12"/>
            <color indexed="81"/>
            <rFont val="Tahoma"/>
            <family val="2"/>
          </rPr>
          <t xml:space="preserve"> </t>
        </r>
        <r>
          <rPr>
            <sz val="12"/>
            <color indexed="81"/>
            <rFont val="Tahoma"/>
            <family val="2"/>
          </rPr>
          <t>extracts the</t>
        </r>
        <r>
          <rPr>
            <b/>
            <sz val="12"/>
            <color indexed="81"/>
            <rFont val="Tahoma"/>
            <family val="2"/>
          </rPr>
          <t xml:space="preserve"> Tray Factor</t>
        </r>
        <r>
          <rPr>
            <sz val="12"/>
            <color indexed="81"/>
            <rFont val="Tahoma"/>
            <family val="2"/>
          </rPr>
          <t xml:space="preserve"> for the selected </t>
        </r>
        <r>
          <rPr>
            <b/>
            <sz val="12"/>
            <color indexed="81"/>
            <rFont val="Tahoma"/>
            <family val="2"/>
          </rPr>
          <t>Block Type</t>
        </r>
        <r>
          <rPr>
            <sz val="12"/>
            <color indexed="81"/>
            <rFont val="Tahoma"/>
            <family val="2"/>
          </rPr>
          <t xml:space="preserve"> from </t>
        </r>
        <r>
          <rPr>
            <i/>
            <sz val="12"/>
            <color indexed="81"/>
            <rFont val="Tahoma"/>
            <family val="2"/>
          </rPr>
          <t>Parameters</t>
        </r>
        <r>
          <rPr>
            <sz val="12"/>
            <color indexed="81"/>
            <rFont val="Tahoma"/>
            <family val="2"/>
          </rPr>
          <t>.
Future versions may test the gantry angle when Placed blocks are selected to see that it is appropriate.</t>
        </r>
      </text>
    </comment>
    <comment ref="C186" authorId="0">
      <text>
        <r>
          <rPr>
            <b/>
            <sz val="12"/>
            <color indexed="81"/>
            <rFont val="Tahoma"/>
            <family val="2"/>
          </rPr>
          <t xml:space="preserve">Block Drop Down Index </t>
        </r>
        <r>
          <rPr>
            <sz val="12"/>
            <color indexed="81"/>
            <rFont val="Tahoma"/>
            <family val="2"/>
          </rPr>
          <t xml:space="preserve">is an index to the </t>
        </r>
        <r>
          <rPr>
            <b/>
            <u/>
            <sz val="12"/>
            <color indexed="81"/>
            <rFont val="Tahoma"/>
            <family val="2"/>
          </rPr>
          <t>Block Type Lists</t>
        </r>
        <r>
          <rPr>
            <sz val="12"/>
            <color indexed="81"/>
            <rFont val="Tahoma"/>
            <family val="2"/>
          </rPr>
          <t xml:space="preserve">. It is linked to the </t>
        </r>
        <r>
          <rPr>
            <i/>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xml:space="preserve">.  The Block Type options displayed depend on the unit and energy selected.  The same number of selection slots are always available, but some may be blank.
</t>
        </r>
      </text>
    </comment>
    <comment ref="C187" authorId="0">
      <text>
        <r>
          <rPr>
            <b/>
            <sz val="12"/>
            <color indexed="81"/>
            <rFont val="Tahoma"/>
            <family val="2"/>
          </rPr>
          <t xml:space="preserve">Block Type: </t>
        </r>
        <r>
          <rPr>
            <sz val="12"/>
            <color indexed="81"/>
            <rFont val="Tahoma"/>
            <family val="2"/>
          </rPr>
          <t xml:space="preserve">The Block Type selected by the </t>
        </r>
        <r>
          <rPr>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If a blank element is selected the "#N/A" value is generated</t>
        </r>
      </text>
    </comment>
    <comment ref="C188" authorId="0">
      <text>
        <r>
          <rPr>
            <sz val="12"/>
            <color indexed="81"/>
            <rFont val="Tahoma"/>
            <family val="2"/>
          </rPr>
          <t>The</t>
        </r>
        <r>
          <rPr>
            <b/>
            <sz val="12"/>
            <color indexed="81"/>
            <rFont val="Tahoma"/>
            <family val="2"/>
          </rPr>
          <t xml:space="preserve"> Tray Factor </t>
        </r>
        <r>
          <rPr>
            <sz val="12"/>
            <color indexed="81"/>
            <rFont val="Tahoma"/>
            <family val="2"/>
          </rPr>
          <t xml:space="preserve">value to be used in the dose calculations.
It is obtained from lookup tables in </t>
        </r>
        <r>
          <rPr>
            <i/>
            <sz val="12"/>
            <color indexed="81"/>
            <rFont val="Tahoma"/>
            <family val="2"/>
          </rPr>
          <t>Parameters</t>
        </r>
        <r>
          <rPr>
            <sz val="12"/>
            <color indexed="81"/>
            <rFont val="Tahoma"/>
            <family val="2"/>
          </rPr>
          <t>.
If an invalid type is selected an "#N/A" value is generated</t>
        </r>
      </text>
    </comment>
    <comment ref="C189" authorId="0">
      <text>
        <r>
          <rPr>
            <b/>
            <sz val="12"/>
            <color indexed="81"/>
            <rFont val="Tahoma"/>
            <family val="2"/>
          </rPr>
          <t>Valid Block Selection</t>
        </r>
        <r>
          <rPr>
            <sz val="12"/>
            <color indexed="81"/>
            <rFont val="Tahoma"/>
            <family val="2"/>
          </rPr>
          <t xml:space="preserve"> tests to see that the </t>
        </r>
        <r>
          <rPr>
            <b/>
            <sz val="12"/>
            <color indexed="81"/>
            <rFont val="Tahoma"/>
            <family val="2"/>
          </rPr>
          <t>Block Type</t>
        </r>
        <r>
          <rPr>
            <sz val="12"/>
            <color indexed="81"/>
            <rFont val="Tahoma"/>
            <family val="2"/>
          </rPr>
          <t xml:space="preserve"> selected is a legitimate one for the current Treatment Unit and Energy by checking for  "#N/A" values.  
If </t>
        </r>
        <r>
          <rPr>
            <b/>
            <sz val="12"/>
            <color indexed="81"/>
            <rFont val="Tahoma"/>
            <family val="2"/>
          </rPr>
          <t>Blocks</t>
        </r>
        <r>
          <rPr>
            <sz val="12"/>
            <color indexed="81"/>
            <rFont val="Tahoma"/>
            <family val="2"/>
          </rPr>
          <t xml:space="preserve"> is FALSE This will be TRUE regardless of the Block Type selection.
</t>
        </r>
      </text>
    </comment>
    <comment ref="C190" authorId="2">
      <text>
        <r>
          <rPr>
            <b/>
            <sz val="12"/>
            <color indexed="81"/>
            <rFont val="Tahoma"/>
            <family val="2"/>
          </rPr>
          <t>Gantry</t>
        </r>
        <r>
          <rPr>
            <sz val="12"/>
            <color indexed="81"/>
            <rFont val="Tahoma"/>
            <family val="2"/>
          </rPr>
          <t xml:space="preserve"> is currently not used, since the field gantry angle is not requested in </t>
        </r>
        <r>
          <rPr>
            <i/>
            <sz val="12"/>
            <color indexed="81"/>
            <rFont val="Tahoma"/>
            <family val="2"/>
          </rPr>
          <t>Data Entry</t>
        </r>
        <r>
          <rPr>
            <sz val="12"/>
            <color indexed="81"/>
            <rFont val="Tahoma"/>
            <family val="2"/>
          </rPr>
          <t>.  In future versions, it could be used to test whether it is valid to use placed blocks.</t>
        </r>
      </text>
    </comment>
    <comment ref="C191" authorId="2">
      <text>
        <r>
          <rPr>
            <b/>
            <sz val="12"/>
            <color indexed="81"/>
            <rFont val="Tahoma"/>
            <family val="2"/>
          </rPr>
          <t>Placed Block OK</t>
        </r>
        <r>
          <rPr>
            <sz val="12"/>
            <color indexed="81"/>
            <rFont val="Tahoma"/>
            <family val="2"/>
          </rPr>
          <t xml:space="preserve"> is currently not used.  In future versions it could be used to check whether a placed block is assigned to a field with a gantry angle more than 5 degrees off of 0 or 180.
</t>
        </r>
      </text>
    </comment>
    <comment ref="C192" authorId="0">
      <text>
        <r>
          <rPr>
            <b/>
            <sz val="12"/>
            <color indexed="81"/>
            <rFont val="Tahoma"/>
            <family val="2"/>
          </rPr>
          <t>Valid Block</t>
        </r>
        <r>
          <rPr>
            <sz val="12"/>
            <color indexed="81"/>
            <rFont val="Tahoma"/>
            <family val="2"/>
          </rPr>
          <t xml:space="preserve"> is currently equal to </t>
        </r>
        <r>
          <rPr>
            <b/>
            <sz val="12"/>
            <color indexed="81"/>
            <rFont val="Tahoma"/>
            <family val="2"/>
          </rPr>
          <t>Valid Block Selection</t>
        </r>
        <r>
          <rPr>
            <sz val="12"/>
            <color indexed="81"/>
            <rFont val="Tahoma"/>
            <family val="2"/>
          </rPr>
          <t xml:space="preserve">.  In future versions is could test that both </t>
        </r>
        <r>
          <rPr>
            <b/>
            <sz val="12"/>
            <color indexed="81"/>
            <rFont val="Tahoma"/>
            <family val="2"/>
          </rPr>
          <t>Valid Block Selection</t>
        </r>
        <r>
          <rPr>
            <sz val="12"/>
            <color indexed="81"/>
            <rFont val="Tahoma"/>
            <family val="2"/>
          </rPr>
          <t xml:space="preserve"> and </t>
        </r>
        <r>
          <rPr>
            <b/>
            <sz val="12"/>
            <color indexed="81"/>
            <rFont val="Tahoma"/>
            <family val="2"/>
          </rPr>
          <t>Placed Block OK</t>
        </r>
        <r>
          <rPr>
            <sz val="12"/>
            <color indexed="81"/>
            <rFont val="Tahoma"/>
            <family val="2"/>
          </rPr>
          <t xml:space="preserve"> are TRUE.
</t>
        </r>
      </text>
    </comment>
    <comment ref="B198" authorId="0">
      <text>
        <r>
          <rPr>
            <b/>
            <sz val="9"/>
            <color indexed="81"/>
            <rFont val="Tahoma"/>
            <family val="2"/>
          </rPr>
          <t xml:space="preserve">Dose Per Field </t>
        </r>
        <r>
          <rPr>
            <sz val="9"/>
            <color indexed="81"/>
            <rFont val="Tahoma"/>
            <family val="2"/>
          </rPr>
          <t>This table calculates the Dose Per Field based on the Dose, Fractionation and Field Weights from Data Entry</t>
        </r>
      </text>
    </comment>
    <comment ref="C199" authorId="2">
      <text>
        <r>
          <rPr>
            <b/>
            <sz val="8"/>
            <color indexed="81"/>
            <rFont val="Tahoma"/>
            <family val="2"/>
          </rPr>
          <t xml:space="preserve">Total Dose </t>
        </r>
        <r>
          <rPr>
            <sz val="8"/>
            <color indexed="81"/>
            <rFont val="Tahoma"/>
            <family val="2"/>
          </rPr>
          <t>is obtained from the Header value in</t>
        </r>
        <r>
          <rPr>
            <i/>
            <sz val="8"/>
            <color indexed="81"/>
            <rFont val="Tahoma"/>
            <family val="2"/>
          </rPr>
          <t xml:space="preserve"> Data Entry</t>
        </r>
      </text>
    </comment>
    <comment ref="C200" authorId="0">
      <text>
        <r>
          <rPr>
            <b/>
            <sz val="9"/>
            <color indexed="81"/>
            <rFont val="Tahoma"/>
            <family val="2"/>
          </rPr>
          <t xml:space="preserve">Min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minimum expected Total Dose Value
A warning will be given if the</t>
        </r>
        <r>
          <rPr>
            <i/>
            <sz val="9"/>
            <color indexed="81"/>
            <rFont val="Tahoma"/>
            <family val="2"/>
          </rPr>
          <t>Total Dose</t>
        </r>
        <r>
          <rPr>
            <sz val="9"/>
            <color indexed="81"/>
            <rFont val="Tahoma"/>
            <family val="2"/>
          </rPr>
          <t xml:space="preserve"> is less than this value</t>
        </r>
      </text>
    </comment>
    <comment ref="C201" authorId="0">
      <text>
        <r>
          <rPr>
            <b/>
            <sz val="9"/>
            <color indexed="81"/>
            <rFont val="Tahoma"/>
            <family val="2"/>
          </rPr>
          <t xml:space="preserve">Max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maximum expected </t>
        </r>
        <r>
          <rPr>
            <i/>
            <sz val="9"/>
            <color indexed="81"/>
            <rFont val="Tahoma"/>
            <family val="2"/>
          </rPr>
          <t>Total Dose</t>
        </r>
        <r>
          <rPr>
            <sz val="9"/>
            <color indexed="81"/>
            <rFont val="Tahoma"/>
            <family val="2"/>
          </rPr>
          <t xml:space="preserve"> Value
A warning will be given if the</t>
        </r>
        <r>
          <rPr>
            <i/>
            <sz val="9"/>
            <color indexed="81"/>
            <rFont val="Tahoma"/>
            <family val="2"/>
          </rPr>
          <t xml:space="preserve">Total Dose </t>
        </r>
        <r>
          <rPr>
            <sz val="9"/>
            <color indexed="81"/>
            <rFont val="Tahoma"/>
            <family val="2"/>
          </rPr>
          <t>is greater than this value</t>
        </r>
      </text>
    </comment>
    <comment ref="C202" authorId="0">
      <text>
        <r>
          <rPr>
            <b/>
            <sz val="9"/>
            <color indexed="81"/>
            <rFont val="Tahoma"/>
            <family val="2"/>
          </rPr>
          <t xml:space="preserve">Total Dose Reasonable </t>
        </r>
        <r>
          <rPr>
            <sz val="9"/>
            <color indexed="81"/>
            <rFont val="Tahoma"/>
            <family val="2"/>
          </rPr>
          <t>This is a sanity checl on the</t>
        </r>
        <r>
          <rPr>
            <i/>
            <sz val="9"/>
            <color indexed="81"/>
            <rFont val="Tahoma"/>
            <family val="2"/>
          </rPr>
          <t xml:space="preserve"> Total Dose </t>
        </r>
        <r>
          <rPr>
            <sz val="9"/>
            <color indexed="81"/>
            <rFont val="Tahoma"/>
            <family val="2"/>
          </rPr>
          <t xml:space="preserve">Value
A Warning is given if the </t>
        </r>
        <r>
          <rPr>
            <i/>
            <sz val="9"/>
            <color indexed="81"/>
            <rFont val="Tahoma"/>
            <family val="2"/>
          </rPr>
          <t>Total Dose</t>
        </r>
        <r>
          <rPr>
            <sz val="9"/>
            <color indexed="81"/>
            <rFont val="Tahoma"/>
            <family val="2"/>
          </rPr>
          <t xml:space="preserve"> is less than </t>
        </r>
        <r>
          <rPr>
            <i/>
            <sz val="9"/>
            <color indexed="81"/>
            <rFont val="Tahoma"/>
            <family val="2"/>
          </rPr>
          <t>Min Expected Total Dose</t>
        </r>
        <r>
          <rPr>
            <sz val="9"/>
            <color indexed="81"/>
            <rFont val="Tahoma"/>
            <family val="2"/>
          </rPr>
          <t xml:space="preserve"> or more than </t>
        </r>
        <r>
          <rPr>
            <i/>
            <sz val="9"/>
            <color indexed="81"/>
            <rFont val="Tahoma"/>
            <family val="2"/>
          </rPr>
          <t>Max Expected Total Dose</t>
        </r>
      </text>
    </comment>
    <comment ref="C203" authorId="0">
      <text>
        <r>
          <rPr>
            <b/>
            <sz val="9"/>
            <color indexed="81"/>
            <rFont val="Tahoma"/>
            <family val="2"/>
          </rPr>
          <t xml:space="preserve">Number of Fractions </t>
        </r>
        <r>
          <rPr>
            <sz val="9"/>
            <color indexed="81"/>
            <rFont val="Tahoma"/>
            <family val="2"/>
          </rPr>
          <t xml:space="preserve">is obtained from the Header value in </t>
        </r>
        <r>
          <rPr>
            <i/>
            <sz val="9"/>
            <color indexed="81"/>
            <rFont val="Tahoma"/>
            <family val="2"/>
          </rPr>
          <t>Data Entry</t>
        </r>
      </text>
    </comment>
    <comment ref="C204" authorId="0">
      <text>
        <r>
          <rPr>
            <b/>
            <sz val="9"/>
            <color indexed="81"/>
            <rFont val="Tahoma"/>
            <family val="2"/>
          </rPr>
          <t xml:space="preserve">Min Expected # Fractions: </t>
        </r>
        <r>
          <rPr>
            <sz val="9"/>
            <color indexed="81"/>
            <rFont val="Tahoma"/>
            <family val="2"/>
          </rPr>
          <t xml:space="preserve">This is a sanity check on the </t>
        </r>
        <r>
          <rPr>
            <i/>
            <sz val="9"/>
            <color indexed="81"/>
            <rFont val="Tahoma"/>
            <family val="2"/>
          </rPr>
          <t># Fractions</t>
        </r>
        <r>
          <rPr>
            <sz val="9"/>
            <color indexed="81"/>
            <rFont val="Tahoma"/>
            <family val="2"/>
          </rPr>
          <t xml:space="preserve">
The value is the minimum expected </t>
        </r>
        <r>
          <rPr>
            <i/>
            <sz val="9"/>
            <color indexed="81"/>
            <rFont val="Tahoma"/>
            <family val="2"/>
          </rPr>
          <t># Fractions</t>
        </r>
        <r>
          <rPr>
            <sz val="9"/>
            <color indexed="81"/>
            <rFont val="Tahoma"/>
            <family val="2"/>
          </rPr>
          <t xml:space="preserve">
A warning will be given if the</t>
        </r>
        <r>
          <rPr>
            <i/>
            <sz val="9"/>
            <color indexed="81"/>
            <rFont val="Tahoma"/>
            <family val="2"/>
          </rPr>
          <t xml:space="preserve"> # Fractions</t>
        </r>
        <r>
          <rPr>
            <sz val="9"/>
            <color indexed="81"/>
            <rFont val="Tahoma"/>
            <family val="2"/>
          </rPr>
          <t xml:space="preserve"> is less than this value</t>
        </r>
      </text>
    </comment>
    <comment ref="C205" authorId="0">
      <text>
        <r>
          <rPr>
            <b/>
            <sz val="9"/>
            <color indexed="81"/>
            <rFont val="Tahoma"/>
            <family val="2"/>
          </rPr>
          <t xml:space="preserve">Max Expected # Fractions: </t>
        </r>
        <r>
          <rPr>
            <sz val="9"/>
            <color indexed="81"/>
            <rFont val="Tahoma"/>
            <family val="2"/>
          </rPr>
          <t>This is a sanity check on the # Fractions
The value is the maximum expected # Fractions
A warning will be given if the # Fractions is greater than this value</t>
        </r>
      </text>
    </comment>
    <comment ref="C206" authorId="0">
      <text>
        <r>
          <rPr>
            <b/>
            <sz val="9"/>
            <color indexed="81"/>
            <rFont val="Tahoma"/>
            <family val="2"/>
          </rPr>
          <t xml:space="preserve"># Fractions Reasonable </t>
        </r>
        <r>
          <rPr>
            <sz val="9"/>
            <color indexed="81"/>
            <rFont val="Tahoma"/>
            <family val="2"/>
          </rPr>
          <t xml:space="preserve">This is a sanity checl on the </t>
        </r>
        <r>
          <rPr>
            <i/>
            <sz val="9"/>
            <color indexed="81"/>
            <rFont val="Tahoma"/>
            <family val="2"/>
          </rPr>
          <t># Fractions</t>
        </r>
        <r>
          <rPr>
            <sz val="9"/>
            <color indexed="81"/>
            <rFont val="Tahoma"/>
            <family val="2"/>
          </rPr>
          <t xml:space="preserve">
A warning is given if the # Fractions is less than Min Expected # Fractions or more than Max Expected # Fractions</t>
        </r>
      </text>
    </comment>
    <comment ref="C207" authorId="0">
      <text>
        <r>
          <rPr>
            <b/>
            <sz val="9"/>
            <color indexed="81"/>
            <rFont val="Tahoma"/>
            <family val="2"/>
          </rPr>
          <t xml:space="preserve">Valid Field Name:  </t>
        </r>
        <r>
          <rPr>
            <sz val="9"/>
            <color indexed="81"/>
            <rFont val="Tahoma"/>
            <family val="2"/>
          </rPr>
          <t>A link to the test of field names above</t>
        </r>
      </text>
    </comment>
    <comment ref="C208" authorId="2">
      <text>
        <r>
          <rPr>
            <b/>
            <sz val="9"/>
            <color indexed="81"/>
            <rFont val="Tahoma"/>
            <family val="2"/>
          </rPr>
          <t xml:space="preserve">Beam Weight  </t>
        </r>
        <r>
          <rPr>
            <sz val="9"/>
            <color indexed="81"/>
            <rFont val="Tahoma"/>
            <family val="2"/>
          </rPr>
          <t>Default Beam Weight based on equal weighting for all beams</t>
        </r>
      </text>
    </comment>
    <comment ref="C209" authorId="2">
      <text>
        <r>
          <rPr>
            <sz val="9"/>
            <color indexed="81"/>
            <rFont val="Tahoma"/>
            <family val="2"/>
          </rPr>
          <t xml:space="preserve">If the Field name is valid, the </t>
        </r>
        <r>
          <rPr>
            <b/>
            <sz val="9"/>
            <color indexed="81"/>
            <rFont val="Tahoma"/>
            <family val="2"/>
          </rPr>
          <t>Beam</t>
        </r>
        <r>
          <rPr>
            <sz val="9"/>
            <color indexed="81"/>
            <rFont val="Tahoma"/>
            <family val="2"/>
          </rPr>
          <t xml:space="preserve"> </t>
        </r>
        <r>
          <rPr>
            <b/>
            <sz val="9"/>
            <color indexed="81"/>
            <rFont val="Tahoma"/>
            <family val="2"/>
          </rPr>
          <t xml:space="preserve">Weight </t>
        </r>
        <r>
          <rPr>
            <sz val="9"/>
            <color indexed="81"/>
            <rFont val="Tahoma"/>
            <family val="2"/>
          </rPr>
          <t xml:space="preserve">from </t>
        </r>
        <r>
          <rPr>
            <i/>
            <sz val="9"/>
            <color indexed="81"/>
            <rFont val="Tahoma"/>
            <family val="2"/>
          </rPr>
          <t>Data Entry</t>
        </r>
        <r>
          <rPr>
            <sz val="9"/>
            <color indexed="81"/>
            <rFont val="Tahoma"/>
            <family val="2"/>
          </rPr>
          <t xml:space="preserve">otherwise 0.0 </t>
        </r>
      </text>
    </comment>
    <comment ref="C210" authorId="0">
      <text>
        <r>
          <rPr>
            <b/>
            <sz val="9"/>
            <color indexed="81"/>
            <rFont val="Tahoma"/>
            <family val="2"/>
          </rPr>
          <t xml:space="preserve">Default Beam Weights Used:  </t>
        </r>
        <r>
          <rPr>
            <sz val="9"/>
            <color indexed="81"/>
            <rFont val="Tahoma"/>
            <family val="2"/>
          </rPr>
          <t xml:space="preserve">Tests to see that entered beam weights are the same as the default beam weights If the </t>
        </r>
        <r>
          <rPr>
            <i/>
            <sz val="9"/>
            <color indexed="81"/>
            <rFont val="Tahoma"/>
            <family val="2"/>
          </rPr>
          <t>Field Name</t>
        </r>
        <r>
          <rPr>
            <sz val="9"/>
            <color indexed="81"/>
            <rFont val="Tahoma"/>
            <family val="2"/>
          </rPr>
          <t xml:space="preserve"> is not valid the test is not done and the result is reported as\ TRUE</t>
        </r>
      </text>
    </comment>
    <comment ref="C211" authorId="0">
      <text>
        <r>
          <rPr>
            <b/>
            <sz val="9"/>
            <color indexed="81"/>
            <rFont val="Tahoma"/>
            <family val="2"/>
          </rPr>
          <t xml:space="preserve">Valid Individual Beam Weightss:  </t>
        </r>
        <r>
          <rPr>
            <sz val="9"/>
            <color indexed="81"/>
            <rFont val="Tahoma"/>
            <family val="2"/>
          </rPr>
          <t xml:space="preserve">Tests to see that entered beam weights are &gt;0 and &lt;1
If the </t>
        </r>
        <r>
          <rPr>
            <i/>
            <sz val="9"/>
            <color indexed="81"/>
            <rFont val="Tahoma"/>
            <family val="2"/>
          </rPr>
          <t>Field Name</t>
        </r>
        <r>
          <rPr>
            <sz val="9"/>
            <color indexed="81"/>
            <rFont val="Tahoma"/>
            <family val="2"/>
          </rPr>
          <t xml:space="preserve"> is not valid the test is not done and the Field weight is reported valid</t>
        </r>
      </text>
    </comment>
    <comment ref="C212" authorId="0">
      <text>
        <r>
          <rPr>
            <b/>
            <sz val="9"/>
            <color indexed="81"/>
            <rFont val="Tahoma"/>
            <family val="2"/>
          </rPr>
          <t xml:space="preserve">Total Beam Weight </t>
        </r>
        <r>
          <rPr>
            <sz val="9"/>
            <color indexed="81"/>
            <rFont val="Tahoma"/>
            <family val="2"/>
          </rPr>
          <t>is the sum of the beam weights for all valid fields</t>
        </r>
      </text>
    </comment>
    <comment ref="C213" authorId="0">
      <text>
        <r>
          <rPr>
            <b/>
            <sz val="9"/>
            <color indexed="81"/>
            <rFont val="Tahoma"/>
            <family val="2"/>
          </rPr>
          <t xml:space="preserve">Valid Beam Weight </t>
        </r>
        <r>
          <rPr>
            <sz val="9"/>
            <color indexed="81"/>
            <rFont val="Tahoma"/>
            <family val="2"/>
          </rPr>
          <t>checks that all of the beam weights sum to 1.0 and that individual beam weights are valid</t>
        </r>
      </text>
    </comment>
    <comment ref="C214" authorId="2">
      <text>
        <r>
          <rPr>
            <sz val="9"/>
            <color indexed="81"/>
            <rFont val="Tahoma"/>
            <family val="2"/>
          </rPr>
          <t xml:space="preserve">The </t>
        </r>
        <r>
          <rPr>
            <b/>
            <sz val="9"/>
            <color indexed="81"/>
            <rFont val="Tahoma"/>
            <family val="2"/>
          </rPr>
          <t>Dose per field</t>
        </r>
        <r>
          <rPr>
            <sz val="9"/>
            <color indexed="81"/>
            <rFont val="Tahoma"/>
            <family val="2"/>
          </rPr>
          <t xml:space="preserve"> calculated by</t>
        </r>
        <r>
          <rPr>
            <b/>
            <sz val="9"/>
            <color indexed="81"/>
            <rFont val="Tahoma"/>
            <family val="2"/>
          </rPr>
          <t xml:space="preserve"> Total Dose</t>
        </r>
        <r>
          <rPr>
            <sz val="9"/>
            <color indexed="81"/>
            <rFont val="Tahoma"/>
            <family val="2"/>
          </rPr>
          <t xml:space="preserve"> x </t>
        </r>
        <r>
          <rPr>
            <b/>
            <sz val="9"/>
            <color indexed="81"/>
            <rFont val="Tahoma"/>
            <family val="2"/>
          </rPr>
          <t>Beam Weight</t>
        </r>
        <r>
          <rPr>
            <sz val="9"/>
            <color indexed="81"/>
            <rFont val="Tahoma"/>
            <family val="2"/>
          </rPr>
          <t>.</t>
        </r>
      </text>
    </comment>
    <comment ref="C215" authorId="0">
      <text>
        <r>
          <rPr>
            <b/>
            <sz val="9"/>
            <color indexed="81"/>
            <rFont val="Tahoma"/>
            <family val="2"/>
          </rPr>
          <t xml:space="preserve">Field Dose Per Fraction: </t>
        </r>
        <r>
          <rPr>
            <sz val="9"/>
            <color indexed="81"/>
            <rFont val="Tahoma"/>
            <family val="2"/>
          </rPr>
          <t xml:space="preserve">Calculated as = </t>
        </r>
        <r>
          <rPr>
            <b/>
            <sz val="9"/>
            <color indexed="81"/>
            <rFont val="Tahoma"/>
            <family val="2"/>
          </rPr>
          <t>Dose per Field</t>
        </r>
        <r>
          <rPr>
            <sz val="9"/>
            <color indexed="81"/>
            <rFont val="Tahoma"/>
            <family val="2"/>
          </rPr>
          <t xml:space="preserve"> / </t>
        </r>
        <r>
          <rPr>
            <b/>
            <sz val="9"/>
            <color indexed="81"/>
            <rFont val="Tahoma"/>
            <family val="2"/>
          </rPr>
          <t># Fractions</t>
        </r>
      </text>
    </comment>
    <comment ref="B217" authorId="0">
      <text>
        <r>
          <rPr>
            <b/>
            <sz val="9"/>
            <color indexed="81"/>
            <rFont val="Tahoma"/>
            <family val="2"/>
          </rPr>
          <t xml:space="preserve">Parameters </t>
        </r>
        <r>
          <rPr>
            <sz val="9"/>
            <color indexed="81"/>
            <rFont val="Tahoma"/>
            <family val="2"/>
          </rPr>
          <t xml:space="preserve">This table is the collection of all of the dose parameters based on Treatment Unit Energy Field size and Depth
The values are extracted from the </t>
        </r>
        <r>
          <rPr>
            <i/>
            <sz val="9"/>
            <color indexed="81"/>
            <rFont val="Tahoma"/>
            <family val="2"/>
          </rPr>
          <t>Parameters</t>
        </r>
        <r>
          <rPr>
            <sz val="9"/>
            <color indexed="81"/>
            <rFont val="Tahoma"/>
            <family val="2"/>
          </rPr>
          <t xml:space="preserve"> Worksheet or calculated in other tables in Dose Calculations </t>
        </r>
      </text>
    </comment>
    <comment ref="C218" authorId="0">
      <text>
        <r>
          <rPr>
            <b/>
            <sz val="9"/>
            <color indexed="81"/>
            <rFont val="Tahoma"/>
            <family val="2"/>
          </rPr>
          <t>TPR</t>
        </r>
        <r>
          <rPr>
            <sz val="9"/>
            <color indexed="81"/>
            <rFont val="Tahoma"/>
            <family val="2"/>
          </rPr>
          <t xml:space="preserve"> is the TPR Factor extracted from Parameters</t>
        </r>
      </text>
    </comment>
    <comment ref="C219" authorId="1">
      <text>
        <r>
          <rPr>
            <b/>
            <sz val="9"/>
            <color indexed="81"/>
            <rFont val="Tahoma"/>
            <family val="2"/>
          </rPr>
          <t>RDF</t>
        </r>
        <r>
          <rPr>
            <sz val="9"/>
            <color indexed="81"/>
            <rFont val="Tahoma"/>
            <family val="2"/>
          </rPr>
          <t xml:space="preserve"> is the Relative Dose Factor extracted from Parameters
This is 1.0 if Extended distance calculations are done for this field</t>
        </r>
      </text>
    </comment>
    <comment ref="C220" authorId="1">
      <text>
        <r>
          <rPr>
            <b/>
            <sz val="9"/>
            <color indexed="81"/>
            <rFont val="Tahoma"/>
            <family val="2"/>
          </rPr>
          <t>ROF</t>
        </r>
        <r>
          <rPr>
            <sz val="9"/>
            <color indexed="81"/>
            <rFont val="Tahoma"/>
            <family val="2"/>
          </rPr>
          <t xml:space="preserve"> is the Relative Output Factor extracted from Parameters if Extended Distance calculations are done for this field.
Otherwise it is 1.0</t>
        </r>
      </text>
    </comment>
    <comment ref="C221" authorId="1">
      <text>
        <r>
          <rPr>
            <b/>
            <sz val="9"/>
            <color indexed="81"/>
            <rFont val="Tahoma"/>
            <family val="2"/>
          </rPr>
          <t>PSF</t>
        </r>
        <r>
          <rPr>
            <sz val="9"/>
            <color indexed="81"/>
            <rFont val="Tahoma"/>
            <family val="2"/>
          </rPr>
          <t xml:space="preserve"> is the Peak Scatter Factor extracted from Parameters if Extended Distance calculations are done for this field.
Otherwise it is 1.0</t>
        </r>
      </text>
    </comment>
    <comment ref="C222" authorId="1">
      <text>
        <r>
          <rPr>
            <b/>
            <sz val="9"/>
            <color indexed="81"/>
            <rFont val="Tahoma"/>
            <family val="2"/>
          </rPr>
          <t>Inv Sqr</t>
        </r>
        <r>
          <rPr>
            <sz val="9"/>
            <color indexed="81"/>
            <rFont val="Tahoma"/>
            <family val="2"/>
          </rPr>
          <t xml:space="preserve"> is the Inverse Square distance correction factor calculated in the </t>
        </r>
        <r>
          <rPr>
            <i/>
            <sz val="9"/>
            <color indexed="81"/>
            <rFont val="Tahoma"/>
            <family val="2"/>
          </rPr>
          <t>Extended Distance</t>
        </r>
        <r>
          <rPr>
            <sz val="9"/>
            <color indexed="81"/>
            <rFont val="Tahoma"/>
            <family val="2"/>
          </rPr>
          <t xml:space="preserve"> table if Extended Distance calculations are done for this field.
Otherwise it is 1.0</t>
        </r>
      </text>
    </comment>
    <comment ref="C223" authorId="1">
      <text>
        <r>
          <rPr>
            <b/>
            <sz val="9"/>
            <color indexed="81"/>
            <rFont val="Tahoma"/>
            <family val="2"/>
          </rPr>
          <t>Shielding</t>
        </r>
        <r>
          <rPr>
            <sz val="9"/>
            <color indexed="81"/>
            <rFont val="Tahoma"/>
            <family val="2"/>
          </rPr>
          <t xml:space="preserve"> is the shielding tray factor for the selectd shielding type if shielding is selected
otherwise it is 1.0</t>
        </r>
      </text>
    </comment>
    <comment ref="C224" authorId="0">
      <text>
        <r>
          <rPr>
            <b/>
            <sz val="9"/>
            <color indexed="81"/>
            <rFont val="Tahoma"/>
            <family val="2"/>
          </rPr>
          <t xml:space="preserve">User Factor </t>
        </r>
        <r>
          <rPr>
            <sz val="9"/>
            <color indexed="81"/>
            <rFont val="Tahoma"/>
            <family val="2"/>
          </rPr>
          <t>This value is currently not used</t>
        </r>
      </text>
    </comment>
    <comment ref="C225" authorId="0">
      <text>
        <r>
          <rPr>
            <b/>
            <sz val="9"/>
            <color indexed="81"/>
            <rFont val="Tahoma"/>
            <family val="2"/>
          </rPr>
          <t xml:space="preserve">EDW Factor </t>
        </r>
        <r>
          <rPr>
            <sz val="9"/>
            <color indexed="81"/>
            <rFont val="Tahoma"/>
            <family val="2"/>
          </rPr>
          <t>This value is currently not used</t>
        </r>
      </text>
    </comment>
    <comment ref="B227" authorId="0">
      <text>
        <r>
          <rPr>
            <sz val="9"/>
            <color indexed="81"/>
            <rFont val="Tahoma"/>
            <family val="2"/>
          </rPr>
          <t>The</t>
        </r>
        <r>
          <rPr>
            <b/>
            <sz val="9"/>
            <color indexed="81"/>
            <rFont val="Tahoma"/>
            <family val="2"/>
          </rPr>
          <t xml:space="preserve"> MU Calculation </t>
        </r>
        <r>
          <rPr>
            <sz val="9"/>
            <color indexed="81"/>
            <rFont val="Tahoma"/>
            <family val="2"/>
          </rPr>
          <t>table takes the values from the</t>
        </r>
        <r>
          <rPr>
            <b/>
            <sz val="9"/>
            <color indexed="81"/>
            <rFont val="Tahoma"/>
            <family val="2"/>
          </rPr>
          <t xml:space="preserve"> </t>
        </r>
        <r>
          <rPr>
            <i/>
            <sz val="9"/>
            <color indexed="81"/>
            <rFont val="Tahoma"/>
            <family val="2"/>
          </rPr>
          <t>Dose Per Field</t>
        </r>
        <r>
          <rPr>
            <b/>
            <sz val="9"/>
            <color indexed="81"/>
            <rFont val="Tahoma"/>
            <family val="2"/>
          </rPr>
          <t xml:space="preserve"> </t>
        </r>
        <r>
          <rPr>
            <sz val="9"/>
            <color indexed="81"/>
            <rFont val="Tahoma"/>
            <family val="2"/>
          </rPr>
          <t xml:space="preserve">table and the </t>
        </r>
        <r>
          <rPr>
            <i/>
            <sz val="9"/>
            <color indexed="81"/>
            <rFont val="Tahoma"/>
            <family val="2"/>
          </rPr>
          <t>Parameters</t>
        </r>
        <r>
          <rPr>
            <sz val="9"/>
            <color indexed="81"/>
            <rFont val="Tahoma"/>
            <family val="2"/>
          </rPr>
          <t xml:space="preserve"> table to calculate the final MUs</t>
        </r>
      </text>
    </comment>
    <comment ref="C228" authorId="1">
      <text>
        <r>
          <rPr>
            <b/>
            <sz val="9"/>
            <color indexed="81"/>
            <rFont val="Tahoma"/>
            <family val="2"/>
          </rPr>
          <t xml:space="preserve">Check Sum </t>
        </r>
        <r>
          <rPr>
            <sz val="9"/>
            <color indexed="81"/>
            <rFont val="Tahoma"/>
            <family val="2"/>
          </rPr>
          <t>Is the results of the check sum test done in</t>
        </r>
        <r>
          <rPr>
            <i/>
            <sz val="9"/>
            <color indexed="81"/>
            <rFont val="Tahoma"/>
            <family val="2"/>
          </rPr>
          <t xml:space="preserve"> Table References</t>
        </r>
        <r>
          <rPr>
            <sz val="9"/>
            <color indexed="81"/>
            <rFont val="Tahoma"/>
            <family val="2"/>
          </rPr>
          <t xml:space="preserve"> which verifies that the  data tables have not been accidentaly modified</t>
        </r>
      </text>
    </comment>
    <comment ref="C229" authorId="0">
      <text>
        <r>
          <rPr>
            <b/>
            <sz val="9"/>
            <color indexed="81"/>
            <rFont val="Tahoma"/>
            <family val="2"/>
          </rPr>
          <t xml:space="preserve">Data Valid </t>
        </r>
        <r>
          <rPr>
            <sz val="9"/>
            <color indexed="81"/>
            <rFont val="Tahoma"/>
            <family val="2"/>
          </rPr>
          <t>Checks the status of the</t>
        </r>
        <r>
          <rPr>
            <i/>
            <sz val="9"/>
            <color indexed="81"/>
            <rFont val="Tahoma"/>
            <family val="2"/>
          </rPr>
          <t xml:space="preserve"> Field name, Energy, Depth, Field Size, Shielding and Beam Weights</t>
        </r>
        <r>
          <rPr>
            <sz val="9"/>
            <color indexed="81"/>
            <rFont val="Tahoma"/>
            <family val="2"/>
          </rPr>
          <t xml:space="preserve"> tests to ensure that the data being used for the MU calculations is valid</t>
        </r>
      </text>
    </comment>
    <comment ref="C230" authorId="0">
      <text>
        <r>
          <rPr>
            <b/>
            <sz val="9"/>
            <color indexed="81"/>
            <rFont val="Tahoma"/>
            <family val="2"/>
          </rPr>
          <t>Dose Rate at Depth</t>
        </r>
        <r>
          <rPr>
            <sz val="9"/>
            <color indexed="81"/>
            <rFont val="Tahoma"/>
            <family val="2"/>
          </rPr>
          <t xml:space="preserve"> calculates the field dose rate at the calculation point by multiplying all of the factors in the Parameters table</t>
        </r>
      </text>
    </comment>
    <comment ref="C231" authorId="0">
      <text>
        <r>
          <rPr>
            <b/>
            <sz val="9"/>
            <color indexed="81"/>
            <rFont val="Tahoma"/>
            <family val="2"/>
          </rPr>
          <t xml:space="preserve">Min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minimum expected dose rate
A warning will be given if the </t>
        </r>
        <r>
          <rPr>
            <i/>
            <sz val="9"/>
            <color indexed="81"/>
            <rFont val="Tahoma"/>
            <family val="2"/>
          </rPr>
          <t>Dose Rate at Depth</t>
        </r>
        <r>
          <rPr>
            <sz val="9"/>
            <color indexed="81"/>
            <rFont val="Tahoma"/>
            <family val="2"/>
          </rPr>
          <t xml:space="preserve"> is less than this value</t>
        </r>
      </text>
    </comment>
    <comment ref="C232" authorId="0">
      <text>
        <r>
          <rPr>
            <b/>
            <sz val="9"/>
            <color indexed="81"/>
            <rFont val="Tahoma"/>
            <family val="2"/>
          </rPr>
          <t xml:space="preserve">Max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maximum expected dose rate
A warning will be given if the </t>
        </r>
        <r>
          <rPr>
            <i/>
            <sz val="9"/>
            <color indexed="81"/>
            <rFont val="Tahoma"/>
            <family val="2"/>
          </rPr>
          <t>Dose Rate at Depth</t>
        </r>
        <r>
          <rPr>
            <sz val="9"/>
            <color indexed="81"/>
            <rFont val="Tahoma"/>
            <family val="2"/>
          </rPr>
          <t xml:space="preserve"> is greater than this value.</t>
        </r>
      </text>
    </comment>
    <comment ref="C233" authorId="0">
      <text>
        <r>
          <rPr>
            <b/>
            <sz val="9"/>
            <color indexed="81"/>
            <rFont val="Tahoma"/>
            <family val="2"/>
          </rPr>
          <t xml:space="preserve">Dose Rate Reasonable </t>
        </r>
        <r>
          <rPr>
            <sz val="9"/>
            <color indexed="81"/>
            <rFont val="Tahoma"/>
            <family val="2"/>
          </rPr>
          <t>This is a sanity checl on the</t>
        </r>
        <r>
          <rPr>
            <i/>
            <sz val="9"/>
            <color indexed="81"/>
            <rFont val="Tahoma"/>
            <family val="2"/>
          </rPr>
          <t xml:space="preserve"> Dose Rate at Depth</t>
        </r>
        <r>
          <rPr>
            <sz val="9"/>
            <color indexed="81"/>
            <rFont val="Tahoma"/>
            <family val="2"/>
          </rPr>
          <t xml:space="preserve">Value
A Warning is given if the </t>
        </r>
        <r>
          <rPr>
            <i/>
            <sz val="9"/>
            <color indexed="81"/>
            <rFont val="Tahoma"/>
            <family val="2"/>
          </rPr>
          <t>Dose Rate at Depth</t>
        </r>
        <r>
          <rPr>
            <sz val="9"/>
            <color indexed="81"/>
            <rFont val="Tahoma"/>
            <family val="2"/>
          </rPr>
          <t xml:space="preserve"> is less than </t>
        </r>
        <r>
          <rPr>
            <i/>
            <sz val="9"/>
            <color indexed="81"/>
            <rFont val="Tahoma"/>
            <family val="2"/>
          </rPr>
          <t>Min Expected  Dose Rate</t>
        </r>
        <r>
          <rPr>
            <sz val="9"/>
            <color indexed="81"/>
            <rFont val="Tahoma"/>
            <family val="2"/>
          </rPr>
          <t xml:space="preserve"> or more than </t>
        </r>
        <r>
          <rPr>
            <i/>
            <sz val="9"/>
            <color indexed="81"/>
            <rFont val="Tahoma"/>
            <family val="2"/>
          </rPr>
          <t>Max Expected  Dose Rate</t>
        </r>
      </text>
    </comment>
    <comment ref="C234" authorId="0">
      <text>
        <r>
          <rPr>
            <b/>
            <sz val="9"/>
            <color indexed="81"/>
            <rFont val="Tahoma"/>
            <family val="2"/>
          </rPr>
          <t>MUs:</t>
        </r>
        <r>
          <rPr>
            <sz val="9"/>
            <color indexed="81"/>
            <rFont val="Tahoma"/>
            <family val="2"/>
          </rPr>
          <t xml:space="preserve"> is the final MUs calculated by </t>
        </r>
        <r>
          <rPr>
            <b/>
            <sz val="9"/>
            <color indexed="81"/>
            <rFont val="Tahoma"/>
            <family val="2"/>
          </rPr>
          <t xml:space="preserve">Field Dose Per Fraction </t>
        </r>
        <r>
          <rPr>
            <sz val="9"/>
            <color indexed="81"/>
            <rFont val="Tahoma"/>
            <family val="2"/>
          </rPr>
          <t>/</t>
        </r>
        <r>
          <rPr>
            <b/>
            <sz val="9"/>
            <color indexed="81"/>
            <rFont val="Tahoma"/>
            <family val="2"/>
          </rPr>
          <t xml:space="preserve"> Dose Rate at Depth</t>
        </r>
        <r>
          <rPr>
            <sz val="9"/>
            <color indexed="81"/>
            <rFont val="Tahoma"/>
            <family val="2"/>
          </rPr>
          <t xml:space="preserve">
If the </t>
        </r>
        <r>
          <rPr>
            <i/>
            <sz val="9"/>
            <color indexed="81"/>
            <rFont val="Tahoma"/>
            <family val="2"/>
          </rPr>
          <t xml:space="preserve">Data Valid </t>
        </r>
        <r>
          <rPr>
            <sz val="9"/>
            <color indexed="81"/>
            <rFont val="Tahoma"/>
            <family val="2"/>
          </rPr>
          <t>Check fails #N/A will be given</t>
        </r>
      </text>
    </comment>
    <comment ref="C235" authorId="0">
      <text>
        <r>
          <rPr>
            <b/>
            <sz val="9"/>
            <color indexed="81"/>
            <rFont val="Tahoma"/>
            <family val="2"/>
          </rPr>
          <t xml:space="preserve">Min Expected MUs: </t>
        </r>
        <r>
          <rPr>
            <sz val="9"/>
            <color indexed="81"/>
            <rFont val="Tahoma"/>
            <family val="2"/>
          </rPr>
          <t xml:space="preserve">This is a sanity check on thenumber of </t>
        </r>
        <r>
          <rPr>
            <i/>
            <sz val="9"/>
            <color indexed="81"/>
            <rFont val="Tahoma"/>
            <family val="2"/>
          </rPr>
          <t>MUs</t>
        </r>
        <r>
          <rPr>
            <sz val="9"/>
            <color indexed="81"/>
            <rFont val="Tahoma"/>
            <family val="2"/>
          </rPr>
          <t xml:space="preserve">
The value is the minimum expected number of </t>
        </r>
        <r>
          <rPr>
            <i/>
            <sz val="9"/>
            <color indexed="81"/>
            <rFont val="Tahoma"/>
            <family val="2"/>
          </rPr>
          <t>MUs</t>
        </r>
        <r>
          <rPr>
            <sz val="9"/>
            <color indexed="81"/>
            <rFont val="Tahoma"/>
            <family val="2"/>
          </rPr>
          <t xml:space="preserve">
A warning will be given if the number of </t>
        </r>
        <r>
          <rPr>
            <i/>
            <sz val="9"/>
            <color indexed="81"/>
            <rFont val="Tahoma"/>
            <family val="2"/>
          </rPr>
          <t>MUs</t>
        </r>
        <r>
          <rPr>
            <sz val="9"/>
            <color indexed="81"/>
            <rFont val="Tahoma"/>
            <family val="2"/>
          </rPr>
          <t xml:space="preserve"> is less than this value</t>
        </r>
      </text>
    </comment>
    <comment ref="C236" authorId="0">
      <text>
        <r>
          <rPr>
            <b/>
            <sz val="9"/>
            <color indexed="81"/>
            <rFont val="Tahoma"/>
            <family val="2"/>
          </rPr>
          <t xml:space="preserve">Max Expected MUs: </t>
        </r>
        <r>
          <rPr>
            <sz val="9"/>
            <color indexed="81"/>
            <rFont val="Tahoma"/>
            <family val="2"/>
          </rPr>
          <t>This is a sanity check on thenumber of MUs
The value is the maximum expected number of MUs
A warning will be given if the number of MUs is greater than this value</t>
        </r>
      </text>
    </comment>
    <comment ref="C237" authorId="0">
      <text>
        <r>
          <rPr>
            <b/>
            <sz val="9"/>
            <color indexed="81"/>
            <rFont val="Tahoma"/>
            <family val="2"/>
          </rPr>
          <t xml:space="preserve">MUs Reasonable </t>
        </r>
        <r>
          <rPr>
            <sz val="9"/>
            <color indexed="81"/>
            <rFont val="Tahoma"/>
            <family val="2"/>
          </rPr>
          <t xml:space="preserve">This is a sanity check on the number of MUs
A Warning is given if the number of MUs calculated is less than </t>
        </r>
        <r>
          <rPr>
            <i/>
            <sz val="9"/>
            <color indexed="81"/>
            <rFont val="Tahoma"/>
            <family val="2"/>
          </rPr>
          <t xml:space="preserve">Min Expected MUs </t>
        </r>
        <r>
          <rPr>
            <sz val="9"/>
            <color indexed="81"/>
            <rFont val="Tahoma"/>
            <family val="2"/>
          </rPr>
          <t xml:space="preserve"> or more than </t>
        </r>
        <r>
          <rPr>
            <i/>
            <sz val="9"/>
            <color indexed="81"/>
            <rFont val="Tahoma"/>
            <family val="2"/>
          </rPr>
          <t xml:space="preserve">Max Expected MUs </t>
        </r>
      </text>
    </comment>
    <comment ref="C246" authorId="1">
      <text>
        <r>
          <rPr>
            <sz val="8"/>
            <color indexed="81"/>
            <rFont val="Tahoma"/>
            <family val="2"/>
          </rPr>
          <t xml:space="preserve">The </t>
        </r>
        <r>
          <rPr>
            <b/>
            <sz val="8"/>
            <color indexed="81"/>
            <rFont val="Tahoma"/>
            <family val="2"/>
          </rPr>
          <t>TPP Wedge Modifier name</t>
        </r>
        <r>
          <rPr>
            <sz val="8"/>
            <color indexed="81"/>
            <rFont val="Tahoma"/>
            <family val="2"/>
          </rPr>
          <t xml:space="preserve"> from the </t>
        </r>
        <r>
          <rPr>
            <i/>
            <sz val="8"/>
            <color indexed="81"/>
            <rFont val="Tahoma"/>
            <family val="2"/>
          </rPr>
          <t>Plan Data Sheet</t>
        </r>
      </text>
    </comment>
    <comment ref="C247" authorId="1">
      <text>
        <r>
          <rPr>
            <sz val="8"/>
            <color indexed="81"/>
            <rFont val="Tahoma"/>
            <family val="2"/>
          </rPr>
          <t xml:space="preserve">The </t>
        </r>
        <r>
          <rPr>
            <b/>
            <sz val="8"/>
            <color indexed="81"/>
            <rFont val="Tahoma"/>
            <family val="2"/>
          </rPr>
          <t>TPP modifier Wedge Orientation</t>
        </r>
        <r>
          <rPr>
            <sz val="8"/>
            <color indexed="81"/>
            <rFont val="Tahoma"/>
            <family val="2"/>
          </rPr>
          <t xml:space="preserve"> is extracted by searching for text in brackets, as this is how TPP indicates orientation.
A blank in this box indicates that no valid wedge was found</t>
        </r>
      </text>
    </comment>
    <comment ref="C248" authorId="1">
      <text>
        <r>
          <rPr>
            <sz val="8"/>
            <color indexed="81"/>
            <rFont val="Tahoma"/>
            <family val="2"/>
          </rPr>
          <t xml:space="preserve">The </t>
        </r>
        <r>
          <rPr>
            <b/>
            <sz val="8"/>
            <color indexed="81"/>
            <rFont val="Tahoma"/>
            <family val="2"/>
          </rPr>
          <t>TPP modifier Wedge Name</t>
        </r>
        <r>
          <rPr>
            <sz val="8"/>
            <color indexed="81"/>
            <rFont val="Tahoma"/>
            <family val="2"/>
          </rPr>
          <t xml:space="preserve"> is extracted by selecting all of the text after the brackets.</t>
        </r>
      </text>
    </comment>
    <comment ref="C249" authorId="1">
      <text>
        <r>
          <rPr>
            <sz val="8"/>
            <color indexed="81"/>
            <rFont val="Tahoma"/>
            <family val="2"/>
          </rPr>
          <t xml:space="preserve">If the Phrase </t>
        </r>
        <r>
          <rPr>
            <b/>
            <sz val="8"/>
            <color indexed="81"/>
            <rFont val="Tahoma"/>
            <family val="2"/>
          </rPr>
          <t>EDW</t>
        </r>
        <r>
          <rPr>
            <sz val="8"/>
            <color indexed="81"/>
            <rFont val="Tahoma"/>
            <family val="2"/>
          </rPr>
          <t xml:space="preserve"> is found in the wedge name it is identified as a dynamic wedge.
The wedge name passed on to  </t>
        </r>
        <r>
          <rPr>
            <i/>
            <sz val="8"/>
            <color indexed="81"/>
            <rFont val="Tahoma"/>
            <family val="2"/>
          </rPr>
          <t>Data Entry</t>
        </r>
        <r>
          <rPr>
            <sz val="8"/>
            <color indexed="81"/>
            <rFont val="Tahoma"/>
            <family val="2"/>
          </rPr>
          <t xml:space="preserve"> is then the Orientation followed by the Wedge Name from above.</t>
        </r>
      </text>
    </comment>
    <comment ref="C252" authorId="1">
      <text>
        <r>
          <rPr>
            <sz val="8"/>
            <color indexed="81"/>
            <rFont val="Tahoma"/>
            <family val="2"/>
          </rPr>
          <t xml:space="preserve">The Machine and Beam Energy from </t>
        </r>
        <r>
          <rPr>
            <i/>
            <sz val="8"/>
            <color indexed="81"/>
            <rFont val="Tahoma"/>
            <family val="2"/>
          </rPr>
          <t>Data Entry</t>
        </r>
      </text>
    </comment>
    <comment ref="C253" authorId="1">
      <text>
        <r>
          <rPr>
            <sz val="8"/>
            <color indexed="81"/>
            <rFont val="Tahoma"/>
            <family val="2"/>
          </rPr>
          <t xml:space="preserve">The X1, X2, Y1,Y2 Collimator Jaw Settings from </t>
        </r>
        <r>
          <rPr>
            <i/>
            <sz val="8"/>
            <color indexed="81"/>
            <rFont val="Tahoma"/>
            <family val="2"/>
          </rPr>
          <t>Data Entry</t>
        </r>
      </text>
    </comment>
    <comment ref="C257" authorId="2">
      <text>
        <r>
          <rPr>
            <b/>
            <sz val="8"/>
            <color indexed="81"/>
            <rFont val="Tahoma"/>
            <family val="2"/>
          </rPr>
          <t>Max Jaw</t>
        </r>
        <r>
          <rPr>
            <sz val="8"/>
            <color indexed="81"/>
            <rFont val="Tahoma"/>
            <family val="2"/>
          </rPr>
          <t xml:space="preserve"> Identifies the maximum jaw position in the wedge direction for the particular field (based on the orientation of the Physical Wedge above).</t>
        </r>
      </text>
    </comment>
    <comment ref="C258" authorId="2">
      <text>
        <r>
          <rPr>
            <b/>
            <sz val="8"/>
            <color indexed="81"/>
            <rFont val="Tahoma"/>
            <family val="2"/>
          </rPr>
          <t>Wedge Angle</t>
        </r>
        <r>
          <rPr>
            <sz val="8"/>
            <color indexed="81"/>
            <rFont val="Tahoma"/>
            <family val="2"/>
          </rPr>
          <t xml:space="preserve"> searches the Physical Wedge above for a number 15,30,45 or 60 indicating wedge angle.
</t>
        </r>
      </text>
    </comment>
    <comment ref="C259" authorId="2">
      <text>
        <r>
          <rPr>
            <b/>
            <sz val="8"/>
            <color indexed="81"/>
            <rFont val="Tahoma"/>
            <family val="2"/>
          </rPr>
          <t xml:space="preserve">Wedge Limits </t>
        </r>
        <r>
          <rPr>
            <sz val="8"/>
            <color indexed="81"/>
            <rFont val="Tahoma"/>
            <family val="2"/>
          </rPr>
          <t xml:space="preserve">looks up the Maximum allowable Jaw position from the Wedge Limits Table above based on energy and wedge angle.
A TRUE value indicates that the field size is good.
This value is checked by the </t>
        </r>
        <r>
          <rPr>
            <i/>
            <sz val="8"/>
            <color indexed="81"/>
            <rFont val="Tahoma"/>
            <family val="2"/>
          </rPr>
          <t>Print Form</t>
        </r>
        <r>
          <rPr>
            <sz val="8"/>
            <color indexed="81"/>
            <rFont val="Tahoma"/>
            <family val="2"/>
          </rPr>
          <t xml:space="preserve"> sheet.</t>
        </r>
      </text>
    </comment>
    <comment ref="C260" authorId="2">
      <text>
        <r>
          <rPr>
            <sz val="8"/>
            <color indexed="81"/>
            <rFont val="Tahoma"/>
            <family val="2"/>
          </rPr>
          <t xml:space="preserve">The EDW Wedge from </t>
        </r>
        <r>
          <rPr>
            <i/>
            <sz val="8"/>
            <color indexed="81"/>
            <rFont val="Tahoma"/>
            <family val="2"/>
          </rPr>
          <t>Data Entry</t>
        </r>
        <r>
          <rPr>
            <sz val="8"/>
            <color indexed="81"/>
            <rFont val="Tahoma"/>
            <family val="2"/>
          </rPr>
          <t xml:space="preserve"> with any extra spaces removed</t>
        </r>
        <r>
          <rPr>
            <b/>
            <sz val="8"/>
            <color indexed="81"/>
            <rFont val="Tahoma"/>
            <family val="2"/>
          </rPr>
          <t xml:space="preserve">
</t>
        </r>
      </text>
    </comment>
    <comment ref="C261" authorId="2">
      <text>
        <r>
          <rPr>
            <sz val="8"/>
            <color indexed="81"/>
            <rFont val="Tahoma"/>
            <family val="2"/>
          </rPr>
          <t xml:space="preserve">The </t>
        </r>
        <r>
          <rPr>
            <b/>
            <sz val="8"/>
            <color indexed="81"/>
            <rFont val="Tahoma"/>
            <family val="2"/>
          </rPr>
          <t>EDW Wedge Orientation</t>
        </r>
        <r>
          <rPr>
            <sz val="8"/>
            <color indexed="81"/>
            <rFont val="Tahoma"/>
            <family val="2"/>
          </rPr>
          <t xml:space="preserve"> is identified from the EDW Wedge above by searching for 'IN' or 'OUT' (case insensitive)</t>
        </r>
      </text>
    </comment>
    <comment ref="C262" authorId="2">
      <text>
        <r>
          <rPr>
            <b/>
            <sz val="8"/>
            <color indexed="81"/>
            <rFont val="Tahoma"/>
            <family val="2"/>
          </rPr>
          <t>Fixed Jaw</t>
        </r>
        <r>
          <rPr>
            <sz val="8"/>
            <color indexed="81"/>
            <rFont val="Tahoma"/>
            <family val="2"/>
          </rPr>
          <t xml:space="preserve"> Identifies the fixed jaw size based on the orientation of the EDW Wedge above.</t>
        </r>
      </text>
    </comment>
    <comment ref="C263" authorId="2">
      <text>
        <r>
          <rPr>
            <b/>
            <sz val="8"/>
            <color indexed="81"/>
            <rFont val="Tahoma"/>
            <family val="2"/>
          </rPr>
          <t>EDW Limits</t>
        </r>
        <r>
          <rPr>
            <sz val="8"/>
            <color indexed="81"/>
            <rFont val="Tahoma"/>
            <family val="2"/>
          </rPr>
          <t xml:space="preserve"> tests to see if the Fixed Jaw above is less than 10 or greater than 0.
A TRUE value indicates that the field size is good.
This value is checked by the </t>
        </r>
        <r>
          <rPr>
            <i/>
            <sz val="8"/>
            <color indexed="81"/>
            <rFont val="Tahoma"/>
            <family val="2"/>
          </rPr>
          <t>Print Form</t>
        </r>
        <r>
          <rPr>
            <sz val="8"/>
            <color indexed="81"/>
            <rFont val="Tahoma"/>
            <family val="2"/>
          </rPr>
          <t xml:space="preserve"> sheet.</t>
        </r>
      </text>
    </comment>
  </commentList>
</comments>
</file>

<file path=xl/comments4.xml><?xml version="1.0" encoding="utf-8"?>
<comments xmlns="http://schemas.openxmlformats.org/spreadsheetml/2006/main">
  <authors>
    <author>Greg Salomons</author>
    <author>Salomons, Greg</author>
    <author>Greg &amp; Jina Salomons</author>
  </authors>
  <commentList>
    <comment ref="B2" authorId="0">
      <text>
        <r>
          <rPr>
            <b/>
            <sz val="12"/>
            <color indexed="81"/>
            <rFont val="Tahoma"/>
            <family val="2"/>
          </rPr>
          <t xml:space="preserve">Tan Boxes </t>
        </r>
        <r>
          <rPr>
            <sz val="12"/>
            <color indexed="81"/>
            <rFont val="Tahoma"/>
            <family val="2"/>
          </rPr>
          <t xml:space="preserve">indicate data obtained from the </t>
        </r>
        <r>
          <rPr>
            <i/>
            <sz val="12"/>
            <color indexed="81"/>
            <rFont val="Tahoma"/>
            <family val="2"/>
          </rPr>
          <t>Data Calculation sheet</t>
        </r>
      </text>
    </comment>
    <comment ref="B3" authorId="0">
      <text>
        <r>
          <rPr>
            <b/>
            <sz val="12"/>
            <color indexed="81"/>
            <rFont val="Tahoma"/>
            <family val="2"/>
          </rPr>
          <t>Lavender coloured boxes</t>
        </r>
        <r>
          <rPr>
            <sz val="12"/>
            <color indexed="81"/>
            <rFont val="Tahoma"/>
            <family val="2"/>
          </rPr>
          <t xml:space="preserve"> contain information that has been calculated by the spreadsheet.</t>
        </r>
      </text>
    </comment>
    <comment ref="B4" authorId="0">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Data Calculations</t>
        </r>
      </text>
    </comment>
    <comment ref="B5" authorId="0">
      <text>
        <r>
          <rPr>
            <b/>
            <sz val="12"/>
            <color indexed="81"/>
            <rFont val="Tahoma"/>
            <family val="2"/>
          </rPr>
          <t>Blue Boxes</t>
        </r>
        <r>
          <rPr>
            <sz val="12"/>
            <color indexed="81"/>
            <rFont val="Tahoma"/>
            <family val="2"/>
          </rPr>
          <t xml:space="preserve"> indicate information from
</t>
        </r>
        <r>
          <rPr>
            <i/>
            <sz val="12"/>
            <color indexed="81"/>
            <rFont val="Tahoma"/>
            <family val="2"/>
          </rPr>
          <t>Table References</t>
        </r>
        <r>
          <rPr>
            <sz val="12"/>
            <color indexed="81"/>
            <rFont val="Tahoma"/>
            <family val="2"/>
          </rPr>
          <t xml:space="preserve"> used for indexing references to the </t>
        </r>
        <r>
          <rPr>
            <i/>
            <sz val="12"/>
            <color indexed="81"/>
            <rFont val="Tahoma"/>
            <family val="2"/>
          </rPr>
          <t>Data Tables</t>
        </r>
      </text>
    </comment>
    <comment ref="B6" authorId="0">
      <text>
        <r>
          <rPr>
            <b/>
            <sz val="12"/>
            <color indexed="81"/>
            <rFont val="Tahoma"/>
            <family val="2"/>
          </rPr>
          <t xml:space="preserve">Light Green Boxes </t>
        </r>
        <r>
          <rPr>
            <sz val="12"/>
            <color indexed="81"/>
            <rFont val="Tahoma"/>
            <family val="2"/>
          </rPr>
          <t xml:space="preserve">indicate the initial look-up values used to for indexes in the tables in </t>
        </r>
        <r>
          <rPr>
            <i/>
            <sz val="12"/>
            <color indexed="81"/>
            <rFont val="Tahoma"/>
            <family val="2"/>
          </rPr>
          <t>Data Tables</t>
        </r>
        <r>
          <rPr>
            <sz val="12"/>
            <color indexed="81"/>
            <rFont val="Tahoma"/>
            <family val="2"/>
          </rPr>
          <t xml:space="preserve"> </t>
        </r>
      </text>
    </comment>
    <comment ref="B7" authorId="0">
      <text>
        <r>
          <rPr>
            <b/>
            <sz val="12"/>
            <color indexed="81"/>
            <rFont val="Tahoma"/>
            <family val="2"/>
          </rPr>
          <t xml:space="preserve">Yellow boxes </t>
        </r>
        <r>
          <rPr>
            <sz val="12"/>
            <color indexed="81"/>
            <rFont val="Tahoma"/>
            <family val="2"/>
          </rPr>
          <t xml:space="preserve">indicate values obtained directly from  </t>
        </r>
        <r>
          <rPr>
            <i/>
            <sz val="12"/>
            <color indexed="81"/>
            <rFont val="Tahoma"/>
            <family val="2"/>
          </rPr>
          <t>Data Tables</t>
        </r>
        <r>
          <rPr>
            <sz val="12"/>
            <color indexed="81"/>
            <rFont val="Tahoma"/>
            <family val="2"/>
          </rPr>
          <t>.</t>
        </r>
      </text>
    </comment>
    <comment ref="B8" authorId="0">
      <text>
        <r>
          <rPr>
            <b/>
            <sz val="12"/>
            <color indexed="81"/>
            <rFont val="Tahoma"/>
            <family val="2"/>
          </rPr>
          <t>Green boxes</t>
        </r>
        <r>
          <rPr>
            <sz val="12"/>
            <color indexed="81"/>
            <rFont val="Tahoma"/>
            <family val="2"/>
          </rPr>
          <t xml:space="preserve"> indicate values interpolated from the </t>
        </r>
        <r>
          <rPr>
            <i/>
            <sz val="12"/>
            <color indexed="81"/>
            <rFont val="Tahoma"/>
            <family val="2"/>
          </rPr>
          <t>Data Tables</t>
        </r>
        <r>
          <rPr>
            <sz val="12"/>
            <color indexed="81"/>
            <rFont val="Tahoma"/>
            <family val="2"/>
          </rPr>
          <t xml:space="preserve"> values</t>
        </r>
      </text>
    </comment>
    <comment ref="B9" authorId="1">
      <text>
        <r>
          <rPr>
            <b/>
            <sz val="12"/>
            <color indexed="81"/>
            <rFont val="Tahoma"/>
            <family val="2"/>
          </rPr>
          <t>Grey Boxes i</t>
        </r>
        <r>
          <rPr>
            <sz val="12"/>
            <color indexed="81"/>
            <rFont val="Tahoma"/>
            <family val="2"/>
          </rPr>
          <t>ndicate cells which are currently not in use but are reserved for possible future use.</t>
        </r>
      </text>
    </comment>
    <comment ref="B11" authorId="2">
      <text>
        <r>
          <rPr>
            <sz val="12"/>
            <color indexed="81"/>
            <rFont val="Tahoma"/>
            <family val="2"/>
          </rPr>
          <t xml:space="preserve">The </t>
        </r>
        <r>
          <rPr>
            <b/>
            <sz val="12"/>
            <color indexed="81"/>
            <rFont val="Tahoma"/>
            <family val="2"/>
          </rPr>
          <t>Parameters</t>
        </r>
        <r>
          <rPr>
            <sz val="12"/>
            <color indexed="81"/>
            <rFont val="Tahoma"/>
            <family val="2"/>
          </rPr>
          <t xml:space="preserve"> sheet is where the appropriate beam factors and limits such as TPR and RDF are extracted and interpolated from </t>
        </r>
        <r>
          <rPr>
            <i/>
            <sz val="12"/>
            <color indexed="81"/>
            <rFont val="Tahoma"/>
            <family val="2"/>
          </rPr>
          <t>Data Tables</t>
        </r>
        <r>
          <rPr>
            <sz val="12"/>
            <color indexed="81"/>
            <rFont val="Tahoma"/>
            <family val="2"/>
          </rPr>
          <t xml:space="preserve"> values.
The first section of the sheet extracts all of the relevant information from </t>
        </r>
        <r>
          <rPr>
            <i/>
            <sz val="12"/>
            <color indexed="81"/>
            <rFont val="Tahoma"/>
            <family val="2"/>
          </rPr>
          <t>Data Calculations</t>
        </r>
        <r>
          <rPr>
            <sz val="12"/>
            <color indexed="81"/>
            <rFont val="Tahoma"/>
            <family val="2"/>
          </rPr>
          <t xml:space="preserve">.  The later sections use this information to interpolate the appropriate data from the </t>
        </r>
        <r>
          <rPr>
            <i/>
            <sz val="12"/>
            <color indexed="81"/>
            <rFont val="Tahoma"/>
            <family val="2"/>
          </rPr>
          <t>Data Tables</t>
        </r>
        <r>
          <rPr>
            <sz val="12"/>
            <color indexed="81"/>
            <rFont val="Tahoma"/>
            <family val="2"/>
          </rPr>
          <t xml:space="preserve">.
</t>
        </r>
      </text>
    </comment>
    <comment ref="C13" authorId="2">
      <text>
        <r>
          <rPr>
            <b/>
            <sz val="10"/>
            <color indexed="81"/>
            <rFont val="Tahoma"/>
            <family val="2"/>
          </rPr>
          <t>Collimator X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4" authorId="2">
      <text>
        <r>
          <rPr>
            <b/>
            <sz val="10"/>
            <color indexed="81"/>
            <rFont val="Tahoma"/>
            <family val="2"/>
          </rPr>
          <t>Collimator Y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5" authorId="0">
      <text>
        <r>
          <rPr>
            <b/>
            <sz val="10"/>
            <color indexed="81"/>
            <rFont val="Tahoma"/>
            <family val="2"/>
          </rPr>
          <t>Field Width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X Total except for extended distances, where it is the field width at the calculation depth</t>
        </r>
      </text>
    </comment>
    <comment ref="C16" authorId="0">
      <text>
        <r>
          <rPr>
            <b/>
            <sz val="10"/>
            <color indexed="81"/>
            <rFont val="Tahoma"/>
            <family val="2"/>
          </rPr>
          <t>Field Length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Y Total except for extended distances, where it is the field length at the calculation depth.</t>
        </r>
      </text>
    </comment>
    <comment ref="C17" authorId="0">
      <text>
        <r>
          <rPr>
            <b/>
            <sz val="10"/>
            <color indexed="81"/>
            <rFont val="Tahoma"/>
            <family val="2"/>
          </rPr>
          <t xml:space="preserve"> Equivalent Square </t>
        </r>
        <r>
          <rPr>
            <sz val="10"/>
            <color indexed="81"/>
            <rFont val="Tahoma"/>
            <family val="2"/>
          </rPr>
          <t xml:space="preserve">is obtained from </t>
        </r>
        <r>
          <rPr>
            <i/>
            <sz val="10"/>
            <color indexed="81"/>
            <rFont val="Tahoma"/>
            <family val="2"/>
          </rPr>
          <t>Data Calculations</t>
        </r>
        <r>
          <rPr>
            <sz val="10"/>
            <color indexed="81"/>
            <rFont val="Tahoma"/>
            <family val="2"/>
          </rPr>
          <t xml:space="preserve">.  It is used for TPR and PSF lookup.
It is calculated from the Collimator X Total and Collimator Y Total using  following the equation: (X x Y x 2)/(X +Y)
</t>
        </r>
      </text>
    </comment>
    <comment ref="C18" authorId="2">
      <text>
        <r>
          <rPr>
            <b/>
            <sz val="10"/>
            <color indexed="81"/>
            <rFont val="Tahoma"/>
            <family val="2"/>
          </rPr>
          <t>Depth</t>
        </r>
        <r>
          <rPr>
            <sz val="10"/>
            <color indexed="81"/>
            <rFont val="Tahoma"/>
            <family val="2"/>
          </rPr>
          <t xml:space="preserve">  is obtained from</t>
        </r>
        <r>
          <rPr>
            <i/>
            <sz val="10"/>
            <color indexed="81"/>
            <rFont val="Tahoma"/>
            <family val="2"/>
          </rPr>
          <t xml:space="preserve"> Data Calculations. </t>
        </r>
        <r>
          <rPr>
            <sz val="10"/>
            <color indexed="81"/>
            <rFont val="Tahoma"/>
            <family val="2"/>
          </rPr>
          <t xml:space="preserve"> It is used for TPR lookup</t>
        </r>
        <r>
          <rPr>
            <i/>
            <sz val="10"/>
            <color indexed="81"/>
            <rFont val="Tahoma"/>
            <family val="2"/>
          </rPr>
          <t xml:space="preserve">
</t>
        </r>
        <r>
          <rPr>
            <sz val="10"/>
            <color indexed="81"/>
            <rFont val="Tahoma"/>
            <family val="2"/>
          </rPr>
          <t>it is calculated from the sum of the  patient depth, Bolus Depth and other Depth.</t>
        </r>
      </text>
    </comment>
    <comment ref="C19" authorId="2">
      <text>
        <r>
          <rPr>
            <b/>
            <sz val="10"/>
            <color indexed="81"/>
            <rFont val="Tahoma"/>
            <family val="2"/>
          </rPr>
          <t>Energy</t>
        </r>
        <r>
          <rPr>
            <sz val="10"/>
            <color indexed="81"/>
            <rFont val="Tahoma"/>
            <family val="2"/>
          </rPr>
          <t xml:space="preserve">  is obtained from </t>
        </r>
        <r>
          <rPr>
            <i/>
            <sz val="10"/>
            <color indexed="81"/>
            <rFont val="Tahoma"/>
            <family val="2"/>
          </rPr>
          <t xml:space="preserve">Data Calculations. </t>
        </r>
        <r>
          <rPr>
            <sz val="10"/>
            <color indexed="81"/>
            <rFont val="Tahoma"/>
            <family val="2"/>
          </rPr>
          <t>It is used by every lookup section to select the appropriate table.</t>
        </r>
      </text>
    </comment>
    <comment ref="C20" authorId="0">
      <text>
        <r>
          <rPr>
            <b/>
            <sz val="10"/>
            <color indexed="81"/>
            <rFont val="Tahoma"/>
            <family val="2"/>
          </rPr>
          <t>TPR</t>
        </r>
        <r>
          <rPr>
            <sz val="10"/>
            <color indexed="81"/>
            <rFont val="Tahoma"/>
            <family val="2"/>
          </rPr>
          <t xml:space="preserve"> is the interpolated TPR value from the </t>
        </r>
        <r>
          <rPr>
            <i/>
            <sz val="10"/>
            <color indexed="81"/>
            <rFont val="Tahoma"/>
            <family val="2"/>
          </rPr>
          <t>DataTables</t>
        </r>
        <r>
          <rPr>
            <sz val="10"/>
            <color indexed="81"/>
            <rFont val="Tahoma"/>
            <family val="2"/>
          </rPr>
          <t xml:space="preserve"> as calculated below.</t>
        </r>
      </text>
    </comment>
    <comment ref="C21" authorId="0">
      <text>
        <r>
          <rPr>
            <b/>
            <sz val="10"/>
            <color indexed="81"/>
            <rFont val="Tahoma"/>
            <family val="2"/>
          </rPr>
          <t xml:space="preserve">PSF </t>
        </r>
        <r>
          <rPr>
            <sz val="10"/>
            <color indexed="81"/>
            <rFont val="Tahoma"/>
            <family val="2"/>
          </rPr>
          <t>is the interpolated PSF value from the</t>
        </r>
        <r>
          <rPr>
            <i/>
            <sz val="10"/>
            <color indexed="81"/>
            <rFont val="Tahoma"/>
            <family val="2"/>
          </rPr>
          <t xml:space="preserve"> Data Tables</t>
        </r>
        <r>
          <rPr>
            <sz val="10"/>
            <color indexed="81"/>
            <rFont val="Tahoma"/>
            <family val="2"/>
          </rPr>
          <t xml:space="preserve"> as calculated below.</t>
        </r>
      </text>
    </comment>
    <comment ref="C22" authorId="0">
      <text>
        <r>
          <rPr>
            <b/>
            <sz val="10"/>
            <color indexed="81"/>
            <rFont val="Tahoma"/>
            <family val="2"/>
          </rPr>
          <t>RDF</t>
        </r>
        <r>
          <rPr>
            <sz val="10"/>
            <color indexed="81"/>
            <rFont val="Tahoma"/>
            <family val="2"/>
          </rPr>
          <t xml:space="preserve"> is the interpolated RDF value from the Data Tables as calculated below. </t>
        </r>
      </text>
    </comment>
    <comment ref="C23" authorId="0">
      <text>
        <r>
          <rPr>
            <b/>
            <sz val="10"/>
            <color indexed="81"/>
            <rFont val="Tahoma"/>
            <family val="2"/>
          </rPr>
          <t>ROF</t>
        </r>
        <r>
          <rPr>
            <sz val="10"/>
            <color indexed="81"/>
            <rFont val="Tahoma"/>
            <family val="2"/>
          </rPr>
          <t xml:space="preserve"> is the interpolated ROF value from the Data Tables as calculated below. </t>
        </r>
      </text>
    </comment>
    <comment ref="A32" authorId="1">
      <text>
        <r>
          <rPr>
            <b/>
            <sz val="10"/>
            <color indexed="81"/>
            <rFont val="Tahoma"/>
            <family val="2"/>
          </rPr>
          <t xml:space="preserve">Limits </t>
        </r>
        <r>
          <rPr>
            <sz val="10"/>
            <color indexed="81"/>
            <rFont val="Tahoma"/>
            <family val="2"/>
          </rPr>
          <t xml:space="preserve">extracts the limits for all of the parameters from the </t>
        </r>
        <r>
          <rPr>
            <i/>
            <sz val="10"/>
            <color indexed="81"/>
            <rFont val="Tahoma"/>
            <family val="2"/>
          </rPr>
          <t>Data Tables</t>
        </r>
        <r>
          <rPr>
            <sz val="10"/>
            <color indexed="81"/>
            <rFont val="Tahoma"/>
            <family val="2"/>
          </rPr>
          <t xml:space="preserve">.  The limits are based on both physical limitations of the treatment unit and limits to the data in the data Tables.  These limits are passed to </t>
        </r>
        <r>
          <rPr>
            <i/>
            <sz val="10"/>
            <color indexed="81"/>
            <rFont val="Tahoma"/>
            <family val="2"/>
          </rPr>
          <t>Data Calculations</t>
        </r>
        <r>
          <rPr>
            <sz val="10"/>
            <color indexed="81"/>
            <rFont val="Tahoma"/>
            <family val="2"/>
          </rPr>
          <t xml:space="preserve"> to validate the selected parameters.</t>
        </r>
      </text>
    </comment>
    <comment ref="C34" authorId="0">
      <text>
        <r>
          <rPr>
            <b/>
            <sz val="10"/>
            <color indexed="81"/>
            <rFont val="Tahoma"/>
            <family val="2"/>
          </rPr>
          <t xml:space="preserve">Energy Table </t>
        </r>
        <r>
          <rPr>
            <sz val="10"/>
            <color indexed="81"/>
            <rFont val="Tahoma"/>
            <family val="2"/>
          </rPr>
          <t xml:space="preserve">is the name of the required data table obtained from the Calc Parameters table above.
</t>
        </r>
      </text>
    </comment>
    <comment ref="C35" authorId="1">
      <text>
        <r>
          <rPr>
            <b/>
            <sz val="10"/>
            <color indexed="81"/>
            <rFont val="Tahoma"/>
            <family val="2"/>
          </rPr>
          <t>Table Offset</t>
        </r>
        <r>
          <rPr>
            <sz val="10"/>
            <color indexed="81"/>
            <rFont val="Tahoma"/>
            <family val="2"/>
          </rPr>
          <t xml:space="preserve"> is the index to the Limits table ranges in </t>
        </r>
        <r>
          <rPr>
            <i/>
            <sz val="10"/>
            <color indexed="81"/>
            <rFont val="Tahoma"/>
            <family val="2"/>
          </rPr>
          <t>Table References</t>
        </r>
        <r>
          <rPr>
            <sz val="10"/>
            <color indexed="81"/>
            <rFont val="Tahoma"/>
            <family val="2"/>
          </rPr>
          <t xml:space="preserve">.
</t>
        </r>
      </text>
    </comment>
    <comment ref="C36"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Limits data for this energy.
</t>
        </r>
      </text>
    </comment>
    <comment ref="C37" authorId="0">
      <text>
        <r>
          <rPr>
            <b/>
            <sz val="10"/>
            <color indexed="81"/>
            <rFont val="Tahoma"/>
            <family val="2"/>
          </rPr>
          <t xml:space="preserve">Range height </t>
        </r>
        <r>
          <rPr>
            <sz val="10"/>
            <color indexed="81"/>
            <rFont val="Tahoma"/>
            <family val="2"/>
          </rPr>
          <t xml:space="preserve">counts the number of rows in the table referred to by Range.
</t>
        </r>
      </text>
    </comment>
    <comment ref="C38" authorId="0">
      <text>
        <r>
          <rPr>
            <b/>
            <sz val="10"/>
            <color indexed="81"/>
            <rFont val="Tahoma"/>
            <family val="2"/>
          </rPr>
          <t>Range width</t>
        </r>
        <r>
          <rPr>
            <sz val="10"/>
            <color indexed="81"/>
            <rFont val="Tahoma"/>
            <family val="2"/>
          </rPr>
          <t xml:space="preserve"> counts the number of columns in the table referred to by Range.</t>
        </r>
        <r>
          <rPr>
            <b/>
            <sz val="10"/>
            <color indexed="81"/>
            <rFont val="Tahoma"/>
            <family val="2"/>
          </rPr>
          <t xml:space="preserve">
</t>
        </r>
      </text>
    </comment>
    <comment ref="C39" authorId="1">
      <text>
        <r>
          <rPr>
            <sz val="10"/>
            <color indexed="81"/>
            <rFont val="Tahoma"/>
            <family val="2"/>
          </rPr>
          <t>These are the limits for the parameters in the right extracted from the</t>
        </r>
        <r>
          <rPr>
            <i/>
            <sz val="10"/>
            <color indexed="81"/>
            <rFont val="Tahoma"/>
            <family val="2"/>
          </rPr>
          <t xml:space="preserve"> Data Table</t>
        </r>
      </text>
    </comment>
    <comment ref="C55" authorId="0">
      <text>
        <r>
          <rPr>
            <b/>
            <sz val="10"/>
            <color indexed="81"/>
            <rFont val="Tahoma"/>
            <family val="2"/>
          </rPr>
          <t>Parameter</t>
        </r>
        <r>
          <rPr>
            <sz val="10"/>
            <color indexed="81"/>
            <rFont val="Tahoma"/>
            <family val="2"/>
          </rPr>
          <t xml:space="preserve"> is the Parameter Value from the first part of the label.</t>
        </r>
      </text>
    </comment>
    <comment ref="C56" authorId="0">
      <text>
        <r>
          <rPr>
            <b/>
            <sz val="10"/>
            <color indexed="81"/>
            <rFont val="Tahoma"/>
            <family val="2"/>
          </rPr>
          <t>Limit</t>
        </r>
        <r>
          <rPr>
            <sz val="10"/>
            <color indexed="81"/>
            <rFont val="Tahoma"/>
            <family val="2"/>
          </rPr>
          <t xml:space="preserve"> is Max or Min, the last 3 letters of the label.</t>
        </r>
      </text>
    </comment>
    <comment ref="C57" authorId="0">
      <text>
        <r>
          <rPr>
            <b/>
            <sz val="10"/>
            <color indexed="81"/>
            <rFont val="Tahoma"/>
            <family val="2"/>
          </rPr>
          <t xml:space="preserve">Parameter index </t>
        </r>
        <r>
          <rPr>
            <sz val="10"/>
            <color indexed="81"/>
            <rFont val="Tahoma"/>
            <family val="2"/>
          </rPr>
          <t xml:space="preserve">calculates an index to the row associated with Parameter in the table referred to by Range.  The index is obtained by searching the first column of the table referred to by Range.
</t>
        </r>
      </text>
    </comment>
    <comment ref="C58" authorId="0">
      <text>
        <r>
          <rPr>
            <b/>
            <sz val="10"/>
            <color indexed="81"/>
            <rFont val="Tahoma"/>
            <family val="2"/>
          </rPr>
          <t xml:space="preserve">Limit index </t>
        </r>
        <r>
          <rPr>
            <sz val="10"/>
            <color indexed="81"/>
            <rFont val="Tahoma"/>
            <family val="2"/>
          </rPr>
          <t>calculates an index to the column associated with Limit value in the table referred to by Range.  The index is obtained by searching the first row of the table referred to by Range.</t>
        </r>
        <r>
          <rPr>
            <b/>
            <sz val="10"/>
            <color indexed="81"/>
            <rFont val="Tahoma"/>
            <family val="2"/>
          </rPr>
          <t xml:space="preserve">
</t>
        </r>
      </text>
    </comment>
    <comment ref="A122" authorId="0">
      <text>
        <r>
          <rPr>
            <b/>
            <sz val="10"/>
            <color indexed="81"/>
            <rFont val="Tahoma"/>
            <family val="2"/>
          </rPr>
          <t xml:space="preserve">Shielding Factors </t>
        </r>
        <r>
          <rPr>
            <sz val="10"/>
            <color indexed="81"/>
            <rFont val="Tahoma"/>
            <family val="2"/>
          </rPr>
          <t>creates a table with the available shielding possibilities and the corresponding tray factors from the</t>
        </r>
        <r>
          <rPr>
            <i/>
            <sz val="10"/>
            <color indexed="81"/>
            <rFont val="Tahoma"/>
            <family val="2"/>
          </rPr>
          <t xml:space="preserve"> Data Table </t>
        </r>
        <r>
          <rPr>
            <sz val="10"/>
            <color indexed="81"/>
            <rFont val="Tahoma"/>
            <family val="2"/>
          </rPr>
          <t xml:space="preserve">for a given treatment unit and energy.   The table is used in  </t>
        </r>
        <r>
          <rPr>
            <i/>
            <sz val="10"/>
            <color indexed="81"/>
            <rFont val="Tahoma"/>
            <family val="2"/>
          </rPr>
          <t>Data Calculations</t>
        </r>
        <r>
          <rPr>
            <sz val="10"/>
            <color indexed="81"/>
            <rFont val="Tahoma"/>
            <family val="2"/>
          </rPr>
          <t xml:space="preserve"> To generate a drop-down-list set for selecting  appropriate shielding.</t>
        </r>
      </text>
    </comment>
    <comment ref="C123" authorId="1">
      <text>
        <r>
          <rPr>
            <b/>
            <sz val="10"/>
            <color indexed="81"/>
            <rFont val="Tahoma"/>
            <family val="2"/>
          </rPr>
          <t xml:space="preserve">Table Offset </t>
        </r>
        <r>
          <rPr>
            <sz val="10"/>
            <color indexed="81"/>
            <rFont val="Tahoma"/>
            <family val="2"/>
          </rPr>
          <t xml:space="preserve">is the index to the Shielding Factors table ranges in </t>
        </r>
        <r>
          <rPr>
            <i/>
            <sz val="10"/>
            <color indexed="81"/>
            <rFont val="Tahoma"/>
            <family val="2"/>
          </rPr>
          <t>Table References.</t>
        </r>
      </text>
    </comment>
    <comment ref="C124"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TPR data for this energy.</t>
        </r>
      </text>
    </comment>
    <comment ref="C125" authorId="0">
      <text>
        <r>
          <rPr>
            <b/>
            <sz val="10"/>
            <color indexed="81"/>
            <rFont val="Tahoma"/>
            <family val="2"/>
          </rPr>
          <t>Range height</t>
        </r>
        <r>
          <rPr>
            <sz val="10"/>
            <color indexed="81"/>
            <rFont val="Tahoma"/>
            <family val="2"/>
          </rPr>
          <t xml:space="preserve"> counts the number of rows in the table referred to by Range.</t>
        </r>
      </text>
    </comment>
    <comment ref="C126" authorId="1">
      <text>
        <r>
          <rPr>
            <sz val="10"/>
            <color indexed="81"/>
            <rFont val="Tahoma"/>
            <family val="2"/>
          </rPr>
          <t>These values are the indexes to the tray factors in the Data Table for the tray labels on the right.</t>
        </r>
      </text>
    </comment>
    <comment ref="C130" authorId="1">
      <text>
        <r>
          <rPr>
            <sz val="10"/>
            <color indexed="81"/>
            <rFont val="Tahoma"/>
            <family val="2"/>
          </rPr>
          <t>These values are the tray factors from the Data Table for the tray labels on the right.</t>
        </r>
      </text>
    </comment>
    <comment ref="A134" authorId="0">
      <text/>
    </comment>
    <comment ref="A135" authorId="0">
      <text>
        <r>
          <rPr>
            <b/>
            <sz val="10"/>
            <color indexed="81"/>
            <rFont val="Tahoma"/>
            <family val="2"/>
          </rPr>
          <t xml:space="preserve">Effective SSD </t>
        </r>
        <r>
          <rPr>
            <sz val="10"/>
            <color indexed="81"/>
            <rFont val="Tahoma"/>
            <family val="2"/>
          </rPr>
          <t xml:space="preserve">looks up the effective SSD from the </t>
        </r>
        <r>
          <rPr>
            <i/>
            <sz val="10"/>
            <color indexed="81"/>
            <rFont val="Tahoma"/>
            <family val="2"/>
          </rPr>
          <t>Data Table</t>
        </r>
      </text>
    </comment>
    <comment ref="A141" authorId="0">
      <text>
        <r>
          <rPr>
            <b/>
            <sz val="9"/>
            <color indexed="81"/>
            <rFont val="Tahoma"/>
            <family val="2"/>
          </rPr>
          <t xml:space="preserve">TPR Interpolation </t>
        </r>
        <r>
          <rPr>
            <sz val="9"/>
            <color indexed="81"/>
            <rFont val="Tahoma"/>
            <family val="2"/>
          </rPr>
          <t xml:space="preserve">Uses Equivalent Square Field Size and depth to look up TPR values from the </t>
        </r>
        <r>
          <rPr>
            <i/>
            <sz val="9"/>
            <color indexed="81"/>
            <rFont val="Tahoma"/>
            <family val="2"/>
          </rPr>
          <t>databooks</t>
        </r>
        <r>
          <rPr>
            <sz val="9"/>
            <color indexed="81"/>
            <rFont val="Tahoma"/>
            <family val="2"/>
          </rPr>
          <t xml:space="preserve"> and calculate an interpolated value.
All of the other parameters are calculated by the exact same technique.  PSF and EDW Wedge factor are only 1D tables and so do not require the calculation of n.  </t>
        </r>
      </text>
    </comment>
    <comment ref="C146" authorId="0">
      <text>
        <r>
          <rPr>
            <b/>
            <sz val="10"/>
            <color indexed="81"/>
            <rFont val="Tahoma"/>
            <family val="2"/>
          </rPr>
          <t>Depth</t>
        </r>
        <r>
          <rPr>
            <sz val="10"/>
            <color indexed="81"/>
            <rFont val="Tahoma"/>
            <family val="2"/>
          </rPr>
          <t xml:space="preserve"> is the Depth for the field obtained from the Calc Parameters table above.</t>
        </r>
      </text>
    </comment>
    <comment ref="C147" authorId="0">
      <text>
        <r>
          <rPr>
            <b/>
            <sz val="10"/>
            <color indexed="81"/>
            <rFont val="Tahoma"/>
            <family val="2"/>
          </rPr>
          <t>Field Size</t>
        </r>
        <r>
          <rPr>
            <sz val="10"/>
            <color indexed="81"/>
            <rFont val="Tahoma"/>
            <family val="2"/>
          </rPr>
          <t xml:space="preserve"> is the Equivalent Square Field Size for the field obtained from the Calc Parameters table above.</t>
        </r>
      </text>
    </comment>
    <comment ref="C148" authorId="0">
      <text>
        <r>
          <rPr>
            <b/>
            <sz val="10"/>
            <color indexed="81"/>
            <rFont val="Tahoma"/>
            <family val="2"/>
          </rPr>
          <t>Depth index</t>
        </r>
        <r>
          <rPr>
            <sz val="10"/>
            <color indexed="81"/>
            <rFont val="Tahoma"/>
            <family val="2"/>
          </rPr>
          <t xml:space="preserve"> calculates an index to the row in the table referred to by Range which is associated with the largest Depth value that is less than or equal to the Field Depth. The index is obtained by searching the first column of the table referred to by Range.</t>
        </r>
      </text>
    </comment>
    <comment ref="C149" authorId="0">
      <text>
        <r>
          <rPr>
            <sz val="10"/>
            <color indexed="81"/>
            <rFont val="Tahoma"/>
            <family val="2"/>
          </rPr>
          <t>Field Size index calculates an index to the column in the table referred to by Range which is associated with the largest Equivalent Square Field Size value that is less than or equal to the Field Size above.   The index is obtained by searching the first row of the table referred to by Range.</t>
        </r>
      </text>
    </comment>
    <comment ref="C150" authorId="0">
      <text>
        <r>
          <rPr>
            <b/>
            <sz val="10"/>
            <color indexed="81"/>
            <rFont val="Tahoma"/>
            <family val="2"/>
          </rPr>
          <t xml:space="preserve">Depth a </t>
        </r>
        <r>
          <rPr>
            <sz val="10"/>
            <color indexed="81"/>
            <rFont val="Tahoma"/>
            <family val="2"/>
          </rPr>
          <t>is the depth value pointed to by Depth Index.  It will be less than or equal to the value of Depth above.</t>
        </r>
      </text>
    </comment>
    <comment ref="C151" authorId="0">
      <text>
        <r>
          <rPr>
            <b/>
            <sz val="10"/>
            <color indexed="81"/>
            <rFont val="Tahoma"/>
            <family val="2"/>
          </rPr>
          <t xml:space="preserve">Depth b </t>
        </r>
        <r>
          <rPr>
            <sz val="10"/>
            <color indexed="81"/>
            <rFont val="Tahoma"/>
            <family val="2"/>
          </rPr>
          <t>is the depth value in the row 1  higher than that pointed to by Depth Index.  It will be greater than the value of Depth above.</t>
        </r>
      </text>
    </comment>
    <comment ref="C152" authorId="0">
      <text>
        <r>
          <rPr>
            <b/>
            <sz val="10"/>
            <color indexed="81"/>
            <rFont val="Tahoma"/>
            <family val="2"/>
          </rPr>
          <t xml:space="preserve">Field Size a </t>
        </r>
        <r>
          <rPr>
            <sz val="10"/>
            <color indexed="81"/>
            <rFont val="Tahoma"/>
            <family val="2"/>
          </rPr>
          <t>is the field size value pointed to by Field Size Index.  It will be less than or equal to the value of Field Size above.</t>
        </r>
      </text>
    </comment>
    <comment ref="C153" authorId="0">
      <text>
        <r>
          <rPr>
            <b/>
            <sz val="10"/>
            <color indexed="81"/>
            <rFont val="Tahoma"/>
            <family val="2"/>
          </rPr>
          <t xml:space="preserve">Field Size b </t>
        </r>
        <r>
          <rPr>
            <sz val="10"/>
            <color indexed="81"/>
            <rFont val="Tahoma"/>
            <family val="2"/>
          </rPr>
          <t>is the field size value in the column 1  higher than that pointed to by Field Size Index.  It will be greater than the value of Depth above.</t>
        </r>
      </text>
    </comment>
    <comment ref="C154" authorId="0">
      <text>
        <r>
          <rPr>
            <b/>
            <sz val="10"/>
            <color indexed="81"/>
            <rFont val="Tahoma"/>
            <family val="2"/>
          </rPr>
          <t xml:space="preserve">TPR(da,fsa) </t>
        </r>
        <r>
          <rPr>
            <sz val="10"/>
            <color indexed="81"/>
            <rFont val="Tahoma"/>
            <family val="2"/>
          </rPr>
          <t>is the TPR value in the table referred to by Range, which is referenced  by Depth Index and Field Size index.  i.e.  TPR(Depth a,Field Size a).</t>
        </r>
      </text>
    </comment>
    <comment ref="C155" authorId="0">
      <text>
        <r>
          <rPr>
            <b/>
            <sz val="10"/>
            <color indexed="81"/>
            <rFont val="Tahoma"/>
            <family val="2"/>
          </rPr>
          <t xml:space="preserve">TPR(db,fsa) </t>
        </r>
        <r>
          <rPr>
            <sz val="10"/>
            <color indexed="81"/>
            <rFont val="Tahoma"/>
            <family val="2"/>
          </rPr>
          <t>is the TPR value in the table referred to by Range, which is referenced  by Depth Index +1 and Field Size index.  i.e.  TPR(Depth b,Field Size a).</t>
        </r>
      </text>
    </comment>
    <comment ref="C156" authorId="0">
      <text>
        <r>
          <rPr>
            <b/>
            <sz val="10"/>
            <color indexed="81"/>
            <rFont val="Tahoma"/>
            <family val="2"/>
          </rPr>
          <t>TPR(da,fsb)</t>
        </r>
        <r>
          <rPr>
            <sz val="10"/>
            <color indexed="81"/>
            <rFont val="Tahoma"/>
            <family val="2"/>
          </rPr>
          <t xml:space="preserve"> is the TPR value in the table referred to by Range, which is referenced  by Depth Index and Field Size index+1.  i.e.  TPR(Depth a,Field Size b).</t>
        </r>
      </text>
    </comment>
    <comment ref="C157" authorId="0">
      <text>
        <r>
          <rPr>
            <b/>
            <sz val="10"/>
            <color indexed="81"/>
            <rFont val="Tahoma"/>
            <family val="2"/>
          </rPr>
          <t xml:space="preserve">TPR(db,fsb) </t>
        </r>
        <r>
          <rPr>
            <sz val="10"/>
            <color indexed="81"/>
            <rFont val="Tahoma"/>
            <family val="2"/>
          </rPr>
          <t>is the TPR value in the table referred to by Range, which is referenced  by Depth Index+1 and Field Size index+1.  i.e.  TPR(Depth b,Field Size b).</t>
        </r>
      </text>
    </comment>
    <comment ref="C158" authorId="0">
      <text>
        <r>
          <rPr>
            <b/>
            <sz val="10"/>
            <color indexed="81"/>
            <rFont val="Tahoma"/>
            <family val="2"/>
          </rPr>
          <t>m</t>
        </r>
        <r>
          <rPr>
            <sz val="10"/>
            <color indexed="81"/>
            <rFont val="Tahoma"/>
            <family val="2"/>
          </rPr>
          <t xml:space="preserve"> is the average slope in the TPR along the Depth axis calculated by:
average[  (TPR(db,fsa)-TPR(da,fsa)/(Depth b-Depth a), 
                       (TPR(db,fsb)-TPR(da,fsb)/(Depth b-Depth a) ]</t>
        </r>
      </text>
    </comment>
    <comment ref="C159" authorId="0">
      <text>
        <r>
          <rPr>
            <b/>
            <sz val="10"/>
            <color indexed="81"/>
            <rFont val="Tahoma"/>
            <family val="2"/>
          </rPr>
          <t xml:space="preserve">n </t>
        </r>
        <r>
          <rPr>
            <sz val="10"/>
            <color indexed="81"/>
            <rFont val="Tahoma"/>
            <family val="2"/>
          </rPr>
          <t>is the average slope in the TPR along the Field Size axis calculated by:
average[  (TPR(da,fsb)-TPR(da,fsa)/(Field Size b-Field Size a), 
                       (TPR(db,fsb)-TPR(db,fsa)/(Field Size b-Field Size a) ]</t>
        </r>
      </text>
    </comment>
    <comment ref="C160" authorId="0">
      <text>
        <r>
          <rPr>
            <b/>
            <sz val="10"/>
            <color indexed="81"/>
            <rFont val="Tahoma"/>
            <family val="2"/>
          </rPr>
          <t xml:space="preserve">b </t>
        </r>
        <r>
          <rPr>
            <sz val="10"/>
            <color indexed="81"/>
            <rFont val="Tahoma"/>
            <family val="2"/>
          </rPr>
          <t xml:space="preserve">is the 2D intercept in the TPR  calculated by:
b = TPR(da,fsa) - m * Depth a + n * Field Size a </t>
        </r>
      </text>
    </comment>
    <comment ref="C161" authorId="0">
      <text>
        <r>
          <rPr>
            <b/>
            <sz val="10"/>
            <color indexed="81"/>
            <rFont val="Tahoma"/>
            <family val="2"/>
          </rPr>
          <t xml:space="preserve">TPR </t>
        </r>
        <r>
          <rPr>
            <sz val="10"/>
            <color indexed="81"/>
            <rFont val="Tahoma"/>
            <family val="2"/>
          </rPr>
          <t>is the interpolated TPR calculated by TPR = m*Field Depth + n*Field Size +b</t>
        </r>
      </text>
    </comment>
    <comment ref="A163" authorId="0">
      <text>
        <r>
          <rPr>
            <b/>
            <sz val="10"/>
            <color indexed="81"/>
            <rFont val="Tahoma"/>
            <family val="2"/>
          </rPr>
          <t xml:space="preserve">RDF Interpolation </t>
        </r>
        <r>
          <rPr>
            <sz val="10"/>
            <color indexed="81"/>
            <rFont val="Tahoma"/>
            <family val="2"/>
          </rPr>
          <t xml:space="preserve">Uses Field Width and Field Length to look up RDF values from the </t>
        </r>
        <r>
          <rPr>
            <i/>
            <sz val="10"/>
            <color indexed="81"/>
            <rFont val="Tahoma"/>
            <family val="2"/>
          </rPr>
          <t>Data Tables</t>
        </r>
        <r>
          <rPr>
            <sz val="10"/>
            <color indexed="81"/>
            <rFont val="Tahoma"/>
            <family val="2"/>
          </rPr>
          <t xml:space="preserve"> and calculate an interpolated value.</t>
        </r>
      </text>
    </comment>
    <comment ref="A185" authorId="0">
      <text>
        <r>
          <rPr>
            <b/>
            <sz val="10"/>
            <color indexed="81"/>
            <rFont val="Tahoma"/>
            <family val="2"/>
          </rPr>
          <t xml:space="preserve">ROF Interpolation </t>
        </r>
        <r>
          <rPr>
            <sz val="10"/>
            <color indexed="81"/>
            <rFont val="Tahoma"/>
            <family val="2"/>
          </rPr>
          <t xml:space="preserve">Uses Collimator X and Collimator Y to look up ROF values from the </t>
        </r>
        <r>
          <rPr>
            <i/>
            <sz val="10"/>
            <color indexed="81"/>
            <rFont val="Tahoma"/>
            <family val="2"/>
          </rPr>
          <t>Data Tables</t>
        </r>
        <r>
          <rPr>
            <sz val="10"/>
            <color indexed="81"/>
            <rFont val="Tahoma"/>
            <family val="2"/>
          </rPr>
          <t xml:space="preserve"> and calculate an interpolated value.  ROF is used with extended distance calculations.</t>
        </r>
      </text>
    </comment>
    <comment ref="A207" authorId="0">
      <text>
        <r>
          <rPr>
            <b/>
            <sz val="10"/>
            <color indexed="81"/>
            <rFont val="Tahoma"/>
            <family val="2"/>
          </rPr>
          <t xml:space="preserve">PSF Interpolation </t>
        </r>
        <r>
          <rPr>
            <sz val="10"/>
            <color indexed="81"/>
            <rFont val="Tahoma"/>
            <family val="2"/>
          </rPr>
          <t xml:space="preserve">Uses Equivalent Square Field Size  to look up PSF values from the </t>
        </r>
        <r>
          <rPr>
            <i/>
            <sz val="10"/>
            <color indexed="81"/>
            <rFont val="Tahoma"/>
            <family val="2"/>
          </rPr>
          <t>Data Tables</t>
        </r>
        <r>
          <rPr>
            <sz val="10"/>
            <color indexed="81"/>
            <rFont val="Tahoma"/>
            <family val="2"/>
          </rPr>
          <t xml:space="preserve"> and calculate an interpolated value.  PSF is used with extended distance calculations.</t>
        </r>
      </text>
    </comment>
    <comment ref="A221" authorId="0">
      <text>
        <r>
          <rPr>
            <b/>
            <sz val="10"/>
            <color indexed="81"/>
            <rFont val="Tahoma"/>
            <family val="2"/>
          </rPr>
          <t>EDW Wedge Factor Interpolation</t>
        </r>
        <r>
          <rPr>
            <sz val="10"/>
            <color indexed="81"/>
            <rFont val="Tahoma"/>
            <family val="2"/>
          </rPr>
          <t xml:space="preserve"> Is currently not used.
It is inteded to use Wedge Angle and Fixed Jaw size to look up EDW Wedge Factor values from the </t>
        </r>
        <r>
          <rPr>
            <i/>
            <sz val="10"/>
            <color indexed="81"/>
            <rFont val="Tahoma"/>
            <family val="2"/>
          </rPr>
          <t>Data Tables</t>
        </r>
        <r>
          <rPr>
            <sz val="10"/>
            <color indexed="81"/>
            <rFont val="Tahoma"/>
            <family val="2"/>
          </rPr>
          <t>and calculate an interpolated value.  The Wedge Angle provides a column index to the table but is not interpolated.</t>
        </r>
      </text>
    </comment>
  </commentList>
</comments>
</file>

<file path=xl/comments5.xml><?xml version="1.0" encoding="utf-8"?>
<comments xmlns="http://schemas.openxmlformats.org/spreadsheetml/2006/main">
  <authors>
    <author>Greg Salomons</author>
    <author>Salomons, Greg</author>
  </authors>
  <commentList>
    <comment ref="B1" authorId="0">
      <text>
        <r>
          <rPr>
            <b/>
            <sz val="8"/>
            <color indexed="81"/>
            <rFont val="Tahoma"/>
            <family val="2"/>
          </rPr>
          <t xml:space="preserve">The Table References table </t>
        </r>
        <r>
          <rPr>
            <sz val="8"/>
            <color indexed="81"/>
            <rFont val="Tahoma"/>
            <family val="2"/>
          </rPr>
          <t xml:space="preserve">contains  a cell reference list for each  parameter table in the </t>
        </r>
        <r>
          <rPr>
            <i/>
            <sz val="8"/>
            <color indexed="81"/>
            <rFont val="Tahoma"/>
            <family val="2"/>
          </rPr>
          <t>Data Tables.</t>
        </r>
        <r>
          <rPr>
            <sz val="8"/>
            <color indexed="81"/>
            <rFont val="Tahoma"/>
            <family val="2"/>
          </rPr>
          <t xml:space="preserve">  Each column is associated with a particular energy.  Each group of rows is associated with a particular parameter type.
To add a  new machine &amp; energy insert a column at an appropriate point.  Columns added to the end of the table may not be referenced correctly.  The energy names in the first row of the table must match </t>
        </r>
        <r>
          <rPr>
            <u/>
            <sz val="8"/>
            <color indexed="81"/>
            <rFont val="Tahoma"/>
            <family val="2"/>
          </rPr>
          <t>exactly</t>
        </r>
        <r>
          <rPr>
            <sz val="8"/>
            <color indexed="81"/>
            <rFont val="Tahoma"/>
            <family val="2"/>
          </rPr>
          <t xml:space="preserve"> with the energy names from the drop down list in </t>
        </r>
        <r>
          <rPr>
            <i/>
            <sz val="8"/>
            <color indexed="81"/>
            <rFont val="Tahoma"/>
            <family val="2"/>
          </rPr>
          <t>Data Cakulations</t>
        </r>
        <r>
          <rPr>
            <sz val="8"/>
            <color indexed="81"/>
            <rFont val="Tahoma"/>
            <family val="2"/>
          </rPr>
          <t>.</t>
        </r>
      </text>
    </comment>
    <comment ref="D3" authorId="0">
      <text>
        <r>
          <rPr>
            <b/>
            <sz val="8"/>
            <color indexed="81"/>
            <rFont val="Tahoma"/>
            <family val="2"/>
          </rPr>
          <t xml:space="preserve">Top Corner </t>
        </r>
        <r>
          <rPr>
            <sz val="8"/>
            <color indexed="81"/>
            <rFont val="Tahoma"/>
            <family val="2"/>
          </rPr>
          <t>references the name of the upper left hand cell in the table.</t>
        </r>
      </text>
    </comment>
    <comment ref="D4" authorId="0">
      <text>
        <r>
          <rPr>
            <b/>
            <sz val="8"/>
            <color indexed="81"/>
            <rFont val="Tahoma"/>
            <family val="2"/>
          </rPr>
          <t xml:space="preserve">Bottom Corner </t>
        </r>
        <r>
          <rPr>
            <sz val="8"/>
            <color indexed="81"/>
            <rFont val="Tahoma"/>
            <family val="2"/>
          </rPr>
          <t>references the name of the bottom right hand cell in the table.</t>
        </r>
      </text>
    </comment>
    <comment ref="D5" authorId="0">
      <text>
        <r>
          <rPr>
            <b/>
            <sz val="8"/>
            <color indexed="81"/>
            <rFont val="Tahoma"/>
            <family val="2"/>
          </rPr>
          <t xml:space="preserve">Sheet name </t>
        </r>
        <r>
          <rPr>
            <sz val="8"/>
            <color indexed="81"/>
            <rFont val="Tahoma"/>
            <family val="2"/>
          </rPr>
          <t>is the name of the worksheet referred to by the Top Corner cell address.</t>
        </r>
      </text>
    </comment>
    <comment ref="D6" authorId="1">
      <text>
        <r>
          <rPr>
            <b/>
            <sz val="9"/>
            <color indexed="81"/>
            <rFont val="Tahoma"/>
            <family val="2"/>
          </rPr>
          <t>Range</t>
        </r>
        <r>
          <rPr>
            <sz val="9"/>
            <color indexed="81"/>
            <rFont val="Tahoma"/>
            <family val="2"/>
          </rPr>
          <t xml:space="preserve"> is the cells contained in the specified table including the row and column headers.
It is Used by </t>
        </r>
        <r>
          <rPr>
            <i/>
            <sz val="9"/>
            <color indexed="81"/>
            <rFont val="Tahoma"/>
            <family val="2"/>
          </rPr>
          <t>Parameters</t>
        </r>
        <r>
          <rPr>
            <sz val="9"/>
            <color indexed="81"/>
            <rFont val="Tahoma"/>
            <family val="2"/>
          </rPr>
          <t xml:space="preserve"> to select the appropriate data from the</t>
        </r>
        <r>
          <rPr>
            <i/>
            <sz val="9"/>
            <color indexed="81"/>
            <rFont val="Tahoma"/>
            <family val="2"/>
          </rPr>
          <t xml:space="preserve"> Data Tables</t>
        </r>
        <r>
          <rPr>
            <sz val="9"/>
            <color indexed="81"/>
            <rFont val="Tahoma"/>
            <family val="2"/>
          </rPr>
          <t xml:space="preserve">
It is created from top corner, bottom corner and sheet name.
</t>
        </r>
      </text>
    </comment>
    <comment ref="D36" authorId="1">
      <text>
        <r>
          <rPr>
            <b/>
            <sz val="9"/>
            <color indexed="81"/>
            <rFont val="Tahoma"/>
            <family val="2"/>
          </rPr>
          <t>Parameter Table Offset:</t>
        </r>
        <r>
          <rPr>
            <sz val="9"/>
            <color indexed="81"/>
            <rFont val="Tahoma"/>
            <family val="2"/>
          </rPr>
          <t xml:space="preserve"> Provides the vertical offset to the range for each parameter in the table above.
The parameter names are in alphabetical order due to searching requirements.</t>
        </r>
      </text>
    </comment>
    <comment ref="E37" authorId="1">
      <text>
        <r>
          <rPr>
            <sz val="9"/>
            <color indexed="81"/>
            <rFont val="Tahoma"/>
            <family val="2"/>
          </rPr>
          <t>The ROWS function is used to count the number of rows from the top of the table to the Range row for each parameter.
This is done so that a parameter can be inserted without getting the index messed up</t>
        </r>
      </text>
    </comment>
    <comment ref="B48" authorId="0">
      <text>
        <r>
          <rPr>
            <b/>
            <sz val="9"/>
            <color indexed="81"/>
            <rFont val="Tahoma"/>
            <family val="2"/>
          </rPr>
          <t xml:space="preserve">Check Sum </t>
        </r>
        <r>
          <rPr>
            <sz val="9"/>
            <color indexed="81"/>
            <rFont val="Tahoma"/>
            <family val="2"/>
          </rPr>
          <t xml:space="preserve">adds up all of the values in each </t>
        </r>
        <r>
          <rPr>
            <i/>
            <sz val="9"/>
            <color indexed="81"/>
            <rFont val="Tahoma"/>
            <family val="2"/>
          </rPr>
          <t>databook</t>
        </r>
        <r>
          <rPr>
            <sz val="9"/>
            <color indexed="81"/>
            <rFont val="Tahoma"/>
            <family val="2"/>
          </rPr>
          <t xml:space="preserve"> table and compares this number to a reference value.
The purpose of this is to ensure that no values in the </t>
        </r>
        <r>
          <rPr>
            <i/>
            <sz val="9"/>
            <color indexed="81"/>
            <rFont val="Tahoma"/>
            <family val="2"/>
          </rPr>
          <t>databook</t>
        </r>
        <r>
          <rPr>
            <sz val="9"/>
            <color indexed="81"/>
            <rFont val="Tahoma"/>
            <family val="2"/>
          </rPr>
          <t xml:space="preserve"> tables have been accidentally modified</t>
        </r>
      </text>
    </comment>
    <comment ref="B49" authorId="0">
      <text>
        <r>
          <rPr>
            <sz val="9"/>
            <color indexed="81"/>
            <rFont val="Tahoma"/>
            <family val="2"/>
          </rPr>
          <t>The</t>
        </r>
        <r>
          <rPr>
            <b/>
            <sz val="9"/>
            <color indexed="81"/>
            <rFont val="Tahoma"/>
            <family val="2"/>
          </rPr>
          <t xml:space="preserve"> Actual </t>
        </r>
        <r>
          <rPr>
            <sz val="9"/>
            <color indexed="81"/>
            <rFont val="Tahoma"/>
            <family val="2"/>
          </rPr>
          <t>values are re-calculated each time the spreadsheet is opened.</t>
        </r>
      </text>
    </comment>
    <comment ref="D53" authorId="0">
      <text>
        <r>
          <rPr>
            <sz val="9"/>
            <color indexed="81"/>
            <rFont val="Tahoma"/>
            <family val="2"/>
          </rPr>
          <t>The sum of all values in the CL6 6MV RDF table</t>
        </r>
      </text>
    </comment>
    <comment ref="E59" authorId="0">
      <text>
        <r>
          <rPr>
            <sz val="8"/>
            <color indexed="81"/>
            <rFont val="Tahoma"/>
            <family val="2"/>
          </rPr>
          <t>The</t>
        </r>
        <r>
          <rPr>
            <b/>
            <sz val="8"/>
            <color indexed="81"/>
            <rFont val="Tahoma"/>
            <family val="2"/>
          </rPr>
          <t xml:space="preserve"> total </t>
        </r>
        <r>
          <rPr>
            <sz val="8"/>
            <color indexed="81"/>
            <rFont val="Tahoma"/>
            <family val="2"/>
          </rPr>
          <t>of all the summed values above.</t>
        </r>
      </text>
    </comment>
    <comment ref="B61" authorId="0">
      <text>
        <r>
          <rPr>
            <sz val="9"/>
            <color indexed="81"/>
            <rFont val="Tahoma"/>
            <family val="2"/>
          </rPr>
          <t>The</t>
        </r>
        <r>
          <rPr>
            <b/>
            <sz val="9"/>
            <color indexed="81"/>
            <rFont val="Tahoma"/>
            <family val="2"/>
          </rPr>
          <t xml:space="preserve"> Reference </t>
        </r>
        <r>
          <rPr>
            <sz val="9"/>
            <color indexed="81"/>
            <rFont val="Tahoma"/>
            <family val="2"/>
          </rPr>
          <t>values are calculated the first time the data is entered and saved as a number.</t>
        </r>
      </text>
    </comment>
    <comment ref="D65" authorId="0">
      <text>
        <r>
          <rPr>
            <sz val="9"/>
            <color indexed="81"/>
            <rFont val="Tahoma"/>
            <family val="2"/>
          </rPr>
          <t>The reference value for the sum of all values in the CL6 6MV RDF table.</t>
        </r>
      </text>
    </comment>
    <comment ref="E72" authorId="0">
      <text>
        <r>
          <rPr>
            <sz val="8"/>
            <color indexed="81"/>
            <rFont val="Tahoma"/>
            <family val="2"/>
          </rPr>
          <t>The</t>
        </r>
        <r>
          <rPr>
            <b/>
            <sz val="8"/>
            <color indexed="81"/>
            <rFont val="Tahoma"/>
            <family val="2"/>
          </rPr>
          <t xml:space="preserve"> reference </t>
        </r>
        <r>
          <rPr>
            <sz val="8"/>
            <color indexed="81"/>
            <rFont val="Tahoma"/>
            <family val="2"/>
          </rPr>
          <t>total of all the summed values above.</t>
        </r>
      </text>
    </comment>
    <comment ref="E74" authorId="0">
      <text>
        <r>
          <rPr>
            <b/>
            <sz val="8"/>
            <color indexed="81"/>
            <rFont val="Tahoma"/>
            <family val="2"/>
          </rPr>
          <t xml:space="preserve">Check sum OK </t>
        </r>
        <r>
          <rPr>
            <sz val="8"/>
            <color indexed="81"/>
            <rFont val="Tahoma"/>
            <family val="2"/>
          </rPr>
          <t>compares the total summed value to the reference value. If it matches its value is TRUE; if there is a difference its value  is FALSE.
This value is checked by Print Form, and a Message DATA ERROR is displayed if it is FALSE</t>
        </r>
      </text>
    </comment>
  </commentList>
</comments>
</file>

<file path=xl/comments6.xml><?xml version="1.0" encoding="utf-8"?>
<comments xmlns="http://schemas.openxmlformats.org/spreadsheetml/2006/main">
  <authors>
    <author>Greg Salomons</author>
  </authors>
  <commentList>
    <comment ref="A1" authorId="0">
      <text>
        <r>
          <rPr>
            <b/>
            <sz val="8"/>
            <color indexed="81"/>
            <rFont val="Tahoma"/>
            <family val="2"/>
          </rPr>
          <t xml:space="preserve">CL6 6MV Data </t>
        </r>
        <r>
          <rPr>
            <sz val="8"/>
            <color indexed="81"/>
            <rFont val="Tahoma"/>
            <family val="2"/>
          </rPr>
          <t>is stored in this sheet.  
Note:  To correctly access the data in the last row and column of each table,  the table must be extended  with the addition of a dummy row and column containing identical data values to the last true row and column.  The indexing values for the dummy data should be minutely higher than the maximum values in the true table.  For example the maximum TPR depth is 30 cm.  An additional row is added below which has the identical TPR data to the depth =30 data but is assigned a depth of 30.001.  This is required because the way that the Parameters sheet references the tables to do its interpolation.  Values in the dummy rows and columns will not be used for MU calculations.
To reduce the number of worksheets all data tables for a given Machine and Energy are located on the same worksheet.  Hyperlinks to the different tables are provided at the top of the worksheet for convenience, but are not required for the functioning of the spreadsheet.</t>
        </r>
      </text>
    </comment>
  </commentList>
</comments>
</file>

<file path=xl/sharedStrings.xml><?xml version="1.0" encoding="utf-8"?>
<sst xmlns="http://schemas.openxmlformats.org/spreadsheetml/2006/main" count="826" uniqueCount="361">
  <si>
    <t>Patient Name:</t>
  </si>
  <si>
    <t>Chart No.:</t>
  </si>
  <si>
    <t>Total Prescribed Dose (cGy) &amp; Fractions:</t>
  </si>
  <si>
    <t>Daily Dose (cGy)</t>
  </si>
  <si>
    <t>Field size (cm)</t>
  </si>
  <si>
    <t>Depth (cm)</t>
  </si>
  <si>
    <t>Effective Depth (cm)</t>
  </si>
  <si>
    <t>Ref. Dose Rate (cGy/MU)</t>
  </si>
  <si>
    <t>TPR</t>
  </si>
  <si>
    <t>RDF</t>
  </si>
  <si>
    <t>Wedge Angle</t>
  </si>
  <si>
    <t>Wedge Factor</t>
  </si>
  <si>
    <t>Tumour Dose Rate (cGy/MU)</t>
  </si>
  <si>
    <t>MU Setting</t>
  </si>
  <si>
    <t>Beam Weighting (%)</t>
  </si>
  <si>
    <t>No. of  Fractions</t>
  </si>
  <si>
    <t xml:space="preserve">Total Prescribed Dose (cGy) </t>
  </si>
  <si>
    <t>Patient Info</t>
  </si>
  <si>
    <t>Beam Dose Factors</t>
  </si>
  <si>
    <t>Field Name</t>
  </si>
  <si>
    <t>Other Depth</t>
  </si>
  <si>
    <t>Type</t>
  </si>
  <si>
    <t>Energy</t>
  </si>
  <si>
    <t>EQ SQR</t>
  </si>
  <si>
    <t>Depth</t>
  </si>
  <si>
    <t>m</t>
  </si>
  <si>
    <t>n</t>
  </si>
  <si>
    <t>b</t>
  </si>
  <si>
    <t>Y Jaw</t>
  </si>
  <si>
    <t xml:space="preserve">X Jaw </t>
  </si>
  <si>
    <t>CL6 6MV</t>
  </si>
  <si>
    <t>Field Size</t>
  </si>
  <si>
    <t>Xa</t>
  </si>
  <si>
    <t>Xb</t>
  </si>
  <si>
    <t>Ya</t>
  </si>
  <si>
    <t>Yb</t>
  </si>
  <si>
    <t>Depth a</t>
  </si>
  <si>
    <t>Depth b</t>
  </si>
  <si>
    <t>Field Size a</t>
  </si>
  <si>
    <t>Field Size b</t>
  </si>
  <si>
    <t>RDF(Xa,Ya)</t>
  </si>
  <si>
    <t>RDF(Xb,Ya)</t>
  </si>
  <si>
    <t>RDF(Xa,Yb)</t>
  </si>
  <si>
    <t>RDF(Xb,Yb)</t>
  </si>
  <si>
    <t>TPR(da,fsa)</t>
  </si>
  <si>
    <t>TPR(db,fsa)</t>
  </si>
  <si>
    <t>TPR(da,fsb)</t>
  </si>
  <si>
    <t>TPR(db,fsb)</t>
  </si>
  <si>
    <t>EDW</t>
  </si>
  <si>
    <t>Fixed Jaw</t>
  </si>
  <si>
    <t>EDW60</t>
  </si>
  <si>
    <t>EDW45</t>
  </si>
  <si>
    <t>EDW30</t>
  </si>
  <si>
    <t>EDW25</t>
  </si>
  <si>
    <t>EDW20</t>
  </si>
  <si>
    <t>EDW15</t>
  </si>
  <si>
    <t>EDW10</t>
  </si>
  <si>
    <t>Enhanced Dynamic Wedge Factors</t>
  </si>
  <si>
    <t>WF</t>
  </si>
  <si>
    <t>EDW orientation</t>
  </si>
  <si>
    <t>EDW Angle</t>
  </si>
  <si>
    <t>Fixed Jaw a</t>
  </si>
  <si>
    <t>Fixed Jaw b</t>
  </si>
  <si>
    <t>WF(a)</t>
  </si>
  <si>
    <t>WF(b)</t>
  </si>
  <si>
    <t>Calc Parameters</t>
  </si>
  <si>
    <t>EDW WF</t>
  </si>
  <si>
    <t>Beam Number</t>
  </si>
  <si>
    <r>
      <t>Eq. Sq. (cm</t>
    </r>
    <r>
      <rPr>
        <vertAlign val="superscript"/>
        <sz val="10"/>
        <rFont val="Arial"/>
        <family val="2"/>
      </rPr>
      <t>2</t>
    </r>
    <r>
      <rPr>
        <sz val="10"/>
        <rFont val="Arial"/>
        <family val="2"/>
      </rPr>
      <t>)</t>
    </r>
  </si>
  <si>
    <t>Bolus</t>
  </si>
  <si>
    <t>Beam Energy</t>
  </si>
  <si>
    <t>Poured Block</t>
  </si>
  <si>
    <t>Placed Block</t>
  </si>
  <si>
    <t>Slotted Block</t>
  </si>
  <si>
    <t>Orientation</t>
  </si>
  <si>
    <t>Wedge</t>
  </si>
  <si>
    <t>TPP Wedge</t>
  </si>
  <si>
    <t>Shielding</t>
  </si>
  <si>
    <t>None</t>
  </si>
  <si>
    <t>Gantry</t>
  </si>
  <si>
    <t>Actual</t>
  </si>
  <si>
    <t>Reference</t>
  </si>
  <si>
    <t>Total</t>
  </si>
  <si>
    <t>OK</t>
  </si>
  <si>
    <t>Check Sum</t>
  </si>
  <si>
    <t>Wedge Limits</t>
  </si>
  <si>
    <t>Max Jaw</t>
  </si>
  <si>
    <t>EDW Limits</t>
  </si>
  <si>
    <t>Jaw Limits</t>
  </si>
  <si>
    <t>Wedge List</t>
  </si>
  <si>
    <t>Placed Block OK</t>
  </si>
  <si>
    <t>ROF</t>
  </si>
  <si>
    <t>ROF(Xa,Ya)</t>
  </si>
  <si>
    <t>ROF(Xb,Ya)</t>
  </si>
  <si>
    <t>ROF(Xa,Yb)</t>
  </si>
  <si>
    <t>ROF(Xb,Yb)</t>
  </si>
  <si>
    <t>Field Width</t>
  </si>
  <si>
    <t>Field Length</t>
  </si>
  <si>
    <t>Equivalent Field Size</t>
  </si>
  <si>
    <t>PSF</t>
  </si>
  <si>
    <t>Note:  Currently all machines use the same 6 MV PSF</t>
  </si>
  <si>
    <t>Note:  Currently all high energy machines use the same 15 MV PSF</t>
  </si>
  <si>
    <t>PSF(a)</t>
  </si>
  <si>
    <t>PSF(b)</t>
  </si>
  <si>
    <t>RDF interpolation</t>
  </si>
  <si>
    <t>ROF interpolation</t>
  </si>
  <si>
    <t>TPR interpolation</t>
  </si>
  <si>
    <t>EDW Wedge factor interpolation</t>
  </si>
  <si>
    <t>PSF interpolation</t>
  </si>
  <si>
    <t>Collimator X1</t>
  </si>
  <si>
    <t>Collimator X2</t>
  </si>
  <si>
    <t>Collimator Y1</t>
  </si>
  <si>
    <t>Collimator Y2</t>
  </si>
  <si>
    <t>Extended Distance</t>
  </si>
  <si>
    <t>Dose per Field</t>
  </si>
  <si>
    <t>Parameter</t>
  </si>
  <si>
    <t>Top Corner</t>
  </si>
  <si>
    <t>Bottom Corner</t>
  </si>
  <si>
    <t>Sheet name</t>
  </si>
  <si>
    <t>Range</t>
  </si>
  <si>
    <t>x index</t>
  </si>
  <si>
    <t>y index</t>
  </si>
  <si>
    <t>Value</t>
  </si>
  <si>
    <t>X</t>
  </si>
  <si>
    <t>Y</t>
  </si>
  <si>
    <t>Range height</t>
  </si>
  <si>
    <t>Range width</t>
  </si>
  <si>
    <t>field size index</t>
  </si>
  <si>
    <t>fixed jaw  index</t>
  </si>
  <si>
    <t>EDW index</t>
  </si>
  <si>
    <t>Drop down Lists</t>
  </si>
  <si>
    <t>Drop down List Links</t>
  </si>
  <si>
    <t>Drop down List names</t>
  </si>
  <si>
    <t>Tick Box links</t>
  </si>
  <si>
    <t>Data Tables</t>
  </si>
  <si>
    <t>From Data Entry</t>
  </si>
  <si>
    <t>DATA</t>
  </si>
  <si>
    <t>To Data Entry</t>
  </si>
  <si>
    <t>Drop Down Index</t>
  </si>
  <si>
    <t>Effective SAD</t>
  </si>
  <si>
    <t>Total Dose</t>
  </si>
  <si>
    <t>Field size  (cm)  X×Y</t>
  </si>
  <si>
    <t>Energy Selector</t>
  </si>
  <si>
    <t>Peak Scatter Factor</t>
  </si>
  <si>
    <t>EDW Wedge Factors</t>
  </si>
  <si>
    <t>Peak Scatter Factors</t>
  </si>
  <si>
    <t xml:space="preserve">Symmetric X </t>
  </si>
  <si>
    <t xml:space="preserve">Symmetric Y </t>
  </si>
  <si>
    <t>Symmetric X</t>
  </si>
  <si>
    <t>Field Description</t>
  </si>
  <si>
    <t>Fractions per field</t>
  </si>
  <si>
    <t>From Databook Tables</t>
  </si>
  <si>
    <t>Look up Values</t>
  </si>
  <si>
    <t>calculated</t>
  </si>
  <si>
    <t>Interpolated Values</t>
  </si>
  <si>
    <t>Dose per field (cGy)</t>
  </si>
  <si>
    <t>EDW Wedge</t>
  </si>
  <si>
    <t>Field Size index</t>
  </si>
  <si>
    <t>Depth index</t>
  </si>
  <si>
    <t xml:space="preserve">EDW Angle </t>
  </si>
  <si>
    <t>Field description</t>
  </si>
  <si>
    <t>Plan Info</t>
  </si>
  <si>
    <t>Plan ID:</t>
  </si>
  <si>
    <r>
      <t>Eq. Sq. (cm</t>
    </r>
    <r>
      <rPr>
        <vertAlign val="superscript"/>
        <sz val="12"/>
        <rFont val="Arial"/>
        <family val="2"/>
      </rPr>
      <t>2</t>
    </r>
    <r>
      <rPr>
        <sz val="12"/>
        <rFont val="Arial"/>
        <family val="2"/>
      </rPr>
      <t>)</t>
    </r>
  </si>
  <si>
    <t>Cancer Centre of South Eastern Ontario</t>
  </si>
  <si>
    <t xml:space="preserve">Monitor Unit Calculation </t>
  </si>
  <si>
    <t>Beam Weight</t>
  </si>
  <si>
    <t>6MV</t>
  </si>
  <si>
    <t>10 MV</t>
  </si>
  <si>
    <t>Treatment Unit</t>
  </si>
  <si>
    <t>CL6</t>
  </si>
  <si>
    <t>21AIX</t>
  </si>
  <si>
    <t>21BIX</t>
  </si>
  <si>
    <t>21D</t>
  </si>
  <si>
    <t>15MV</t>
  </si>
  <si>
    <t>6 MV</t>
  </si>
  <si>
    <t>15 MV</t>
  </si>
  <si>
    <t>Data Table</t>
  </si>
  <si>
    <t># Fractions</t>
  </si>
  <si>
    <t>Calculation</t>
  </si>
  <si>
    <t>Beam Energies</t>
  </si>
  <si>
    <t># Beams</t>
  </si>
  <si>
    <t>Dose Per Fraction</t>
  </si>
  <si>
    <t>Default Beam Weight</t>
  </si>
  <si>
    <t>= From Drop Down Menu</t>
  </si>
  <si>
    <t>SSD (cm)</t>
  </si>
  <si>
    <t>SSD</t>
  </si>
  <si>
    <t>Inverse Square</t>
  </si>
  <si>
    <t>Calc Depth</t>
  </si>
  <si>
    <t>Nominal Bolus Thickness</t>
  </si>
  <si>
    <t>Valid Beam Weight</t>
  </si>
  <si>
    <t>Reference Depth</t>
  </si>
  <si>
    <t>Depths</t>
  </si>
  <si>
    <t>Other Depth Type</t>
  </si>
  <si>
    <t>Other Depth Reference</t>
  </si>
  <si>
    <t>Valid SSD</t>
  </si>
  <si>
    <t>Validation test</t>
  </si>
  <si>
    <t>Limits</t>
  </si>
  <si>
    <t>X1 Max</t>
  </si>
  <si>
    <t>X1</t>
  </si>
  <si>
    <t>Max</t>
  </si>
  <si>
    <t>Min</t>
  </si>
  <si>
    <t>X2</t>
  </si>
  <si>
    <t>Y1</t>
  </si>
  <si>
    <t>Y2</t>
  </si>
  <si>
    <t>Unit &amp; Energy</t>
  </si>
  <si>
    <t>X1 Min</t>
  </si>
  <si>
    <t>Y1 Max</t>
  </si>
  <si>
    <t>Y1 Min</t>
  </si>
  <si>
    <t>Depth Min</t>
  </si>
  <si>
    <t>Limit</t>
  </si>
  <si>
    <t>Parameter index</t>
  </si>
  <si>
    <t>Limit index</t>
  </si>
  <si>
    <t>Field  Size Min</t>
  </si>
  <si>
    <t>Field  Size Max</t>
  </si>
  <si>
    <t>To be adjusted by presence of EDW</t>
  </si>
  <si>
    <t>X2 Max</t>
  </si>
  <si>
    <t>X2 Min</t>
  </si>
  <si>
    <t>Y2 Max</t>
  </si>
  <si>
    <t>Y2 Min</t>
  </si>
  <si>
    <t>From Parameters</t>
  </si>
  <si>
    <t>Valid Depth</t>
  </si>
  <si>
    <t>STD</t>
  </si>
  <si>
    <t>Depth Max</t>
  </si>
  <si>
    <t xml:space="preserve"> = From Calculation</t>
  </si>
  <si>
    <t>Extended SSD</t>
  </si>
  <si>
    <t>Bolus Present</t>
  </si>
  <si>
    <t>Collimator Settings Display</t>
  </si>
  <si>
    <t>Field Size Display</t>
  </si>
  <si>
    <t>X1 Limits</t>
  </si>
  <si>
    <t>X2 Limits</t>
  </si>
  <si>
    <t>Y1 Limits</t>
  </si>
  <si>
    <t>Y2 Limits</t>
  </si>
  <si>
    <t>Field Size Display X</t>
  </si>
  <si>
    <t>Field Size Display Y</t>
  </si>
  <si>
    <t>Collimator Eq. Sq.</t>
  </si>
  <si>
    <t>Collimator Display X</t>
  </si>
  <si>
    <t>Collimator Display Y</t>
  </si>
  <si>
    <t>Field Size X</t>
  </si>
  <si>
    <t>Field Size Y</t>
  </si>
  <si>
    <t>Field Size Eq. Sq.</t>
  </si>
  <si>
    <t>Field Size Limits</t>
  </si>
  <si>
    <t>Valid X &amp; Y</t>
  </si>
  <si>
    <t>Field Size X1</t>
  </si>
  <si>
    <t>Field Size X2</t>
  </si>
  <si>
    <t>Field Size Y1</t>
  </si>
  <si>
    <t>Field Size Y2</t>
  </si>
  <si>
    <t>Collimator X Total</t>
  </si>
  <si>
    <t>Collimator Y Total</t>
  </si>
  <si>
    <t>Parameters</t>
  </si>
  <si>
    <t>Factor</t>
  </si>
  <si>
    <t>Shielding Factors</t>
  </si>
  <si>
    <t>Table Offset</t>
  </si>
  <si>
    <t>Calculation Options</t>
  </si>
  <si>
    <t>Inv Sqr</t>
  </si>
  <si>
    <t>User Factor</t>
  </si>
  <si>
    <t>MU Calculation</t>
  </si>
  <si>
    <t>Dose Rate at Depth</t>
  </si>
  <si>
    <t>MU</t>
  </si>
  <si>
    <t>Data Valid</t>
  </si>
  <si>
    <t>x</t>
  </si>
  <si>
    <t>Valid Energy</t>
  </si>
  <si>
    <t>Max Expected Bolus Thickness</t>
  </si>
  <si>
    <t xml:space="preserve"> = For calculation</t>
  </si>
  <si>
    <t xml:space="preserve"> = From Data Tables</t>
  </si>
  <si>
    <t xml:space="preserve"> = For Information Manual Entry</t>
  </si>
  <si>
    <t xml:space="preserve"> = For Information Cannot Be Changed</t>
  </si>
  <si>
    <t xml:space="preserve"> = Not Used</t>
  </si>
  <si>
    <t>Select Treatment Unit</t>
  </si>
  <si>
    <t>Surface to Bolus Distance</t>
  </si>
  <si>
    <t>Patient &amp; Plan Info</t>
  </si>
  <si>
    <t>Machine &amp; Energy</t>
  </si>
  <si>
    <t>Info</t>
  </si>
  <si>
    <t>Header Data</t>
  </si>
  <si>
    <t>Treatment Unit Selection</t>
  </si>
  <si>
    <t>Energy Selection</t>
  </si>
  <si>
    <t>Table Lookup</t>
  </si>
  <si>
    <t>Field Count</t>
  </si>
  <si>
    <t>Limits Look-up</t>
  </si>
  <si>
    <t>Depth Limits</t>
  </si>
  <si>
    <t>Effective SSD</t>
  </si>
  <si>
    <t>Parameter Table Offset</t>
  </si>
  <si>
    <t>Valid Field Names</t>
  </si>
  <si>
    <t>Combined Depths</t>
  </si>
  <si>
    <t>Table Header</t>
  </si>
  <si>
    <t>Effective Bolus Thickness</t>
  </si>
  <si>
    <t>Max Expected Other Depth</t>
  </si>
  <si>
    <t>Valid Reference Depth</t>
  </si>
  <si>
    <t>Valid Depth Range</t>
  </si>
  <si>
    <t>X Collimator Limits</t>
  </si>
  <si>
    <t>Y Collimator Limits</t>
  </si>
  <si>
    <t>X Collimator Min</t>
  </si>
  <si>
    <t>X Collimator Max</t>
  </si>
  <si>
    <t>Y Collimator Min</t>
  </si>
  <si>
    <t>Y Collimator Max</t>
  </si>
  <si>
    <t>X Collimator</t>
  </si>
  <si>
    <t>Y Collimator</t>
  </si>
  <si>
    <t>Dose Calculations</t>
  </si>
  <si>
    <t>EDW Factors</t>
  </si>
  <si>
    <t>currently not in use</t>
  </si>
  <si>
    <t>Failed Sanity Check</t>
  </si>
  <si>
    <t>Not Used in Current Calculations</t>
  </si>
  <si>
    <t>Thickness Reasonable</t>
  </si>
  <si>
    <t>Thickness Valid</t>
  </si>
  <si>
    <t>Min Expected Total Dose</t>
  </si>
  <si>
    <t>Max Expected Total Dose</t>
  </si>
  <si>
    <t>Min Expected # Fractions</t>
  </si>
  <si>
    <t>Max Expected # Fractions</t>
  </si>
  <si>
    <t>Total Dose Reasonable</t>
  </si>
  <si>
    <t># Fractions Reasonable</t>
  </si>
  <si>
    <t>Total Beam Weight</t>
  </si>
  <si>
    <t>EDW Factor</t>
  </si>
  <si>
    <t>Not In Use</t>
  </si>
  <si>
    <t>Min Expected Dose Rate</t>
  </si>
  <si>
    <t>Max Expected Dose Rate</t>
  </si>
  <si>
    <t>Dose Rate Reasonable</t>
  </si>
  <si>
    <t>Min Expected MUs</t>
  </si>
  <si>
    <t>Max Expected MUs</t>
  </si>
  <si>
    <t>MUs Reasonable</t>
  </si>
  <si>
    <t>Field Dose Per Fraction</t>
  </si>
  <si>
    <t>Dose Per Field</t>
  </si>
  <si>
    <t>MUs</t>
  </si>
  <si>
    <t>Valid Individual Beam Weights</t>
  </si>
  <si>
    <t>Symmetric Y</t>
  </si>
  <si>
    <t>!</t>
  </si>
  <si>
    <t>Reasonable Other Depth</t>
  </si>
  <si>
    <t>*</t>
  </si>
  <si>
    <t>Reference Depth (cm)</t>
  </si>
  <si>
    <t>Source to Bolus Distance</t>
  </si>
  <si>
    <t>Collimator Setting</t>
  </si>
  <si>
    <t>Distance (Inv. Sq.)</t>
  </si>
  <si>
    <t>Default Beam Weight Used</t>
  </si>
  <si>
    <t>X   (X1)</t>
  </si>
  <si>
    <t>Y   (Y1)</t>
  </si>
  <si>
    <t>Collimator Table Limits</t>
  </si>
  <si>
    <t>Jaw Settings &amp; Field size</t>
  </si>
  <si>
    <t>Target Depth</t>
  </si>
  <si>
    <t xml:space="preserve"> = Caution, unexpected data values</t>
  </si>
  <si>
    <t xml:space="preserve"> = Error invalid data</t>
  </si>
  <si>
    <t xml:space="preserve"> = Error condition exists</t>
  </si>
  <si>
    <t>Reference Total</t>
  </si>
  <si>
    <t>To Data Calculations</t>
  </si>
  <si>
    <t>From Data Calculations</t>
  </si>
  <si>
    <t>Data Table Indexing References</t>
  </si>
  <si>
    <t>Energy Table</t>
  </si>
  <si>
    <t>Blocks</t>
  </si>
  <si>
    <t>Block Type</t>
  </si>
  <si>
    <t>Tray Factor</t>
  </si>
  <si>
    <t>Block Tray Factors</t>
  </si>
  <si>
    <t>Tray Factors</t>
  </si>
  <si>
    <t>Block Type Lists</t>
  </si>
  <si>
    <t>Valid Block Selection</t>
  </si>
  <si>
    <t>Valid Block</t>
  </si>
  <si>
    <t>TR1</t>
  </si>
  <si>
    <t>Field Names</t>
  </si>
  <si>
    <t>Number of Fields</t>
  </si>
  <si>
    <t>Field Info</t>
  </si>
  <si>
    <t>SSD and Extended Distance</t>
  </si>
  <si>
    <t>Type' is the default vlaue indicating other depth not used</t>
  </si>
  <si>
    <t>Block Drop Down Index</t>
  </si>
  <si>
    <t>MU Calc RT v1.3.5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</si>
</sst>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1009]mmmm\ d\,\ yyyy;@"/>
    <numFmt numFmtId="168" formatCode="0.#"/>
  </numFmts>
  <fonts count="72" x14ac:knownFonts="1">
    <font>
      <sz val="10"/>
      <name val="Arial"/>
    </font>
    <font>
      <sz val="10"/>
      <name val="Arial"/>
      <family val="2"/>
    </font>
    <font>
      <vertAlign val="superscript"/>
      <sz val="10"/>
      <name val="Arial"/>
      <family val="2"/>
    </font>
    <font>
      <b/>
      <i/>
      <sz val="20"/>
      <name val="Times New Roman"/>
      <family val="1"/>
    </font>
    <font>
      <i/>
      <sz val="14"/>
      <name val="Times New Roman"/>
      <family val="1"/>
    </font>
    <font>
      <b/>
      <i/>
      <sz val="12"/>
      <name val="Times New Roman"/>
      <family val="1"/>
    </font>
    <font>
      <b/>
      <sz val="10"/>
      <name val="Arial"/>
      <family val="2"/>
    </font>
    <font>
      <sz val="10"/>
      <name val="Arial"/>
      <family val="2"/>
    </font>
    <font>
      <u/>
      <sz val="10"/>
      <color indexed="12"/>
      <name val="Arial"/>
      <family val="2"/>
    </font>
    <font>
      <sz val="10"/>
      <name val="MS Sans Serif"/>
      <family val="2"/>
    </font>
    <font>
      <sz val="10"/>
      <name val="MS Sans Serif"/>
      <family val="2"/>
    </font>
    <font>
      <b/>
      <sz val="12"/>
      <name val="MS Sans Serif"/>
      <family val="2"/>
    </font>
    <font>
      <b/>
      <sz val="10"/>
      <name val="MS Sans Serif"/>
      <family val="2"/>
    </font>
    <font>
      <b/>
      <sz val="12"/>
      <name val="Arial"/>
      <family val="2"/>
    </font>
    <font>
      <i/>
      <sz val="10"/>
      <name val="Times New Roman"/>
      <family val="1"/>
    </font>
    <font>
      <sz val="8"/>
      <name val="Arial"/>
      <family val="2"/>
    </font>
    <font>
      <i/>
      <sz val="9"/>
      <name val="Times New Roman"/>
      <family val="1"/>
    </font>
    <font>
      <b/>
      <i/>
      <sz val="11"/>
      <name val="Times New Roman"/>
      <family val="1"/>
    </font>
    <font>
      <sz val="8"/>
      <color indexed="81"/>
      <name val="Tahoma"/>
      <family val="2"/>
    </font>
    <font>
      <b/>
      <sz val="8"/>
      <color indexed="81"/>
      <name val="Tahoma"/>
      <family val="2"/>
    </font>
    <font>
      <b/>
      <u/>
      <sz val="12"/>
      <name val="Arial"/>
      <family val="2"/>
    </font>
    <font>
      <b/>
      <u val="double"/>
      <sz val="14"/>
      <color indexed="10"/>
      <name val="Arial"/>
      <family val="2"/>
    </font>
    <font>
      <b/>
      <sz val="8"/>
      <name val="Arial"/>
      <family val="2"/>
    </font>
    <font>
      <b/>
      <sz val="18"/>
      <name val="Arial"/>
      <family val="2"/>
    </font>
    <font>
      <sz val="8"/>
      <color indexed="12"/>
      <name val="Arial"/>
      <family val="2"/>
    </font>
    <font>
      <sz val="10"/>
      <color indexed="12"/>
      <name val="Arial"/>
      <family val="2"/>
    </font>
    <font>
      <b/>
      <sz val="10"/>
      <color indexed="12"/>
      <name val="Arial"/>
      <family val="2"/>
    </font>
    <font>
      <b/>
      <sz val="16"/>
      <name val="Arial"/>
      <family val="2"/>
    </font>
    <font>
      <u/>
      <sz val="8"/>
      <color indexed="81"/>
      <name val="Tahoma"/>
      <family val="2"/>
    </font>
    <font>
      <i/>
      <sz val="8"/>
      <color indexed="81"/>
      <name val="Tahoma"/>
      <family val="2"/>
    </font>
    <font>
      <sz val="11"/>
      <color rgb="FF9C0006"/>
      <name val="Calibri"/>
      <family val="2"/>
      <scheme val="minor"/>
    </font>
    <font>
      <sz val="12"/>
      <name val="Arial"/>
      <family val="2"/>
    </font>
    <font>
      <i/>
      <sz val="12"/>
      <color indexed="45"/>
      <name val="Arial"/>
      <family val="2"/>
    </font>
    <font>
      <vertAlign val="superscript"/>
      <sz val="12"/>
      <name val="Arial"/>
      <family val="2"/>
    </font>
    <font>
      <sz val="8"/>
      <color rgb="FF000000"/>
      <name val="Tahoma"/>
      <family val="2"/>
    </font>
    <font>
      <b/>
      <sz val="11"/>
      <color rgb="FFFA7D00"/>
      <name val="Calibri"/>
      <family val="2"/>
      <scheme val="minor"/>
    </font>
    <font>
      <sz val="9"/>
      <color indexed="81"/>
      <name val="Tahoma"/>
      <family val="2"/>
    </font>
    <font>
      <b/>
      <sz val="9"/>
      <color indexed="81"/>
      <name val="Tahoma"/>
      <family val="2"/>
    </font>
    <font>
      <i/>
      <sz val="9"/>
      <color indexed="81"/>
      <name val="Tahoma"/>
      <family val="2"/>
    </font>
    <font>
      <b/>
      <sz val="12"/>
      <color rgb="FFFA7D00"/>
      <name val="Arial"/>
      <family val="2"/>
    </font>
    <font>
      <b/>
      <sz val="10"/>
      <color rgb="FF0000FF"/>
      <name val="Arial"/>
      <family val="2"/>
    </font>
    <font>
      <sz val="12"/>
      <color theme="0"/>
      <name val="Arial"/>
      <family val="2"/>
    </font>
    <font>
      <i/>
      <sz val="9"/>
      <color theme="0"/>
      <name val="Times New Roman"/>
      <family val="1"/>
    </font>
    <font>
      <b/>
      <i/>
      <sz val="10"/>
      <name val="Times New Roman"/>
      <family val="1"/>
    </font>
    <font>
      <b/>
      <sz val="15"/>
      <color theme="3"/>
      <name val="Calibri"/>
      <family val="2"/>
      <scheme val="minor"/>
    </font>
    <font>
      <i/>
      <sz val="10"/>
      <name val="Arial"/>
      <family val="2"/>
    </font>
    <font>
      <b/>
      <sz val="10"/>
      <color rgb="FF1C0894"/>
      <name val="Arial"/>
      <family val="2"/>
    </font>
    <font>
      <b/>
      <sz val="10"/>
      <color rgb="FFFA7D00"/>
      <name val="Calibri"/>
      <family val="2"/>
      <scheme val="minor"/>
    </font>
    <font>
      <b/>
      <sz val="12"/>
      <color rgb="FF0000FF"/>
      <name val="Arial"/>
      <family val="2"/>
    </font>
    <font>
      <b/>
      <u/>
      <sz val="9"/>
      <color indexed="81"/>
      <name val="Tahoma"/>
      <family val="2"/>
    </font>
    <font>
      <b/>
      <i/>
      <sz val="11"/>
      <color theme="0" tint="-0.499984740745262"/>
      <name val="Calibri"/>
      <family val="2"/>
      <scheme val="minor"/>
    </font>
    <font>
      <i/>
      <sz val="12"/>
      <name val="Arial"/>
      <family val="2"/>
    </font>
    <font>
      <b/>
      <sz val="12"/>
      <color rgb="FFFF0000"/>
      <name val="Arial"/>
      <family val="2"/>
    </font>
    <font>
      <sz val="12"/>
      <color theme="0" tint="-0.14999847407452621"/>
      <name val="Arial"/>
      <family val="2"/>
    </font>
    <font>
      <b/>
      <u/>
      <sz val="12"/>
      <color theme="9"/>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
      <i/>
      <sz val="12"/>
      <color indexed="81"/>
      <name val="Tahoma"/>
      <family val="2"/>
    </font>
    <font>
      <b/>
      <sz val="12"/>
      <color indexed="12"/>
      <name val="Arial"/>
      <family val="2"/>
    </font>
    <font>
      <b/>
      <sz val="12"/>
      <name val="Calibri"/>
      <family val="2"/>
      <scheme val="minor"/>
    </font>
    <font>
      <b/>
      <u/>
      <sz val="12"/>
      <color indexed="81"/>
      <name val="Tahoma"/>
      <family val="2"/>
    </font>
    <font>
      <u/>
      <sz val="12"/>
      <color indexed="81"/>
      <name val="Tahoma"/>
      <family val="2"/>
    </font>
    <font>
      <b/>
      <sz val="12"/>
      <color indexed="81"/>
      <name val="Arial"/>
      <family val="2"/>
    </font>
    <font>
      <sz val="12"/>
      <color indexed="81"/>
      <name val="Arial"/>
      <family val="2"/>
    </font>
    <font>
      <i/>
      <sz val="12"/>
      <color indexed="81"/>
      <name val="Arial"/>
      <family val="2"/>
    </font>
    <font>
      <sz val="12"/>
      <color indexed="81"/>
      <name val="Times New Roman"/>
      <family val="1"/>
    </font>
    <font>
      <b/>
      <u/>
      <sz val="12"/>
      <color indexed="81"/>
      <name val="Arial"/>
      <family val="2"/>
    </font>
    <font>
      <b/>
      <sz val="12"/>
      <color indexed="81"/>
      <name val="Times New Roman"/>
      <family val="1"/>
    </font>
    <font>
      <i/>
      <u/>
      <sz val="12"/>
      <color indexed="81"/>
      <name val="Tahoma"/>
      <family val="2"/>
    </font>
  </fonts>
  <fills count="33">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14"/>
        <bgColor indexed="64"/>
      </patternFill>
    </fill>
    <fill>
      <patternFill patternType="solid">
        <fgColor indexed="46"/>
        <bgColor indexed="64"/>
      </patternFill>
    </fill>
    <fill>
      <patternFill patternType="solid">
        <fgColor indexed="45"/>
        <bgColor indexed="64"/>
      </patternFill>
    </fill>
    <fill>
      <patternFill patternType="solid">
        <fgColor rgb="FFFFC7CE"/>
      </patternFill>
    </fill>
    <fill>
      <patternFill patternType="solid">
        <fgColor rgb="FFF2F2F2"/>
      </patternFill>
    </fill>
    <fill>
      <patternFill patternType="solid">
        <fgColor rgb="FFFFCCFF"/>
        <bgColor indexed="64"/>
      </patternFill>
    </fill>
    <fill>
      <patternFill patternType="solid">
        <fgColor rgb="FFFF0000"/>
        <bgColor indexed="64"/>
      </patternFill>
    </fill>
    <fill>
      <patternFill patternType="solid">
        <fgColor rgb="FFFFFF99"/>
        <bgColor indexed="64"/>
      </patternFill>
    </fill>
    <fill>
      <patternFill patternType="solid">
        <fgColor rgb="FF00FF00"/>
        <bgColor indexed="64"/>
      </patternFill>
    </fill>
    <fill>
      <patternFill patternType="solid">
        <fgColor rgb="FFFF9933"/>
        <bgColor indexed="64"/>
      </patternFill>
    </fill>
    <fill>
      <patternFill patternType="solid">
        <fgColor theme="6" tint="0.39997558519241921"/>
        <bgColor indexed="64"/>
      </patternFill>
    </fill>
    <fill>
      <patternFill patternType="solid">
        <fgColor theme="0"/>
        <bgColor indexed="64"/>
      </patternFill>
    </fill>
    <fill>
      <patternFill patternType="solid">
        <fgColor rgb="FFF2F2F2"/>
        <bgColor indexed="64"/>
      </patternFill>
    </fill>
    <fill>
      <patternFill patternType="solid">
        <fgColor rgb="FF99FF99"/>
        <bgColor indexed="64"/>
      </patternFill>
    </fill>
    <fill>
      <patternFill patternType="solid">
        <fgColor rgb="FF99CCFF"/>
        <bgColor indexed="64"/>
      </patternFill>
    </fill>
    <fill>
      <patternFill patternType="solid">
        <fgColor rgb="FFFF99CC"/>
        <bgColor indexed="64"/>
      </patternFill>
    </fill>
    <fill>
      <patternFill patternType="solid">
        <fgColor rgb="FFCCFFCC"/>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CC"/>
        <bgColor indexed="64"/>
      </patternFill>
    </fill>
    <fill>
      <patternFill patternType="solid">
        <fgColor rgb="FF66CCFF"/>
        <bgColor indexed="64"/>
      </patternFill>
    </fill>
    <fill>
      <patternFill patternType="solid">
        <fgColor theme="9" tint="0.79998168889431442"/>
        <bgColor indexed="64"/>
      </patternFill>
    </fill>
    <fill>
      <patternFill patternType="solid">
        <fgColor rgb="FFFFFFCC"/>
        <bgColor rgb="FFFFFFCC"/>
      </patternFill>
    </fill>
    <fill>
      <patternFill patternType="solid">
        <fgColor theme="0" tint="-0.14996795556505021"/>
        <bgColor indexed="64"/>
      </patternFill>
    </fill>
    <fill>
      <patternFill patternType="solid">
        <fgColor rgb="FF00B0F0"/>
        <bgColor indexed="64"/>
      </patternFill>
    </fill>
    <fill>
      <patternFill patternType="solid">
        <fgColor rgb="FFC8FFC8"/>
        <bgColor indexed="64"/>
      </patternFill>
    </fill>
  </fills>
  <borders count="1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ck">
        <color indexed="64"/>
      </left>
      <right style="double">
        <color indexed="64"/>
      </right>
      <top style="thick">
        <color indexed="64"/>
      </top>
      <bottom style="double">
        <color indexed="64"/>
      </bottom>
      <diagonal/>
    </border>
    <border>
      <left/>
      <right style="hair">
        <color indexed="64"/>
      </right>
      <top style="thick">
        <color indexed="64"/>
      </top>
      <bottom style="double">
        <color indexed="64"/>
      </bottom>
      <diagonal/>
    </border>
    <border>
      <left/>
      <right style="thick">
        <color indexed="64"/>
      </right>
      <top style="thick">
        <color indexed="64"/>
      </top>
      <bottom style="double">
        <color indexed="64"/>
      </bottom>
      <diagonal/>
    </border>
    <border>
      <left style="thick">
        <color indexed="64"/>
      </left>
      <right style="double">
        <color indexed="64"/>
      </right>
      <top/>
      <bottom style="hair">
        <color indexed="64"/>
      </bottom>
      <diagonal/>
    </border>
    <border>
      <left/>
      <right style="hair">
        <color indexed="64"/>
      </right>
      <top/>
      <bottom style="hair">
        <color indexed="64"/>
      </bottom>
      <diagonal/>
    </border>
    <border>
      <left/>
      <right style="thick">
        <color indexed="64"/>
      </right>
      <top/>
      <bottom style="hair">
        <color indexed="64"/>
      </bottom>
      <diagonal/>
    </border>
    <border>
      <left style="thick">
        <color indexed="64"/>
      </left>
      <right style="double">
        <color indexed="64"/>
      </right>
      <top/>
      <bottom style="thin">
        <color indexed="64"/>
      </bottom>
      <diagonal/>
    </border>
    <border>
      <left/>
      <right style="hair">
        <color indexed="64"/>
      </right>
      <top/>
      <bottom style="thin">
        <color indexed="64"/>
      </bottom>
      <diagonal/>
    </border>
    <border>
      <left/>
      <right style="thick">
        <color indexed="64"/>
      </right>
      <top/>
      <bottom style="thin">
        <color indexed="64"/>
      </bottom>
      <diagonal/>
    </border>
    <border>
      <left style="thick">
        <color indexed="64"/>
      </left>
      <right style="double">
        <color indexed="64"/>
      </right>
      <top/>
      <bottom style="thick">
        <color indexed="64"/>
      </bottom>
      <diagonal/>
    </border>
    <border>
      <left/>
      <right style="hair">
        <color indexed="64"/>
      </right>
      <top/>
      <bottom style="thick">
        <color indexed="64"/>
      </bottom>
      <diagonal/>
    </border>
    <border>
      <left/>
      <right style="thick">
        <color indexed="64"/>
      </right>
      <top/>
      <bottom style="thick">
        <color indexed="64"/>
      </bottom>
      <diagonal/>
    </border>
    <border>
      <left style="double">
        <color indexed="64"/>
      </left>
      <right style="hair">
        <color indexed="64"/>
      </right>
      <top style="thick">
        <color indexed="64"/>
      </top>
      <bottom style="double">
        <color indexed="64"/>
      </bottom>
      <diagonal/>
    </border>
    <border>
      <left style="hair">
        <color indexed="64"/>
      </left>
      <right style="hair">
        <color indexed="64"/>
      </right>
      <top style="thick">
        <color indexed="64"/>
      </top>
      <bottom style="double">
        <color indexed="64"/>
      </bottom>
      <diagonal/>
    </border>
    <border>
      <left style="hair">
        <color indexed="64"/>
      </left>
      <right style="thick">
        <color indexed="64"/>
      </right>
      <top style="thick">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ck">
        <color indexed="64"/>
      </right>
      <top style="hair">
        <color indexed="64"/>
      </top>
      <bottom style="thin">
        <color indexed="64"/>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ck">
        <color indexed="64"/>
      </right>
      <top/>
      <bottom style="hair">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ck">
        <color indexed="64"/>
      </right>
      <top style="thin">
        <color indexed="64"/>
      </top>
      <bottom style="hair">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ck">
        <color indexed="64"/>
      </right>
      <top style="hair">
        <color indexed="64"/>
      </top>
      <bottom/>
      <diagonal/>
    </border>
    <border>
      <left style="double">
        <color indexed="64"/>
      </left>
      <right style="hair">
        <color indexed="64"/>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hair">
        <color indexed="64"/>
      </left>
      <right style="thick">
        <color indexed="64"/>
      </right>
      <top style="hair">
        <color indexed="64"/>
      </top>
      <bottom style="thick">
        <color indexed="64"/>
      </bottom>
      <diagonal/>
    </border>
    <border>
      <left style="thick">
        <color indexed="64"/>
      </left>
      <right style="double">
        <color indexed="64"/>
      </right>
      <top style="hair">
        <color indexed="64"/>
      </top>
      <bottom style="thick">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ck">
        <color indexed="64"/>
      </top>
      <bottom style="double">
        <color indexed="64"/>
      </bottom>
      <diagonal/>
    </border>
    <border>
      <left/>
      <right/>
      <top/>
      <bottom style="hair">
        <color indexed="64"/>
      </bottom>
      <diagonal/>
    </border>
    <border>
      <left/>
      <right/>
      <top/>
      <bottom style="thin">
        <color indexed="64"/>
      </bottom>
      <diagonal/>
    </border>
    <border>
      <left/>
      <right style="hair">
        <color indexed="64"/>
      </right>
      <top/>
      <bottom/>
      <diagonal/>
    </border>
    <border>
      <left/>
      <right style="thick">
        <color indexed="64"/>
      </right>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double">
        <color indexed="64"/>
      </bottom>
      <diagonal/>
    </border>
    <border>
      <left style="medium">
        <color indexed="64"/>
      </left>
      <right style="double">
        <color indexed="64"/>
      </right>
      <top/>
      <bottom style="hair">
        <color indexed="64"/>
      </bottom>
      <diagonal/>
    </border>
    <border>
      <left/>
      <right style="medium">
        <color indexed="64"/>
      </right>
      <top/>
      <bottom style="hair">
        <color indexed="64"/>
      </bottom>
      <diagonal/>
    </border>
    <border>
      <left style="medium">
        <color indexed="64"/>
      </left>
      <right style="double">
        <color indexed="64"/>
      </right>
      <top/>
      <bottom style="thin">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double">
        <color indexed="64"/>
      </right>
      <top style="thick">
        <color indexed="64"/>
      </top>
      <bottom style="double">
        <color indexed="64"/>
      </bottom>
      <diagonal/>
    </border>
    <border>
      <left style="double">
        <color indexed="64"/>
      </left>
      <right style="double">
        <color indexed="64"/>
      </right>
      <top/>
      <bottom style="hair">
        <color indexed="64"/>
      </bottom>
      <diagonal/>
    </border>
    <border>
      <left style="double">
        <color indexed="64"/>
      </left>
      <right style="double">
        <color indexed="64"/>
      </right>
      <top/>
      <bottom style="thin">
        <color indexed="64"/>
      </bottom>
      <diagonal/>
    </border>
    <border>
      <left style="double">
        <color indexed="64"/>
      </left>
      <right style="double">
        <color indexed="64"/>
      </right>
      <top/>
      <bottom style="thick">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double">
        <color indexed="64"/>
      </right>
      <top/>
      <bottom/>
      <diagonal/>
    </border>
    <border>
      <left style="double">
        <color indexed="64"/>
      </left>
      <right style="double">
        <color indexed="64"/>
      </right>
      <top style="hair">
        <color indexed="64"/>
      </top>
      <bottom style="thick">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top style="double">
        <color indexed="64"/>
      </top>
      <bottom/>
      <diagonal/>
    </border>
    <border>
      <left style="thick">
        <color indexed="64"/>
      </left>
      <right/>
      <top/>
      <bottom/>
      <diagonal/>
    </border>
    <border>
      <left style="double">
        <color indexed="64"/>
      </left>
      <right/>
      <top style="double">
        <color indexed="64"/>
      </top>
      <bottom style="thick">
        <color indexed="64"/>
      </bottom>
      <diagonal/>
    </border>
    <border>
      <left/>
      <right/>
      <top style="double">
        <color indexed="64"/>
      </top>
      <bottom style="thick">
        <color indexed="64"/>
      </bottom>
      <diagonal/>
    </border>
    <border>
      <left style="double">
        <color indexed="64"/>
      </left>
      <right style="hair">
        <color indexed="64"/>
      </right>
      <top style="thick">
        <color indexed="64"/>
      </top>
      <bottom style="thick">
        <color indexed="64"/>
      </bottom>
      <diagonal/>
    </border>
    <border>
      <left/>
      <right style="hair">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style="double">
        <color indexed="64"/>
      </top>
      <bottom style="hair">
        <color indexed="64"/>
      </bottom>
      <diagonal/>
    </border>
    <border>
      <left style="thick">
        <color indexed="64"/>
      </left>
      <right style="thick">
        <color indexed="64"/>
      </right>
      <top/>
      <bottom style="thin">
        <color indexed="64"/>
      </bottom>
      <diagonal/>
    </border>
    <border>
      <left style="thick">
        <color indexed="64"/>
      </left>
      <right style="thick">
        <color indexed="64"/>
      </right>
      <top/>
      <bottom style="hair">
        <color indexed="64"/>
      </bottom>
      <diagonal/>
    </border>
    <border>
      <left style="thick">
        <color indexed="64"/>
      </left>
      <right style="thick">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double">
        <color indexed="64"/>
      </left>
      <right/>
      <top style="medium">
        <color indexed="64"/>
      </top>
      <bottom/>
      <diagonal/>
    </border>
    <border>
      <left style="double">
        <color indexed="64"/>
      </left>
      <right/>
      <top/>
      <bottom style="medium">
        <color indexed="64"/>
      </bottom>
      <diagonal/>
    </border>
    <border>
      <left style="medium">
        <color indexed="64"/>
      </left>
      <right style="medium">
        <color indexed="64"/>
      </right>
      <top/>
      <bottom/>
      <diagonal/>
    </border>
    <border>
      <left style="double">
        <color indexed="64"/>
      </left>
      <right style="medium">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top style="double">
        <color indexed="64"/>
      </top>
      <bottom style="double">
        <color indexed="64"/>
      </bottom>
      <diagonal/>
    </border>
    <border>
      <left style="double">
        <color indexed="64"/>
      </left>
      <right style="thin">
        <color indexed="64"/>
      </right>
      <top/>
      <bottom/>
      <diagonal/>
    </border>
    <border>
      <left style="thin">
        <color rgb="FF7F7F7F"/>
      </left>
      <right style="thin">
        <color rgb="FF7F7F7F"/>
      </right>
      <top style="thin">
        <color rgb="FF7F7F7F"/>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thin">
        <color indexed="64"/>
      </top>
      <bottom style="thin">
        <color rgb="FF7F7F7F"/>
      </bottom>
      <diagonal/>
    </border>
    <border>
      <left/>
      <right/>
      <top/>
      <bottom style="thick">
        <color theme="4"/>
      </bottom>
      <diagonal/>
    </border>
    <border>
      <left style="double">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DashDotDot">
        <color indexed="64"/>
      </bottom>
      <diagonal/>
    </border>
    <border>
      <left style="thin">
        <color indexed="64"/>
      </left>
      <right style="thin">
        <color indexed="64"/>
      </right>
      <top style="thin">
        <color indexed="64"/>
      </top>
      <bottom style="mediumDashDotDot">
        <color indexed="64"/>
      </bottom>
      <diagonal/>
    </border>
    <border>
      <left style="medium">
        <color indexed="64"/>
      </left>
      <right style="thin">
        <color indexed="64"/>
      </right>
      <top style="mediumDashDotDot">
        <color indexed="64"/>
      </top>
      <bottom style="thin">
        <color indexed="64"/>
      </bottom>
      <diagonal/>
    </border>
    <border>
      <left style="thin">
        <color indexed="64"/>
      </left>
      <right style="thin">
        <color indexed="64"/>
      </right>
      <top style="mediumDashDotDot">
        <color indexed="64"/>
      </top>
      <bottom style="thin">
        <color indexed="64"/>
      </bottom>
      <diagonal/>
    </border>
    <border>
      <left style="thin">
        <color indexed="64"/>
      </left>
      <right/>
      <top/>
      <bottom/>
      <diagonal/>
    </border>
    <border>
      <left style="thin">
        <color indexed="64"/>
      </left>
      <right/>
      <top style="double">
        <color indexed="64"/>
      </top>
      <bottom/>
      <diagonal/>
    </border>
    <border>
      <left style="thin">
        <color indexed="64"/>
      </left>
      <right/>
      <top/>
      <bottom style="medium">
        <color indexed="64"/>
      </bottom>
      <diagonal/>
    </border>
    <border>
      <left style="thin">
        <color indexed="64"/>
      </left>
      <right/>
      <top style="medium">
        <color indexed="64"/>
      </top>
      <bottom style="double">
        <color indexed="64"/>
      </bottom>
      <diagonal/>
    </border>
    <border>
      <left style="thin">
        <color indexed="64"/>
      </left>
      <right/>
      <top style="medium">
        <color indexed="64"/>
      </top>
      <bottom/>
      <diagonal/>
    </border>
    <border>
      <left/>
      <right style="thin">
        <color indexed="64"/>
      </right>
      <top style="medium">
        <color indexed="64"/>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right/>
      <top style="double">
        <color indexed="64"/>
      </top>
      <bottom style="thin">
        <color indexed="64"/>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s>
  <cellStyleXfs count="9">
    <xf numFmtId="0" fontId="0" fillId="0" borderId="0"/>
    <xf numFmtId="0" fontId="8" fillId="0" borderId="0" applyNumberFormat="0" applyFill="0" applyBorder="0" applyAlignment="0" applyProtection="0">
      <alignment vertical="top"/>
      <protection locked="0"/>
    </xf>
    <xf numFmtId="0" fontId="9" fillId="0" borderId="0"/>
    <xf numFmtId="0" fontId="1" fillId="0" borderId="0"/>
    <xf numFmtId="0" fontId="30" fillId="9" borderId="0" applyNumberFormat="0" applyBorder="0" applyAlignment="0" applyProtection="0"/>
    <xf numFmtId="0" fontId="9" fillId="0" borderId="0"/>
    <xf numFmtId="0" fontId="1" fillId="0" borderId="0"/>
    <xf numFmtId="0" fontId="35" fillId="10" borderId="128" applyNumberFormat="0" applyAlignment="0" applyProtection="0"/>
    <xf numFmtId="0" fontId="44" fillId="0" borderId="148" applyNumberFormat="0" applyFill="0" applyAlignment="0" applyProtection="0"/>
  </cellStyleXfs>
  <cellXfs count="701">
    <xf numFmtId="0" fontId="0" fillId="0" borderId="0" xfId="0"/>
    <xf numFmtId="0" fontId="0" fillId="0" borderId="0" xfId="0" applyBorder="1" applyProtection="1"/>
    <xf numFmtId="0" fontId="8" fillId="0" borderId="92" xfId="1" applyFill="1" applyBorder="1" applyAlignment="1" applyProtection="1"/>
    <xf numFmtId="0" fontId="8" fillId="0" borderId="92" xfId="1" applyBorder="1" applyAlignment="1" applyProtection="1"/>
    <xf numFmtId="0" fontId="31" fillId="0" borderId="0" xfId="0" applyFont="1" applyProtection="1"/>
    <xf numFmtId="0" fontId="31" fillId="0" borderId="1" xfId="0" applyFont="1" applyBorder="1" applyProtection="1"/>
    <xf numFmtId="0" fontId="31" fillId="3" borderId="0" xfId="0" applyFont="1" applyFill="1" applyProtection="1"/>
    <xf numFmtId="49" fontId="31" fillId="0" borderId="0" xfId="0" applyNumberFormat="1" applyFont="1" applyProtection="1"/>
    <xf numFmtId="0" fontId="31" fillId="0" borderId="0" xfId="0" applyFont="1" applyBorder="1" applyProtection="1"/>
    <xf numFmtId="0" fontId="31" fillId="0" borderId="1" xfId="0" applyFont="1" applyFill="1" applyBorder="1" applyAlignment="1" applyProtection="1">
      <alignment horizontal="center"/>
    </xf>
    <xf numFmtId="0" fontId="31" fillId="0" borderId="62" xfId="0" applyFont="1" applyBorder="1" applyProtection="1"/>
    <xf numFmtId="0" fontId="31" fillId="0" borderId="63" xfId="0" applyFont="1" applyBorder="1" applyProtection="1"/>
    <xf numFmtId="0" fontId="31" fillId="0" borderId="0" xfId="0" applyFont="1" applyAlignment="1" applyProtection="1">
      <alignment horizontal="center"/>
    </xf>
    <xf numFmtId="0" fontId="31" fillId="11" borderId="0" xfId="0" applyFont="1" applyFill="1" applyProtection="1"/>
    <xf numFmtId="0" fontId="8" fillId="0" borderId="0" xfId="1" applyFill="1" applyBorder="1" applyAlignment="1" applyProtection="1"/>
    <xf numFmtId="0" fontId="8" fillId="0" borderId="0" xfId="1" applyBorder="1" applyAlignment="1" applyProtection="1"/>
    <xf numFmtId="0" fontId="32" fillId="3" borderId="138" xfId="0" applyFont="1" applyFill="1" applyBorder="1" applyAlignment="1" applyProtection="1">
      <alignment horizontal="center"/>
      <protection locked="0"/>
    </xf>
    <xf numFmtId="0" fontId="31" fillId="3" borderId="63" xfId="0" applyFont="1" applyFill="1" applyBorder="1" applyAlignment="1" applyProtection="1">
      <alignment horizontal="center"/>
      <protection locked="0"/>
    </xf>
    <xf numFmtId="0" fontId="31" fillId="0" borderId="1" xfId="0" applyFont="1" applyBorder="1" applyAlignment="1" applyProtection="1">
      <alignment vertical="center" wrapText="1"/>
    </xf>
    <xf numFmtId="0" fontId="31" fillId="0" borderId="62" xfId="0" applyFont="1" applyBorder="1" applyAlignment="1" applyProtection="1"/>
    <xf numFmtId="0" fontId="31" fillId="5" borderId="63" xfId="0" applyFont="1" applyFill="1" applyBorder="1" applyAlignment="1" applyProtection="1">
      <alignment horizontal="center"/>
    </xf>
    <xf numFmtId="0" fontId="31" fillId="0" borderId="145" xfId="0" applyFont="1" applyBorder="1" applyProtection="1"/>
    <xf numFmtId="0" fontId="31" fillId="0" borderId="144" xfId="0" applyFont="1" applyBorder="1" applyAlignment="1" applyProtection="1">
      <alignment vertical="center" wrapText="1"/>
    </xf>
    <xf numFmtId="165" fontId="31" fillId="11" borderId="63" xfId="0" applyNumberFormat="1" applyFont="1" applyFill="1" applyBorder="1" applyAlignment="1" applyProtection="1">
      <alignment horizontal="center"/>
    </xf>
    <xf numFmtId="165" fontId="31" fillId="11" borderId="1" xfId="0" applyNumberFormat="1" applyFont="1" applyFill="1" applyBorder="1" applyAlignment="1" applyProtection="1">
      <alignment horizontal="center"/>
    </xf>
    <xf numFmtId="164" fontId="31" fillId="19" borderId="1" xfId="0" applyNumberFormat="1" applyFont="1" applyFill="1" applyBorder="1" applyAlignment="1" applyProtection="1">
      <alignment horizontal="center"/>
    </xf>
    <xf numFmtId="0" fontId="31" fillId="19" borderId="0" xfId="0" applyFont="1" applyFill="1" applyProtection="1"/>
    <xf numFmtId="164" fontId="31" fillId="3" borderId="63" xfId="0" applyNumberFormat="1" applyFont="1" applyFill="1" applyBorder="1" applyAlignment="1" applyProtection="1">
      <alignment horizontal="center"/>
      <protection locked="0"/>
    </xf>
    <xf numFmtId="2" fontId="31" fillId="11" borderId="62" xfId="0" applyNumberFormat="1" applyFont="1" applyFill="1" applyBorder="1" applyAlignment="1" applyProtection="1">
      <alignment horizontal="center"/>
    </xf>
    <xf numFmtId="0" fontId="31" fillId="0" borderId="1" xfId="0" applyFont="1" applyBorder="1" applyAlignment="1" applyProtection="1">
      <alignment wrapText="1"/>
    </xf>
    <xf numFmtId="0" fontId="31" fillId="0" borderId="0" xfId="0" applyNumberFormat="1" applyFont="1" applyProtection="1"/>
    <xf numFmtId="0" fontId="1" fillId="0" borderId="0" xfId="0" applyNumberFormat="1" applyFont="1" applyProtection="1"/>
    <xf numFmtId="0" fontId="1" fillId="6" borderId="1" xfId="0" applyFont="1" applyFill="1" applyBorder="1" applyAlignment="1" applyProtection="1">
      <alignment horizontal="center"/>
      <protection locked="0"/>
    </xf>
    <xf numFmtId="0" fontId="1" fillId="15" borderId="52" xfId="0" applyFont="1" applyFill="1" applyBorder="1" applyAlignment="1" applyProtection="1">
      <alignment horizontal="center"/>
      <protection locked="0"/>
    </xf>
    <xf numFmtId="0" fontId="1" fillId="0" borderId="0" xfId="0" applyFont="1" applyProtection="1"/>
    <xf numFmtId="0" fontId="1" fillId="0" borderId="48" xfId="0" applyFont="1" applyBorder="1" applyProtection="1"/>
    <xf numFmtId="0" fontId="1" fillId="0" borderId="151" xfId="0" applyFont="1" applyBorder="1" applyProtection="1"/>
    <xf numFmtId="164" fontId="48" fillId="10" borderId="128" xfId="7" applyNumberFormat="1" applyFont="1" applyAlignment="1" applyProtection="1">
      <alignment horizontal="center"/>
    </xf>
    <xf numFmtId="164" fontId="48" fillId="10" borderId="128" xfId="7" applyNumberFormat="1" applyFont="1" applyBorder="1" applyAlignment="1" applyProtection="1">
      <alignment horizontal="center"/>
    </xf>
    <xf numFmtId="164" fontId="48" fillId="18" borderId="147" xfId="7" applyNumberFormat="1" applyFont="1" applyFill="1" applyBorder="1" applyAlignment="1" applyProtection="1">
      <alignment horizontal="center"/>
    </xf>
    <xf numFmtId="164" fontId="48" fillId="18" borderId="147" xfId="0" applyNumberFormat="1" applyFont="1" applyFill="1" applyBorder="1" applyAlignment="1" applyProtection="1">
      <alignment horizontal="center"/>
    </xf>
    <xf numFmtId="164" fontId="48" fillId="10" borderId="142" xfId="7" applyNumberFormat="1" applyFont="1" applyBorder="1" applyAlignment="1" applyProtection="1">
      <alignment horizontal="center"/>
    </xf>
    <xf numFmtId="164" fontId="48" fillId="10" borderId="62" xfId="7" applyNumberFormat="1" applyFont="1" applyBorder="1" applyAlignment="1" applyProtection="1">
      <alignment horizontal="center"/>
    </xf>
    <xf numFmtId="164" fontId="48" fillId="18" borderId="47" xfId="0" applyNumberFormat="1" applyFont="1" applyFill="1" applyBorder="1" applyAlignment="1" applyProtection="1">
      <alignment horizontal="center"/>
    </xf>
    <xf numFmtId="165" fontId="48" fillId="18" borderId="63" xfId="0" applyNumberFormat="1" applyFont="1" applyFill="1" applyBorder="1" applyAlignment="1" applyProtection="1">
      <alignment horizontal="center"/>
    </xf>
    <xf numFmtId="164" fontId="48" fillId="18" borderId="1" xfId="0" applyNumberFormat="1" applyFont="1" applyFill="1" applyBorder="1" applyAlignment="1" applyProtection="1">
      <alignment horizontal="center"/>
    </xf>
    <xf numFmtId="1" fontId="48" fillId="18" borderId="62" xfId="0" applyNumberFormat="1" applyFont="1" applyFill="1" applyBorder="1" applyAlignment="1" applyProtection="1">
      <alignment horizontal="center"/>
    </xf>
    <xf numFmtId="0" fontId="31" fillId="26" borderId="0" xfId="0" applyFont="1" applyFill="1" applyProtection="1"/>
    <xf numFmtId="0" fontId="31" fillId="26" borderId="146" xfId="0" applyFont="1" applyFill="1" applyBorder="1" applyAlignment="1" applyProtection="1">
      <alignment horizontal="center"/>
    </xf>
    <xf numFmtId="0" fontId="31" fillId="26" borderId="145" xfId="0" applyFont="1" applyFill="1" applyBorder="1" applyAlignment="1" applyProtection="1">
      <alignment horizontal="center"/>
    </xf>
    <xf numFmtId="164" fontId="31" fillId="26" borderId="1" xfId="0" applyNumberFormat="1" applyFont="1" applyFill="1" applyBorder="1" applyAlignment="1" applyProtection="1">
      <alignment horizontal="center"/>
      <protection locked="0"/>
    </xf>
    <xf numFmtId="0" fontId="31" fillId="26" borderId="138" xfId="0" applyFont="1" applyFill="1" applyBorder="1" applyAlignment="1" applyProtection="1">
      <alignment horizontal="center"/>
      <protection locked="0"/>
    </xf>
    <xf numFmtId="164" fontId="31" fillId="26" borderId="63" xfId="0" applyNumberFormat="1" applyFont="1" applyFill="1" applyBorder="1" applyAlignment="1" applyProtection="1">
      <alignment horizontal="center"/>
    </xf>
    <xf numFmtId="0" fontId="31" fillId="26" borderId="1" xfId="0" applyFont="1" applyFill="1" applyBorder="1" applyAlignment="1" applyProtection="1">
      <alignment horizontal="center"/>
      <protection locked="0"/>
    </xf>
    <xf numFmtId="164" fontId="31" fillId="26" borderId="1" xfId="0" applyNumberFormat="1" applyFont="1" applyFill="1" applyBorder="1" applyAlignment="1" applyProtection="1">
      <alignment horizontal="center"/>
    </xf>
    <xf numFmtId="0" fontId="31" fillId="27" borderId="0" xfId="0" applyFont="1" applyFill="1" applyProtection="1"/>
    <xf numFmtId="0" fontId="31" fillId="27" borderId="62" xfId="0" applyFont="1" applyFill="1" applyBorder="1" applyAlignment="1" applyProtection="1">
      <alignment horizontal="center"/>
    </xf>
    <xf numFmtId="164" fontId="31" fillId="11" borderId="128" xfId="7" applyNumberFormat="1" applyFont="1" applyFill="1" applyBorder="1" applyAlignment="1" applyProtection="1">
      <alignment horizontal="center"/>
    </xf>
    <xf numFmtId="0" fontId="41" fillId="0" borderId="1" xfId="0" applyFont="1" applyFill="1" applyBorder="1" applyProtection="1"/>
    <xf numFmtId="165" fontId="41" fillId="0" borderId="1" xfId="0" applyNumberFormat="1" applyFont="1" applyFill="1" applyBorder="1" applyAlignment="1" applyProtection="1">
      <alignment horizontal="center"/>
    </xf>
    <xf numFmtId="0" fontId="41" fillId="0" borderId="60" xfId="0" applyFont="1" applyFill="1" applyBorder="1" applyProtection="1"/>
    <xf numFmtId="165" fontId="41" fillId="0" borderId="60" xfId="0" applyNumberFormat="1" applyFont="1" applyFill="1" applyBorder="1" applyAlignment="1" applyProtection="1">
      <alignment horizontal="center"/>
    </xf>
    <xf numFmtId="165" fontId="48" fillId="26" borderId="1" xfId="0" applyNumberFormat="1" applyFont="1" applyFill="1" applyBorder="1" applyAlignment="1" applyProtection="1">
      <alignment horizontal="center"/>
      <protection locked="0"/>
    </xf>
    <xf numFmtId="0" fontId="31" fillId="0" borderId="137" xfId="0" applyFont="1" applyBorder="1" applyAlignment="1" applyProtection="1">
      <alignment horizontal="center" vertical="center" wrapText="1"/>
    </xf>
    <xf numFmtId="0" fontId="1" fillId="15" borderId="1" xfId="0" applyFont="1" applyFill="1" applyBorder="1" applyAlignment="1" applyProtection="1">
      <alignment horizontal="center"/>
      <protection locked="0"/>
    </xf>
    <xf numFmtId="0" fontId="0" fillId="0" borderId="0" xfId="0" applyProtection="1"/>
    <xf numFmtId="0" fontId="44" fillId="0" borderId="148" xfId="8" applyProtection="1"/>
    <xf numFmtId="0" fontId="35" fillId="14" borderId="8" xfId="7" applyFill="1" applyBorder="1" applyProtection="1"/>
    <xf numFmtId="0" fontId="35" fillId="12" borderId="7" xfId="7" applyFill="1" applyBorder="1" applyProtection="1"/>
    <xf numFmtId="0" fontId="1" fillId="7" borderId="1" xfId="0" applyFont="1" applyFill="1" applyBorder="1" applyAlignment="1" applyProtection="1">
      <alignment horizontal="center"/>
    </xf>
    <xf numFmtId="0" fontId="1" fillId="0" borderId="49" xfId="0" applyFont="1" applyBorder="1" applyProtection="1"/>
    <xf numFmtId="0" fontId="1" fillId="12" borderId="1" xfId="0" applyFont="1" applyFill="1" applyBorder="1" applyAlignment="1" applyProtection="1">
      <alignment horizontal="center"/>
    </xf>
    <xf numFmtId="0" fontId="0" fillId="0" borderId="0" xfId="0" applyNumberFormat="1" applyProtection="1"/>
    <xf numFmtId="0" fontId="44" fillId="0" borderId="148" xfId="8" applyNumberFormat="1" applyFill="1" applyProtection="1"/>
    <xf numFmtId="0" fontId="1" fillId="0" borderId="48" xfId="0" applyFont="1" applyFill="1" applyBorder="1" applyProtection="1"/>
    <xf numFmtId="0" fontId="1" fillId="0" borderId="49" xfId="0" applyFont="1" applyFill="1" applyBorder="1" applyProtection="1"/>
    <xf numFmtId="0" fontId="26" fillId="21" borderId="1" xfId="0" applyFont="1" applyFill="1" applyBorder="1" applyAlignment="1" applyProtection="1">
      <alignment horizontal="center"/>
    </xf>
    <xf numFmtId="0" fontId="1" fillId="12" borderId="2" xfId="0" applyFont="1" applyFill="1" applyBorder="1" applyAlignment="1" applyProtection="1">
      <alignment horizontal="center"/>
    </xf>
    <xf numFmtId="0" fontId="1" fillId="0" borderId="53" xfId="0" applyFont="1" applyFill="1" applyBorder="1" applyProtection="1"/>
    <xf numFmtId="0" fontId="1" fillId="16" borderId="48" xfId="0" applyFont="1" applyFill="1" applyBorder="1" applyProtection="1"/>
    <xf numFmtId="0" fontId="1" fillId="16" borderId="1" xfId="0" applyFont="1" applyFill="1" applyBorder="1" applyProtection="1"/>
    <xf numFmtId="0" fontId="1" fillId="0" borderId="54" xfId="0" applyFont="1" applyFill="1" applyBorder="1" applyProtection="1"/>
    <xf numFmtId="0" fontId="1" fillId="16" borderId="49" xfId="0" applyFont="1" applyFill="1" applyBorder="1" applyProtection="1"/>
    <xf numFmtId="0" fontId="1" fillId="16" borderId="2" xfId="0" applyFont="1" applyFill="1" applyBorder="1" applyProtection="1"/>
    <xf numFmtId="164" fontId="26" fillId="23" borderId="1" xfId="0" applyNumberFormat="1" applyFont="1" applyFill="1" applyBorder="1" applyAlignment="1" applyProtection="1">
      <alignment horizontal="center"/>
    </xf>
    <xf numFmtId="165" fontId="26" fillId="23" borderId="1" xfId="0" applyNumberFormat="1" applyFont="1" applyFill="1" applyBorder="1" applyAlignment="1" applyProtection="1">
      <alignment horizontal="center"/>
    </xf>
    <xf numFmtId="164" fontId="26" fillId="23" borderId="2" xfId="0" applyNumberFormat="1" applyFont="1" applyFill="1" applyBorder="1" applyAlignment="1" applyProtection="1">
      <alignment horizontal="center"/>
    </xf>
    <xf numFmtId="0" fontId="1" fillId="0" borderId="0" xfId="0" applyFont="1" applyBorder="1" applyProtection="1"/>
    <xf numFmtId="164" fontId="1" fillId="7" borderId="1" xfId="0" applyNumberFormat="1" applyFont="1" applyFill="1" applyBorder="1" applyAlignment="1" applyProtection="1">
      <alignment horizontal="center"/>
    </xf>
    <xf numFmtId="164" fontId="40" fillId="23" borderId="1" xfId="0" applyNumberFormat="1" applyFont="1" applyFill="1" applyBorder="1" applyAlignment="1" applyProtection="1">
      <alignment horizontal="center"/>
    </xf>
    <xf numFmtId="164" fontId="1" fillId="23" borderId="1" xfId="0" applyNumberFormat="1" applyFont="1" applyFill="1" applyBorder="1" applyAlignment="1" applyProtection="1">
      <alignment horizontal="center"/>
    </xf>
    <xf numFmtId="0" fontId="1" fillId="25" borderId="1" xfId="0" applyFont="1" applyFill="1" applyBorder="1" applyAlignment="1" applyProtection="1">
      <alignment horizontal="center"/>
    </xf>
    <xf numFmtId="0" fontId="1" fillId="0" borderId="0" xfId="0" applyFont="1" applyFill="1" applyBorder="1" applyProtection="1"/>
    <xf numFmtId="164" fontId="1" fillId="0" borderId="0" xfId="0" applyNumberFormat="1" applyFont="1" applyFill="1" applyBorder="1" applyAlignment="1" applyProtection="1">
      <alignment horizontal="center"/>
    </xf>
    <xf numFmtId="0" fontId="1" fillId="12" borderId="52" xfId="0" applyFont="1" applyFill="1" applyBorder="1" applyAlignment="1" applyProtection="1">
      <alignment horizontal="center"/>
    </xf>
    <xf numFmtId="0" fontId="1" fillId="0" borderId="0" xfId="0" quotePrefix="1" applyFont="1" applyProtection="1"/>
    <xf numFmtId="0" fontId="1" fillId="25" borderId="2" xfId="0" applyFont="1" applyFill="1" applyBorder="1" applyAlignment="1" applyProtection="1">
      <alignment horizontal="center"/>
    </xf>
    <xf numFmtId="0" fontId="1" fillId="0" borderId="52" xfId="0" applyFont="1" applyBorder="1" applyProtection="1"/>
    <xf numFmtId="164" fontId="1" fillId="22" borderId="1" xfId="0" applyNumberFormat="1" applyFont="1" applyFill="1" applyBorder="1" applyAlignment="1" applyProtection="1">
      <alignment horizontal="center"/>
    </xf>
    <xf numFmtId="0" fontId="1" fillId="7" borderId="152" xfId="0" applyFont="1" applyFill="1" applyBorder="1" applyAlignment="1" applyProtection="1">
      <alignment horizontal="center"/>
    </xf>
    <xf numFmtId="0" fontId="1" fillId="0" borderId="153" xfId="0" applyFont="1" applyBorder="1" applyProtection="1"/>
    <xf numFmtId="0" fontId="1" fillId="7" borderId="154" xfId="0" applyFont="1" applyFill="1" applyBorder="1" applyAlignment="1" applyProtection="1">
      <alignment horizontal="center"/>
    </xf>
    <xf numFmtId="0" fontId="1" fillId="23" borderId="1" xfId="0" applyFont="1" applyFill="1" applyBorder="1" applyAlignment="1" applyProtection="1">
      <alignment horizontal="center"/>
    </xf>
    <xf numFmtId="0" fontId="26" fillId="23" borderId="152" xfId="0" applyFont="1" applyFill="1" applyBorder="1" applyAlignment="1" applyProtection="1">
      <alignment horizontal="center"/>
    </xf>
    <xf numFmtId="0" fontId="1" fillId="0" borderId="50" xfId="0" applyFont="1" applyBorder="1" applyProtection="1"/>
    <xf numFmtId="0" fontId="1" fillId="4" borderId="1" xfId="0" applyFont="1" applyFill="1" applyBorder="1" applyAlignment="1" applyProtection="1">
      <alignment horizontal="center"/>
    </xf>
    <xf numFmtId="0" fontId="26" fillId="4" borderId="1" xfId="0" applyFont="1" applyFill="1" applyBorder="1" applyAlignment="1" applyProtection="1">
      <alignment horizontal="center"/>
    </xf>
    <xf numFmtId="1" fontId="1" fillId="2" borderId="48" xfId="0" applyNumberFormat="1" applyFont="1" applyFill="1" applyBorder="1" applyAlignment="1" applyProtection="1">
      <alignment horizontal="left"/>
    </xf>
    <xf numFmtId="0" fontId="1" fillId="3" borderId="1" xfId="0" applyFont="1" applyFill="1" applyBorder="1" applyAlignment="1" applyProtection="1">
      <alignment horizontal="center"/>
    </xf>
    <xf numFmtId="1" fontId="1" fillId="2" borderId="49" xfId="0" applyNumberFormat="1" applyFont="1" applyFill="1" applyBorder="1" applyAlignment="1" applyProtection="1">
      <alignment horizontal="left"/>
    </xf>
    <xf numFmtId="0" fontId="1" fillId="3" borderId="2" xfId="0" applyFont="1" applyFill="1" applyBorder="1" applyAlignment="1" applyProtection="1">
      <alignment horizontal="center"/>
    </xf>
    <xf numFmtId="165" fontId="40" fillId="16" borderId="1" xfId="0" applyNumberFormat="1" applyFont="1" applyFill="1" applyBorder="1" applyAlignment="1" applyProtection="1">
      <alignment horizontal="center"/>
    </xf>
    <xf numFmtId="0" fontId="1" fillId="24" borderId="1" xfId="0" applyFont="1" applyFill="1" applyBorder="1" applyAlignment="1" applyProtection="1">
      <alignment horizontal="center"/>
    </xf>
    <xf numFmtId="0" fontId="6" fillId="0" borderId="0" xfId="0" applyFont="1" applyBorder="1" applyProtection="1"/>
    <xf numFmtId="165" fontId="1" fillId="7" borderId="1" xfId="0" applyNumberFormat="1" applyFont="1" applyFill="1" applyBorder="1" applyAlignment="1" applyProtection="1">
      <alignment horizontal="center"/>
    </xf>
    <xf numFmtId="165" fontId="47" fillId="16" borderId="1" xfId="7" applyNumberFormat="1" applyFont="1" applyFill="1" applyBorder="1" applyAlignment="1" applyProtection="1">
      <alignment horizontal="center"/>
    </xf>
    <xf numFmtId="165" fontId="47" fillId="22" borderId="1" xfId="7" applyNumberFormat="1" applyFont="1" applyFill="1" applyBorder="1" applyAlignment="1" applyProtection="1">
      <alignment horizontal="center"/>
    </xf>
    <xf numFmtId="165" fontId="47" fillId="24" borderId="1" xfId="7" applyNumberFormat="1" applyFont="1" applyFill="1" applyBorder="1" applyAlignment="1" applyProtection="1">
      <alignment horizontal="center"/>
    </xf>
    <xf numFmtId="165" fontId="47" fillId="24" borderId="2" xfId="7" applyNumberFormat="1" applyFont="1" applyFill="1" applyBorder="1" applyAlignment="1" applyProtection="1">
      <alignment horizontal="center"/>
    </xf>
    <xf numFmtId="0" fontId="1" fillId="25" borderId="1" xfId="0" applyFont="1" applyFill="1" applyBorder="1" applyAlignment="1" applyProtection="1"/>
    <xf numFmtId="0" fontId="1" fillId="25" borderId="2" xfId="0" applyFont="1" applyFill="1" applyBorder="1" applyAlignment="1" applyProtection="1"/>
    <xf numFmtId="0" fontId="13" fillId="0" borderId="0" xfId="0" applyFont="1" applyProtection="1"/>
    <xf numFmtId="0" fontId="1" fillId="0" borderId="53" xfId="0" applyFont="1" applyBorder="1" applyProtection="1"/>
    <xf numFmtId="0" fontId="1" fillId="5" borderId="52" xfId="0" applyFont="1" applyFill="1" applyBorder="1" applyAlignment="1" applyProtection="1">
      <alignment horizontal="left"/>
    </xf>
    <xf numFmtId="0" fontId="1" fillId="5" borderId="9" xfId="0" applyFont="1" applyFill="1" applyBorder="1" applyAlignment="1" applyProtection="1">
      <alignment horizontal="left"/>
    </xf>
    <xf numFmtId="0" fontId="1" fillId="0" borderId="48" xfId="0" applyFont="1" applyBorder="1" applyAlignment="1" applyProtection="1">
      <alignment horizontal="left"/>
    </xf>
    <xf numFmtId="0" fontId="1" fillId="0" borderId="1" xfId="0" applyFont="1" applyBorder="1" applyAlignment="1" applyProtection="1">
      <alignment horizontal="left"/>
    </xf>
    <xf numFmtId="0" fontId="26" fillId="0" borderId="48" xfId="0" applyFont="1" applyBorder="1" applyAlignment="1" applyProtection="1">
      <alignment horizontal="left"/>
    </xf>
    <xf numFmtId="0" fontId="26" fillId="0" borderId="1" xfId="0" applyFont="1" applyBorder="1" applyAlignment="1" applyProtection="1">
      <alignment horizontal="left"/>
    </xf>
    <xf numFmtId="0" fontId="1" fillId="0" borderId="61" xfId="0" applyFont="1" applyBorder="1" applyProtection="1"/>
    <xf numFmtId="0" fontId="1" fillId="7" borderId="50" xfId="0" applyFont="1" applyFill="1" applyBorder="1" applyAlignment="1" applyProtection="1">
      <alignment horizontal="left"/>
    </xf>
    <xf numFmtId="0" fontId="1" fillId="7" borderId="5" xfId="0" applyFont="1" applyFill="1" applyBorder="1" applyAlignment="1" applyProtection="1">
      <alignment horizontal="left"/>
    </xf>
    <xf numFmtId="0" fontId="1" fillId="7" borderId="48" xfId="0" applyFont="1" applyFill="1" applyBorder="1" applyAlignment="1" applyProtection="1">
      <alignment horizontal="center"/>
    </xf>
    <xf numFmtId="0" fontId="1" fillId="0" borderId="1" xfId="0" applyFont="1" applyBorder="1" applyProtection="1"/>
    <xf numFmtId="0" fontId="1" fillId="7" borderId="48" xfId="0" applyFont="1" applyFill="1" applyBorder="1" applyProtection="1"/>
    <xf numFmtId="0" fontId="1" fillId="7" borderId="1" xfId="0" applyFont="1" applyFill="1" applyBorder="1" applyProtection="1"/>
    <xf numFmtId="0" fontId="1" fillId="0" borderId="48" xfId="0" applyFont="1" applyBorder="1" applyAlignment="1" applyProtection="1">
      <alignment horizontal="center"/>
    </xf>
    <xf numFmtId="0" fontId="1" fillId="0" borderId="1" xfId="0" applyFont="1" applyBorder="1" applyAlignment="1" applyProtection="1">
      <alignment horizontal="center"/>
    </xf>
    <xf numFmtId="0" fontId="1" fillId="0" borderId="54" xfId="0" applyFont="1" applyBorder="1" applyProtection="1"/>
    <xf numFmtId="0" fontId="1" fillId="0" borderId="2" xfId="0" applyFont="1" applyBorder="1" applyProtection="1"/>
    <xf numFmtId="0" fontId="3" fillId="0" borderId="8" xfId="0" applyFont="1" applyBorder="1" applyAlignment="1" applyProtection="1">
      <alignment horizontal="center" vertical="center"/>
    </xf>
    <xf numFmtId="0" fontId="3" fillId="0" borderId="0" xfId="0" applyFont="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Alignment="1" applyProtection="1">
      <alignment horizontal="center" vertical="center"/>
    </xf>
    <xf numFmtId="49" fontId="1" fillId="0" borderId="0" xfId="0" applyNumberFormat="1" applyFont="1" applyBorder="1" applyAlignment="1" applyProtection="1">
      <alignment horizontal="left"/>
    </xf>
    <xf numFmtId="0" fontId="20" fillId="0" borderId="0" xfId="0" applyFont="1" applyBorder="1" applyAlignment="1" applyProtection="1">
      <alignment horizontal="right"/>
    </xf>
    <xf numFmtId="0" fontId="0" fillId="0" borderId="7" xfId="0" applyBorder="1" applyProtection="1"/>
    <xf numFmtId="0" fontId="0" fillId="0" borderId="8" xfId="0" applyBorder="1" applyProtection="1"/>
    <xf numFmtId="49" fontId="0" fillId="0" borderId="0" xfId="0" applyNumberFormat="1" applyBorder="1" applyAlignment="1" applyProtection="1">
      <alignment horizontal="left"/>
    </xf>
    <xf numFmtId="0" fontId="5" fillId="0" borderId="0" xfId="0" applyFont="1" applyBorder="1" applyAlignment="1" applyProtection="1">
      <alignment horizontal="right"/>
    </xf>
    <xf numFmtId="0" fontId="0" fillId="0" borderId="7" xfId="0" applyBorder="1" applyAlignment="1" applyProtection="1">
      <alignment horizontal="left"/>
    </xf>
    <xf numFmtId="0" fontId="6" fillId="0" borderId="0" xfId="0" applyFont="1" applyBorder="1" applyAlignment="1" applyProtection="1">
      <alignment horizontal="left"/>
    </xf>
    <xf numFmtId="0" fontId="0" fillId="0" borderId="51" xfId="0" applyBorder="1" applyProtection="1"/>
    <xf numFmtId="0" fontId="0" fillId="0" borderId="75" xfId="0" applyBorder="1" applyProtection="1"/>
    <xf numFmtId="0" fontId="50" fillId="0" borderId="0" xfId="4" applyFont="1" applyFill="1" applyProtection="1"/>
    <xf numFmtId="0" fontId="0" fillId="0" borderId="0" xfId="0" applyAlignment="1" applyProtection="1"/>
    <xf numFmtId="0" fontId="7" fillId="5" borderId="0" xfId="0" applyFont="1" applyFill="1" applyBorder="1" applyAlignment="1" applyProtection="1">
      <alignment horizontal="center"/>
    </xf>
    <xf numFmtId="0" fontId="0" fillId="0" borderId="0" xfId="0" applyBorder="1" applyAlignment="1" applyProtection="1"/>
    <xf numFmtId="0" fontId="1" fillId="0" borderId="0" xfId="0" applyFont="1" applyAlignment="1" applyProtection="1"/>
    <xf numFmtId="0" fontId="26" fillId="0" borderId="51" xfId="0" applyFont="1" applyBorder="1" applyAlignment="1" applyProtection="1">
      <alignment horizontal="center"/>
    </xf>
    <xf numFmtId="0" fontId="0" fillId="2" borderId="0" xfId="0" applyFill="1" applyBorder="1" applyProtection="1"/>
    <xf numFmtId="0" fontId="0" fillId="24" borderId="0" xfId="0" applyFill="1" applyBorder="1" applyAlignment="1" applyProtection="1"/>
    <xf numFmtId="0" fontId="0" fillId="0" borderId="78" xfId="0" applyBorder="1" applyAlignment="1" applyProtection="1"/>
    <xf numFmtId="0" fontId="1" fillId="0" borderId="0" xfId="0" applyFont="1" applyBorder="1" applyAlignment="1" applyProtection="1">
      <alignment horizontal="center"/>
    </xf>
    <xf numFmtId="0" fontId="1" fillId="0" borderId="7" xfId="0" applyFont="1" applyBorder="1" applyAlignment="1" applyProtection="1">
      <alignment horizontal="center"/>
    </xf>
    <xf numFmtId="0" fontId="1" fillId="0" borderId="8" xfId="0" applyFont="1" applyBorder="1" applyProtection="1"/>
    <xf numFmtId="0" fontId="26" fillId="13" borderId="0" xfId="0" applyNumberFormat="1" applyFont="1" applyFill="1" applyBorder="1" applyProtection="1"/>
    <xf numFmtId="0" fontId="26" fillId="13" borderId="7" xfId="0" applyNumberFormat="1" applyFont="1" applyFill="1" applyBorder="1" applyProtection="1"/>
    <xf numFmtId="0" fontId="1" fillId="0" borderId="80" xfId="0" applyFont="1" applyBorder="1" applyProtection="1"/>
    <xf numFmtId="0" fontId="6" fillId="0" borderId="0" xfId="0" applyFont="1" applyAlignment="1" applyProtection="1">
      <alignment horizontal="center"/>
    </xf>
    <xf numFmtId="0" fontId="1" fillId="0" borderId="77" xfId="0" applyFont="1" applyBorder="1" applyProtection="1"/>
    <xf numFmtId="0" fontId="26" fillId="13" borderId="77" xfId="0" applyNumberFormat="1" applyFont="1" applyFill="1" applyBorder="1" applyProtection="1"/>
    <xf numFmtId="0" fontId="26" fillId="13" borderId="79" xfId="0" applyNumberFormat="1" applyFont="1" applyFill="1" applyBorder="1" applyProtection="1"/>
    <xf numFmtId="0" fontId="26" fillId="13" borderId="51" xfId="0" applyNumberFormat="1" applyFont="1" applyFill="1" applyBorder="1" applyProtection="1"/>
    <xf numFmtId="0" fontId="26" fillId="13" borderId="75" xfId="0" applyNumberFormat="1" applyFont="1" applyFill="1" applyBorder="1" applyProtection="1"/>
    <xf numFmtId="165" fontId="26" fillId="13" borderId="77" xfId="0" applyNumberFormat="1" applyFont="1" applyFill="1" applyBorder="1" applyProtection="1"/>
    <xf numFmtId="165" fontId="26" fillId="13" borderId="79" xfId="0" applyNumberFormat="1" applyFont="1" applyFill="1" applyBorder="1" applyProtection="1"/>
    <xf numFmtId="165" fontId="26" fillId="13" borderId="0" xfId="0" applyNumberFormat="1" applyFont="1" applyFill="1" applyBorder="1" applyProtection="1"/>
    <xf numFmtId="165" fontId="26" fillId="13" borderId="7" xfId="0" applyNumberFormat="1" applyFont="1" applyFill="1" applyBorder="1" applyProtection="1"/>
    <xf numFmtId="165" fontId="26" fillId="13" borderId="51" xfId="0" applyNumberFormat="1" applyFont="1" applyFill="1" applyBorder="1" applyProtection="1"/>
    <xf numFmtId="165" fontId="26" fillId="13" borderId="75" xfId="0" applyNumberFormat="1" applyFont="1" applyFill="1" applyBorder="1" applyProtection="1"/>
    <xf numFmtId="0" fontId="26" fillId="13" borderId="91" xfId="0" applyNumberFormat="1" applyFont="1" applyFill="1" applyBorder="1" applyProtection="1"/>
    <xf numFmtId="0" fontId="26" fillId="13" borderId="113" xfId="0" applyNumberFormat="1" applyFont="1" applyFill="1" applyBorder="1" applyProtection="1"/>
    <xf numFmtId="0" fontId="6" fillId="0" borderId="0" xfId="0" applyFont="1" applyAlignment="1" applyProtection="1">
      <alignment vertical="center" textRotation="90" wrapText="1"/>
    </xf>
    <xf numFmtId="165" fontId="0" fillId="0" borderId="0" xfId="0" applyNumberFormat="1" applyProtection="1"/>
    <xf numFmtId="0" fontId="15" fillId="0" borderId="0" xfId="0" applyFont="1" applyProtection="1"/>
    <xf numFmtId="0" fontId="15" fillId="0" borderId="78" xfId="0" applyFont="1" applyBorder="1" applyProtection="1"/>
    <xf numFmtId="0" fontId="15" fillId="0" borderId="77" xfId="0" applyFont="1" applyBorder="1" applyProtection="1"/>
    <xf numFmtId="0" fontId="15" fillId="0" borderId="8" xfId="0" applyFont="1" applyBorder="1" applyProtection="1"/>
    <xf numFmtId="0" fontId="15" fillId="0" borderId="0" xfId="0" applyFont="1" applyBorder="1" applyProtection="1"/>
    <xf numFmtId="0" fontId="15" fillId="0" borderId="0" xfId="0" applyFont="1" applyBorder="1" applyAlignment="1" applyProtection="1">
      <alignment horizontal="center"/>
    </xf>
    <xf numFmtId="0" fontId="15" fillId="0" borderId="7" xfId="0" applyFont="1" applyBorder="1" applyAlignment="1" applyProtection="1">
      <alignment horizontal="center"/>
    </xf>
    <xf numFmtId="0" fontId="15" fillId="0" borderId="78" xfId="0" applyFont="1" applyFill="1" applyBorder="1" applyAlignment="1" applyProtection="1">
      <alignment horizontal="right"/>
    </xf>
    <xf numFmtId="0" fontId="15" fillId="0" borderId="77" xfId="0" applyFont="1" applyFill="1" applyBorder="1" applyAlignment="1" applyProtection="1">
      <alignment horizontal="right"/>
    </xf>
    <xf numFmtId="0" fontId="15" fillId="0" borderId="79" xfId="0" applyFont="1" applyFill="1" applyBorder="1" applyAlignment="1" applyProtection="1">
      <alignment horizontal="right"/>
    </xf>
    <xf numFmtId="0" fontId="15" fillId="0" borderId="8" xfId="0" applyFont="1" applyFill="1" applyBorder="1" applyAlignment="1" applyProtection="1">
      <alignment horizontal="right"/>
    </xf>
    <xf numFmtId="0" fontId="15" fillId="0" borderId="0" xfId="0" applyFont="1" applyFill="1" applyBorder="1" applyAlignment="1" applyProtection="1">
      <alignment horizontal="right"/>
    </xf>
    <xf numFmtId="0" fontId="15" fillId="0" borderId="7" xfId="0" applyFont="1" applyFill="1" applyBorder="1" applyAlignment="1" applyProtection="1">
      <alignment horizontal="right"/>
    </xf>
    <xf numFmtId="0" fontId="15" fillId="0" borderId="7" xfId="0" applyFont="1" applyBorder="1" applyProtection="1"/>
    <xf numFmtId="0" fontId="15" fillId="0" borderId="51" xfId="0" applyFont="1" applyBorder="1" applyProtection="1"/>
    <xf numFmtId="0" fontId="15" fillId="3" borderId="80" xfId="0" applyFont="1" applyFill="1" applyBorder="1" applyProtection="1"/>
    <xf numFmtId="0" fontId="15" fillId="3" borderId="51" xfId="0" applyFont="1" applyFill="1" applyBorder="1" applyProtection="1"/>
    <xf numFmtId="0" fontId="15" fillId="3" borderId="75" xfId="0" applyFont="1" applyFill="1" applyBorder="1" applyProtection="1"/>
    <xf numFmtId="0" fontId="0" fillId="0" borderId="8" xfId="0" applyBorder="1" applyAlignment="1" applyProtection="1">
      <alignment horizontal="right"/>
    </xf>
    <xf numFmtId="0" fontId="1" fillId="0" borderId="8" xfId="0" applyFont="1" applyBorder="1" applyAlignment="1" applyProtection="1">
      <alignment horizontal="right"/>
    </xf>
    <xf numFmtId="0" fontId="0" fillId="0" borderId="80" xfId="0" applyBorder="1" applyAlignment="1" applyProtection="1">
      <alignment horizontal="right"/>
    </xf>
    <xf numFmtId="0" fontId="0" fillId="0" borderId="75" xfId="0" applyBorder="1" applyAlignment="1" applyProtection="1">
      <alignment horizontal="left"/>
    </xf>
    <xf numFmtId="0" fontId="15" fillId="0" borderId="52" xfId="0" applyFont="1" applyBorder="1" applyProtection="1"/>
    <xf numFmtId="0" fontId="15" fillId="0" borderId="77" xfId="0" applyFont="1" applyBorder="1" applyAlignment="1" applyProtection="1">
      <alignment horizontal="center"/>
    </xf>
    <xf numFmtId="0" fontId="15" fillId="0" borderId="79" xfId="0" applyFont="1" applyBorder="1" applyAlignment="1" applyProtection="1">
      <alignment horizontal="center"/>
    </xf>
    <xf numFmtId="0" fontId="15" fillId="0" borderId="61" xfId="0" applyFont="1" applyBorder="1" applyProtection="1"/>
    <xf numFmtId="0" fontId="15" fillId="0" borderId="9" xfId="0" applyFont="1" applyBorder="1" applyProtection="1"/>
    <xf numFmtId="0" fontId="15" fillId="0" borderId="83" xfId="0" applyFont="1" applyBorder="1" applyProtection="1"/>
    <xf numFmtId="0" fontId="15" fillId="0" borderId="48" xfId="0" applyFont="1" applyBorder="1" applyProtection="1"/>
    <xf numFmtId="0" fontId="15" fillId="0" borderId="1" xfId="0" applyFont="1" applyBorder="1" applyProtection="1"/>
    <xf numFmtId="0" fontId="15" fillId="0" borderId="4" xfId="0" applyFont="1" applyBorder="1" applyProtection="1"/>
    <xf numFmtId="0" fontId="15" fillId="0" borderId="53" xfId="0" applyFont="1" applyBorder="1" applyProtection="1"/>
    <xf numFmtId="0" fontId="15" fillId="0" borderId="54" xfId="0" applyFont="1" applyBorder="1" applyProtection="1"/>
    <xf numFmtId="0" fontId="15" fillId="0" borderId="49" xfId="0" applyFont="1" applyBorder="1" applyProtection="1"/>
    <xf numFmtId="0" fontId="15" fillId="0" borderId="2" xfId="0" applyFont="1" applyBorder="1" applyProtection="1"/>
    <xf numFmtId="0" fontId="15" fillId="0" borderId="3" xfId="0" applyFont="1" applyBorder="1" applyProtection="1"/>
    <xf numFmtId="0" fontId="15" fillId="0" borderId="84" xfId="0" applyFont="1" applyBorder="1" applyAlignment="1" applyProtection="1">
      <alignment horizontal="right"/>
    </xf>
    <xf numFmtId="0" fontId="15" fillId="0" borderId="85" xfId="0" applyFont="1" applyBorder="1" applyAlignment="1" applyProtection="1">
      <alignment horizontal="left"/>
    </xf>
    <xf numFmtId="0" fontId="15" fillId="0" borderId="0" xfId="0" applyFont="1" applyBorder="1" applyAlignment="1" applyProtection="1">
      <alignment horizontal="left"/>
    </xf>
    <xf numFmtId="0" fontId="15" fillId="0" borderId="68" xfId="0" applyFont="1" applyBorder="1" applyProtection="1"/>
    <xf numFmtId="0" fontId="15" fillId="0" borderId="81" xfId="0" applyFont="1" applyBorder="1" applyProtection="1"/>
    <xf numFmtId="0" fontId="15" fillId="0" borderId="0" xfId="0" applyFont="1" applyAlignment="1" applyProtection="1">
      <alignment horizontal="right"/>
    </xf>
    <xf numFmtId="0" fontId="15" fillId="0" borderId="0" xfId="0" applyFont="1" applyAlignment="1" applyProtection="1">
      <alignment horizontal="left"/>
    </xf>
    <xf numFmtId="0" fontId="24" fillId="0" borderId="86" xfId="0" applyFont="1" applyBorder="1" applyAlignment="1" applyProtection="1">
      <alignment horizontal="right"/>
    </xf>
    <xf numFmtId="0" fontId="25" fillId="0" borderId="87" xfId="0" applyFont="1" applyBorder="1" applyAlignment="1" applyProtection="1">
      <alignment horizontal="left" vertical="center"/>
    </xf>
    <xf numFmtId="0" fontId="25" fillId="0" borderId="0" xfId="0" applyFont="1" applyBorder="1" applyAlignment="1" applyProtection="1">
      <alignment horizontal="left" vertical="center"/>
    </xf>
    <xf numFmtId="0" fontId="0" fillId="0" borderId="0" xfId="0" applyFill="1" applyBorder="1" applyProtection="1"/>
    <xf numFmtId="0" fontId="0" fillId="0" borderId="0" xfId="0" applyFill="1" applyProtection="1"/>
    <xf numFmtId="0" fontId="1" fillId="0" borderId="0" xfId="3" applyFill="1" applyProtection="1"/>
    <xf numFmtId="0" fontId="0" fillId="0" borderId="130" xfId="0" applyFill="1" applyBorder="1" applyProtection="1"/>
    <xf numFmtId="0" fontId="1" fillId="0" borderId="77" xfId="0" applyFont="1" applyFill="1" applyBorder="1" applyProtection="1"/>
    <xf numFmtId="0" fontId="1" fillId="0" borderId="79" xfId="0" applyFont="1" applyFill="1" applyBorder="1" applyProtection="1"/>
    <xf numFmtId="0" fontId="0" fillId="0" borderId="95" xfId="0" applyFill="1" applyBorder="1" applyProtection="1"/>
    <xf numFmtId="0" fontId="1" fillId="0" borderId="94" xfId="3" applyFill="1" applyBorder="1" applyProtection="1"/>
    <xf numFmtId="0" fontId="0" fillId="0" borderId="78" xfId="0" applyFill="1" applyBorder="1" applyProtection="1"/>
    <xf numFmtId="0" fontId="0" fillId="0" borderId="79" xfId="0" applyFill="1" applyBorder="1" applyProtection="1"/>
    <xf numFmtId="0" fontId="0" fillId="0" borderId="8" xfId="0" applyFill="1" applyBorder="1" applyProtection="1"/>
    <xf numFmtId="0" fontId="0" fillId="0" borderId="7" xfId="0" applyFill="1" applyBorder="1" applyProtection="1"/>
    <xf numFmtId="0" fontId="1" fillId="0" borderId="131" xfId="3" applyFill="1" applyBorder="1" applyProtection="1"/>
    <xf numFmtId="164" fontId="0" fillId="0" borderId="80" xfId="0" applyNumberFormat="1" applyFill="1" applyBorder="1" applyProtection="1"/>
    <xf numFmtId="164" fontId="0" fillId="0" borderId="75" xfId="0" applyNumberFormat="1" applyFill="1" applyBorder="1" applyProtection="1"/>
    <xf numFmtId="0" fontId="1" fillId="0" borderId="100" xfId="3" applyFill="1" applyBorder="1" applyProtection="1"/>
    <xf numFmtId="0" fontId="0" fillId="0" borderId="101" xfId="0" applyFill="1" applyBorder="1" applyProtection="1"/>
    <xf numFmtId="0" fontId="0" fillId="0" borderId="102" xfId="0" applyFill="1" applyBorder="1" applyProtection="1"/>
    <xf numFmtId="0" fontId="1" fillId="0" borderId="0" xfId="3" applyFill="1" applyBorder="1" applyProtection="1"/>
    <xf numFmtId="0" fontId="1" fillId="0" borderId="149" xfId="3" applyFill="1" applyBorder="1" applyProtection="1"/>
    <xf numFmtId="0" fontId="0" fillId="0" borderId="150" xfId="0" applyFill="1" applyBorder="1" applyProtection="1"/>
    <xf numFmtId="0" fontId="1" fillId="0" borderId="130" xfId="0" applyFont="1" applyFill="1" applyBorder="1" applyAlignment="1" applyProtection="1"/>
    <xf numFmtId="0" fontId="6" fillId="0" borderId="87" xfId="0" applyFont="1" applyFill="1" applyBorder="1" applyAlignment="1" applyProtection="1"/>
    <xf numFmtId="0" fontId="0" fillId="0" borderId="133" xfId="0" applyFill="1" applyBorder="1" applyProtection="1"/>
    <xf numFmtId="2" fontId="0" fillId="0" borderId="129" xfId="0" applyNumberFormat="1" applyFill="1" applyBorder="1" applyAlignment="1" applyProtection="1">
      <alignment horizontal="center"/>
    </xf>
    <xf numFmtId="0" fontId="0" fillId="0" borderId="134" xfId="0" applyFill="1" applyBorder="1" applyProtection="1"/>
    <xf numFmtId="0" fontId="0" fillId="0" borderId="132" xfId="0" applyFill="1" applyBorder="1" applyAlignment="1" applyProtection="1">
      <alignment horizontal="center"/>
    </xf>
    <xf numFmtId="0" fontId="0" fillId="0" borderId="135" xfId="0" applyFill="1" applyBorder="1" applyProtection="1"/>
    <xf numFmtId="0" fontId="0" fillId="0" borderId="88" xfId="0" applyFill="1" applyBorder="1" applyAlignment="1" applyProtection="1">
      <alignment horizontal="center"/>
    </xf>
    <xf numFmtId="0" fontId="0" fillId="0" borderId="92" xfId="0" applyFill="1" applyBorder="1" applyProtection="1"/>
    <xf numFmtId="0" fontId="0" fillId="0" borderId="93" xfId="0" applyFill="1" applyBorder="1" applyProtection="1"/>
    <xf numFmtId="0" fontId="13" fillId="0" borderId="0" xfId="0" applyFont="1" applyFill="1" applyBorder="1" applyProtection="1"/>
    <xf numFmtId="0" fontId="12" fillId="0" borderId="96" xfId="3" quotePrefix="1" applyFont="1" applyFill="1" applyBorder="1" applyAlignment="1" applyProtection="1">
      <alignment horizontal="center" vertical="center" wrapText="1"/>
    </xf>
    <xf numFmtId="0" fontId="12" fillId="0" borderId="11" xfId="3" quotePrefix="1" applyFont="1" applyFill="1" applyBorder="1" applyAlignment="1" applyProtection="1">
      <alignment horizontal="center" vertical="center"/>
    </xf>
    <xf numFmtId="0" fontId="12" fillId="0" borderId="11" xfId="3" applyFont="1" applyFill="1" applyBorder="1" applyAlignment="1" applyProtection="1">
      <alignment horizontal="center" vertical="center"/>
    </xf>
    <xf numFmtId="0" fontId="12" fillId="0" borderId="12" xfId="3" applyFont="1" applyFill="1" applyBorder="1" applyAlignment="1" applyProtection="1">
      <alignment horizontal="center" vertical="center"/>
    </xf>
    <xf numFmtId="0" fontId="12" fillId="0" borderId="12" xfId="3" quotePrefix="1" applyFont="1" applyFill="1" applyBorder="1" applyAlignment="1" applyProtection="1">
      <alignment horizontal="center" vertical="center"/>
    </xf>
    <xf numFmtId="0" fontId="12" fillId="0" borderId="22" xfId="3" quotePrefix="1" applyFont="1" applyFill="1" applyBorder="1" applyAlignment="1" applyProtection="1">
      <alignment horizontal="center" vertical="center"/>
    </xf>
    <xf numFmtId="0" fontId="12" fillId="0" borderId="23" xfId="3" quotePrefix="1" applyFont="1" applyFill="1" applyBorder="1" applyAlignment="1" applyProtection="1">
      <alignment horizontal="center" vertical="center"/>
    </xf>
    <xf numFmtId="0" fontId="12" fillId="0" borderId="24" xfId="3" quotePrefix="1" applyFont="1" applyFill="1" applyBorder="1" applyAlignment="1" applyProtection="1">
      <alignment horizontal="center" vertical="center"/>
    </xf>
    <xf numFmtId="0" fontId="1" fillId="0" borderId="95" xfId="3" applyFill="1" applyBorder="1" applyAlignment="1" applyProtection="1">
      <alignment vertical="center"/>
    </xf>
    <xf numFmtId="0" fontId="1" fillId="0" borderId="0" xfId="3" applyFill="1" applyAlignment="1" applyProtection="1">
      <alignment vertical="center"/>
    </xf>
    <xf numFmtId="164" fontId="12" fillId="0" borderId="97" xfId="3" applyNumberFormat="1" applyFont="1" applyFill="1" applyBorder="1" applyAlignment="1" applyProtection="1">
      <alignment horizontal="center"/>
    </xf>
    <xf numFmtId="165" fontId="0" fillId="0" borderId="25" xfId="0" applyNumberFormat="1" applyFill="1" applyBorder="1" applyAlignment="1" applyProtection="1">
      <alignment horizontal="center"/>
    </xf>
    <xf numFmtId="165" fontId="0" fillId="0" borderId="26" xfId="0" applyNumberFormat="1" applyFill="1" applyBorder="1" applyAlignment="1" applyProtection="1">
      <alignment horizontal="center"/>
    </xf>
    <xf numFmtId="165" fontId="0" fillId="0" borderId="27" xfId="0" applyNumberFormat="1" applyFill="1" applyBorder="1" applyAlignment="1" applyProtection="1">
      <alignment horizontal="center"/>
    </xf>
    <xf numFmtId="165" fontId="0" fillId="0" borderId="28" xfId="0" applyNumberFormat="1" applyFill="1" applyBorder="1" applyAlignment="1" applyProtection="1">
      <alignment horizontal="center"/>
    </xf>
    <xf numFmtId="165" fontId="0" fillId="0" borderId="29" xfId="0" applyNumberFormat="1" applyFill="1" applyBorder="1" applyAlignment="1" applyProtection="1">
      <alignment horizontal="center"/>
    </xf>
    <xf numFmtId="165" fontId="0" fillId="0" borderId="30" xfId="0" applyNumberFormat="1" applyFill="1" applyBorder="1" applyAlignment="1" applyProtection="1">
      <alignment horizontal="center"/>
    </xf>
    <xf numFmtId="164" fontId="12" fillId="0" borderId="98" xfId="3" applyNumberFormat="1" applyFont="1" applyFill="1" applyBorder="1" applyAlignment="1" applyProtection="1">
      <alignment horizontal="center"/>
    </xf>
    <xf numFmtId="165" fontId="0" fillId="0" borderId="31" xfId="0" applyNumberFormat="1" applyFill="1" applyBorder="1" applyAlignment="1" applyProtection="1">
      <alignment horizontal="center"/>
    </xf>
    <xf numFmtId="165" fontId="0" fillId="0" borderId="32" xfId="0" applyNumberFormat="1" applyFill="1" applyBorder="1" applyAlignment="1" applyProtection="1">
      <alignment horizontal="center"/>
    </xf>
    <xf numFmtId="165" fontId="0" fillId="0" borderId="33" xfId="0" applyNumberFormat="1" applyFill="1" applyBorder="1" applyAlignment="1" applyProtection="1">
      <alignment horizontal="center"/>
    </xf>
    <xf numFmtId="165" fontId="0" fillId="0" borderId="34" xfId="0" applyNumberFormat="1" applyFill="1" applyBorder="1" applyAlignment="1" applyProtection="1">
      <alignment horizontal="center"/>
    </xf>
    <xf numFmtId="165" fontId="0" fillId="0" borderId="35" xfId="0" applyNumberFormat="1" applyFill="1" applyBorder="1" applyAlignment="1" applyProtection="1">
      <alignment horizontal="center"/>
    </xf>
    <xf numFmtId="165" fontId="0" fillId="0" borderId="36" xfId="0" applyNumberFormat="1" applyFill="1" applyBorder="1" applyAlignment="1" applyProtection="1">
      <alignment horizontal="center"/>
    </xf>
    <xf numFmtId="165" fontId="0" fillId="0" borderId="37" xfId="0" applyNumberFormat="1" applyFill="1" applyBorder="1" applyAlignment="1" applyProtection="1">
      <alignment horizontal="center"/>
    </xf>
    <xf numFmtId="165" fontId="0" fillId="0" borderId="38" xfId="0" applyNumberFormat="1" applyFill="1" applyBorder="1" applyAlignment="1" applyProtection="1">
      <alignment horizontal="center"/>
    </xf>
    <xf numFmtId="165" fontId="0" fillId="0" borderId="39" xfId="0" applyNumberFormat="1" applyFill="1" applyBorder="1" applyAlignment="1" applyProtection="1">
      <alignment horizontal="center"/>
    </xf>
    <xf numFmtId="165" fontId="0" fillId="0" borderId="40" xfId="0" applyNumberFormat="1" applyFill="1" applyBorder="1" applyAlignment="1" applyProtection="1">
      <alignment horizontal="center"/>
    </xf>
    <xf numFmtId="165" fontId="0" fillId="0" borderId="41" xfId="0" applyNumberFormat="1" applyFill="1" applyBorder="1" applyAlignment="1" applyProtection="1">
      <alignment horizontal="center"/>
    </xf>
    <xf numFmtId="165" fontId="0" fillId="0" borderId="42" xfId="0" applyNumberFormat="1" applyFill="1" applyBorder="1" applyAlignment="1" applyProtection="1">
      <alignment horizontal="center"/>
    </xf>
    <xf numFmtId="164" fontId="12" fillId="0" borderId="99" xfId="3" applyNumberFormat="1" applyFont="1" applyFill="1" applyBorder="1" applyAlignment="1" applyProtection="1">
      <alignment horizontal="center"/>
    </xf>
    <xf numFmtId="165" fontId="0" fillId="0" borderId="43" xfId="0" applyNumberFormat="1" applyFill="1" applyBorder="1" applyAlignment="1" applyProtection="1">
      <alignment horizontal="center"/>
    </xf>
    <xf numFmtId="165" fontId="0" fillId="0" borderId="44" xfId="0" applyNumberFormat="1" applyFill="1" applyBorder="1" applyAlignment="1" applyProtection="1">
      <alignment horizontal="center"/>
    </xf>
    <xf numFmtId="165" fontId="0" fillId="0" borderId="45" xfId="0" applyNumberFormat="1" applyFill="1" applyBorder="1" applyAlignment="1" applyProtection="1">
      <alignment horizontal="center"/>
    </xf>
    <xf numFmtId="0" fontId="9" fillId="0" borderId="94" xfId="2" applyFill="1" applyBorder="1" applyProtection="1"/>
    <xf numFmtId="0" fontId="9" fillId="0" borderId="0" xfId="2" applyFill="1" applyBorder="1" applyProtection="1"/>
    <xf numFmtId="0" fontId="9" fillId="0" borderId="95" xfId="2" applyFill="1" applyBorder="1" applyProtection="1"/>
    <xf numFmtId="0" fontId="12" fillId="0" borderId="96" xfId="2" applyFont="1" applyFill="1" applyBorder="1" applyAlignment="1" applyProtection="1">
      <alignment horizontal="center"/>
    </xf>
    <xf numFmtId="0" fontId="12" fillId="0" borderId="11" xfId="2" applyFont="1" applyFill="1" applyBorder="1" applyAlignment="1" applyProtection="1">
      <alignment horizontal="center"/>
    </xf>
    <xf numFmtId="0" fontId="12" fillId="0" borderId="12" xfId="2" applyFont="1" applyFill="1" applyBorder="1" applyAlignment="1" applyProtection="1">
      <alignment horizontal="center"/>
    </xf>
    <xf numFmtId="0" fontId="12" fillId="0" borderId="97" xfId="2" applyFont="1" applyFill="1" applyBorder="1" applyAlignment="1" applyProtection="1">
      <alignment horizontal="center"/>
    </xf>
    <xf numFmtId="165" fontId="9" fillId="0" borderId="14" xfId="2" applyNumberFormat="1" applyFont="1" applyFill="1" applyBorder="1" applyAlignment="1" applyProtection="1">
      <alignment horizontal="center"/>
    </xf>
    <xf numFmtId="165" fontId="9" fillId="0" borderId="15" xfId="2" applyNumberFormat="1" applyFont="1" applyFill="1" applyBorder="1" applyAlignment="1" applyProtection="1">
      <alignment horizontal="center"/>
    </xf>
    <xf numFmtId="0" fontId="12" fillId="0" borderId="98" xfId="2" applyFont="1" applyFill="1" applyBorder="1" applyAlignment="1" applyProtection="1">
      <alignment horizontal="center"/>
    </xf>
    <xf numFmtId="165" fontId="9" fillId="0" borderId="17" xfId="2" applyNumberFormat="1" applyFont="1" applyFill="1" applyBorder="1" applyAlignment="1" applyProtection="1">
      <alignment horizontal="center"/>
    </xf>
    <xf numFmtId="165" fontId="9" fillId="0" borderId="18" xfId="2" applyNumberFormat="1" applyFont="1" applyFill="1" applyBorder="1" applyAlignment="1" applyProtection="1">
      <alignment horizontal="center"/>
    </xf>
    <xf numFmtId="0" fontId="12" fillId="0" borderId="99" xfId="2" applyFont="1" applyFill="1" applyBorder="1" applyAlignment="1" applyProtection="1">
      <alignment horizontal="center"/>
    </xf>
    <xf numFmtId="165" fontId="9" fillId="0" borderId="20" xfId="2" applyNumberFormat="1" applyFont="1" applyFill="1" applyBorder="1" applyAlignment="1" applyProtection="1">
      <alignment horizontal="center"/>
    </xf>
    <xf numFmtId="165" fontId="9" fillId="0" borderId="21" xfId="2" applyNumberFormat="1" applyFont="1" applyFill="1" applyBorder="1" applyAlignment="1" applyProtection="1">
      <alignment horizontal="center"/>
    </xf>
    <xf numFmtId="0" fontId="9" fillId="0" borderId="100" xfId="2" applyFill="1" applyBorder="1" applyProtection="1"/>
    <xf numFmtId="0" fontId="9" fillId="0" borderId="101" xfId="2" applyFill="1" applyBorder="1" applyProtection="1"/>
    <xf numFmtId="0" fontId="9" fillId="0" borderId="102" xfId="2" applyFill="1" applyBorder="1" applyProtection="1"/>
    <xf numFmtId="0" fontId="10" fillId="0" borderId="92" xfId="3" applyFont="1" applyFill="1" applyBorder="1" applyAlignment="1" applyProtection="1">
      <alignment horizontal="center"/>
    </xf>
    <xf numFmtId="0" fontId="1" fillId="0" borderId="93" xfId="3" applyFill="1" applyBorder="1" applyProtection="1"/>
    <xf numFmtId="164" fontId="12" fillId="0" borderId="104" xfId="3" applyNumberFormat="1" applyFont="1" applyFill="1" applyBorder="1" applyAlignment="1" applyProtection="1">
      <alignment horizontal="center"/>
    </xf>
    <xf numFmtId="0" fontId="0" fillId="0" borderId="100" xfId="0" applyFill="1" applyBorder="1" applyProtection="1"/>
    <xf numFmtId="0" fontId="10" fillId="0" borderId="105" xfId="2" applyFont="1" applyFill="1" applyBorder="1" applyAlignment="1" applyProtection="1">
      <alignment horizontal="center" wrapText="1"/>
    </xf>
    <xf numFmtId="0" fontId="12" fillId="0" borderId="69" xfId="2" applyFont="1" applyFill="1" applyBorder="1" applyAlignment="1" applyProtection="1">
      <alignment horizontal="center"/>
    </xf>
    <xf numFmtId="165" fontId="9" fillId="0" borderId="71" xfId="2" applyNumberFormat="1" applyFont="1" applyFill="1" applyBorder="1" applyAlignment="1" applyProtection="1">
      <alignment horizontal="center"/>
    </xf>
    <xf numFmtId="0" fontId="11" fillId="0" borderId="0" xfId="2" applyFont="1" applyFill="1" applyBorder="1" applyProtection="1"/>
    <xf numFmtId="165" fontId="9" fillId="0" borderId="67" xfId="2" applyNumberFormat="1" applyFont="1" applyFill="1" applyBorder="1" applyAlignment="1" applyProtection="1">
      <alignment horizontal="center"/>
    </xf>
    <xf numFmtId="0" fontId="12" fillId="0" borderId="103" xfId="2" applyFont="1" applyFill="1" applyBorder="1" applyAlignment="1" applyProtection="1">
      <alignment horizontal="center"/>
    </xf>
    <xf numFmtId="165" fontId="9" fillId="0" borderId="7" xfId="2" applyNumberFormat="1" applyFont="1" applyFill="1" applyBorder="1" applyAlignment="1" applyProtection="1">
      <alignment horizontal="center"/>
    </xf>
    <xf numFmtId="0" fontId="12" fillId="0" borderId="106" xfId="2" applyFont="1" applyFill="1" applyBorder="1" applyAlignment="1" applyProtection="1">
      <alignment horizontal="center"/>
    </xf>
    <xf numFmtId="165" fontId="9" fillId="0" borderId="75" xfId="2" applyNumberFormat="1" applyFont="1" applyFill="1" applyBorder="1" applyAlignment="1" applyProtection="1">
      <alignment horizontal="center"/>
    </xf>
    <xf numFmtId="0" fontId="9" fillId="0" borderId="0" xfId="2" applyFill="1" applyProtection="1"/>
    <xf numFmtId="0" fontId="12" fillId="0" borderId="55" xfId="2" applyFont="1" applyFill="1" applyBorder="1" applyAlignment="1" applyProtection="1">
      <alignment horizontal="center"/>
    </xf>
    <xf numFmtId="165" fontId="9" fillId="0" borderId="56" xfId="2" applyNumberFormat="1" applyFont="1" applyFill="1" applyBorder="1" applyAlignment="1" applyProtection="1">
      <alignment horizontal="center"/>
    </xf>
    <xf numFmtId="165" fontId="9" fillId="0" borderId="124" xfId="2" applyNumberFormat="1" applyFont="1" applyFill="1" applyBorder="1" applyAlignment="1" applyProtection="1">
      <alignment horizontal="center"/>
    </xf>
    <xf numFmtId="165" fontId="9" fillId="0" borderId="57" xfId="2" applyNumberFormat="1" applyFont="1" applyFill="1" applyBorder="1" applyAlignment="1" applyProtection="1">
      <alignment horizontal="center"/>
    </xf>
    <xf numFmtId="165" fontId="9" fillId="0" borderId="125" xfId="2" applyNumberFormat="1" applyFont="1" applyFill="1" applyBorder="1" applyAlignment="1" applyProtection="1">
      <alignment horizontal="center"/>
    </xf>
    <xf numFmtId="165" fontId="9" fillId="0" borderId="126" xfId="2" applyNumberFormat="1" applyFont="1" applyFill="1" applyBorder="1" applyAlignment="1" applyProtection="1">
      <alignment horizontal="center"/>
    </xf>
    <xf numFmtId="165" fontId="9" fillId="0" borderId="58" xfId="2" applyNumberFormat="1" applyFont="1" applyFill="1" applyBorder="1" applyAlignment="1" applyProtection="1">
      <alignment horizontal="center"/>
    </xf>
    <xf numFmtId="165" fontId="9" fillId="0" borderId="59" xfId="2" applyNumberFormat="1" applyFont="1" applyFill="1" applyBorder="1" applyAlignment="1" applyProtection="1">
      <alignment horizontal="center"/>
    </xf>
    <xf numFmtId="165" fontId="9" fillId="0" borderId="0" xfId="2" applyNumberFormat="1" applyFont="1" applyFill="1" applyBorder="1" applyAlignment="1" applyProtection="1">
      <alignment horizontal="center"/>
    </xf>
    <xf numFmtId="165" fontId="9" fillId="0" borderId="127" xfId="2" applyNumberFormat="1" applyFont="1" applyFill="1" applyBorder="1" applyAlignment="1" applyProtection="1">
      <alignment horizontal="center"/>
    </xf>
    <xf numFmtId="165" fontId="9" fillId="0" borderId="120" xfId="2" applyNumberFormat="1" applyFont="1" applyFill="1" applyBorder="1" applyAlignment="1" applyProtection="1">
      <alignment horizontal="center"/>
    </xf>
    <xf numFmtId="165" fontId="9" fillId="0" borderId="121" xfId="2" applyNumberFormat="1" applyFont="1" applyFill="1" applyBorder="1" applyAlignment="1" applyProtection="1">
      <alignment horizontal="center"/>
    </xf>
    <xf numFmtId="165" fontId="9" fillId="0" borderId="122" xfId="2" applyNumberFormat="1" applyFont="1" applyFill="1" applyBorder="1" applyAlignment="1" applyProtection="1">
      <alignment horizontal="center"/>
    </xf>
    <xf numFmtId="165" fontId="9" fillId="0" borderId="123" xfId="2" applyNumberFormat="1" applyFont="1" applyFill="1" applyBorder="1" applyAlignment="1" applyProtection="1">
      <alignment horizontal="center"/>
    </xf>
    <xf numFmtId="0" fontId="0" fillId="0" borderId="80" xfId="0" applyFill="1" applyBorder="1" applyProtection="1"/>
    <xf numFmtId="0" fontId="0" fillId="0" borderId="75" xfId="0" applyFill="1" applyBorder="1" applyProtection="1"/>
    <xf numFmtId="0" fontId="12" fillId="0" borderId="105" xfId="2" applyFont="1" applyFill="1" applyBorder="1" applyAlignment="1" applyProtection="1">
      <alignment horizontal="center" wrapText="1"/>
    </xf>
    <xf numFmtId="0" fontId="13" fillId="0" borderId="0" xfId="0" applyFont="1" applyFill="1" applyProtection="1"/>
    <xf numFmtId="0" fontId="12" fillId="0" borderId="10" xfId="3" quotePrefix="1" applyFont="1" applyFill="1" applyBorder="1" applyAlignment="1" applyProtection="1">
      <alignment horizontal="center" vertical="center" wrapText="1"/>
    </xf>
    <xf numFmtId="164" fontId="12" fillId="0" borderId="13" xfId="3" applyNumberFormat="1" applyFont="1" applyFill="1" applyBorder="1" applyAlignment="1" applyProtection="1">
      <alignment horizontal="center"/>
    </xf>
    <xf numFmtId="164" fontId="12" fillId="0" borderId="16" xfId="3" applyNumberFormat="1" applyFont="1" applyFill="1" applyBorder="1" applyAlignment="1" applyProtection="1">
      <alignment horizontal="center"/>
    </xf>
    <xf numFmtId="164" fontId="12" fillId="0" borderId="19" xfId="3" applyNumberFormat="1" applyFont="1" applyFill="1" applyBorder="1" applyAlignment="1" applyProtection="1">
      <alignment horizontal="center"/>
    </xf>
    <xf numFmtId="0" fontId="12" fillId="0" borderId="10" xfId="2" applyFont="1" applyFill="1" applyBorder="1" applyAlignment="1" applyProtection="1">
      <alignment horizontal="center"/>
    </xf>
    <xf numFmtId="0" fontId="12" fillId="0" borderId="13" xfId="2" applyFont="1" applyFill="1" applyBorder="1" applyAlignment="1" applyProtection="1">
      <alignment horizontal="center"/>
    </xf>
    <xf numFmtId="0" fontId="12" fillId="0" borderId="16" xfId="2" applyFont="1" applyFill="1" applyBorder="1" applyAlignment="1" applyProtection="1">
      <alignment horizontal="center"/>
    </xf>
    <xf numFmtId="0" fontId="12" fillId="0" borderId="19" xfId="2" applyFont="1" applyFill="1" applyBorder="1" applyAlignment="1" applyProtection="1">
      <alignment horizontal="center"/>
    </xf>
    <xf numFmtId="164" fontId="12" fillId="0" borderId="46" xfId="3" applyNumberFormat="1" applyFont="1" applyFill="1" applyBorder="1" applyAlignment="1" applyProtection="1">
      <alignment horizontal="center"/>
    </xf>
    <xf numFmtId="0" fontId="12" fillId="0" borderId="70" xfId="2" applyFont="1" applyFill="1" applyBorder="1" applyAlignment="1" applyProtection="1">
      <alignment horizontal="center"/>
    </xf>
    <xf numFmtId="0" fontId="11" fillId="0" borderId="0" xfId="2" applyFont="1" applyFill="1" applyProtection="1"/>
    <xf numFmtId="0" fontId="12" fillId="0" borderId="72" xfId="2" applyFont="1" applyFill="1" applyBorder="1" applyAlignment="1" applyProtection="1">
      <alignment horizontal="center"/>
    </xf>
    <xf numFmtId="0" fontId="12" fillId="0" borderId="73" xfId="2" applyFont="1" applyFill="1" applyBorder="1" applyAlignment="1" applyProtection="1">
      <alignment horizontal="center"/>
    </xf>
    <xf numFmtId="0" fontId="12" fillId="0" borderId="74" xfId="2" applyFont="1" applyFill="1" applyBorder="1" applyAlignment="1" applyProtection="1">
      <alignment horizontal="center"/>
    </xf>
    <xf numFmtId="164" fontId="13" fillId="10" borderId="128" xfId="7" applyNumberFormat="1" applyFont="1" applyAlignment="1" applyProtection="1">
      <alignment horizontal="center"/>
    </xf>
    <xf numFmtId="0" fontId="1" fillId="25" borderId="1" xfId="0" applyFont="1" applyFill="1" applyBorder="1" applyAlignment="1" applyProtection="1">
      <alignment horizontal="center"/>
    </xf>
    <xf numFmtId="0" fontId="31" fillId="0" borderId="137" xfId="0" applyFont="1" applyBorder="1" applyAlignment="1" applyProtection="1">
      <alignment horizontal="center" vertical="center" wrapText="1"/>
    </xf>
    <xf numFmtId="164" fontId="52" fillId="0" borderId="0" xfId="0" applyNumberFormat="1" applyFont="1" applyFill="1" applyAlignment="1" applyProtection="1">
      <alignment horizontal="center"/>
    </xf>
    <xf numFmtId="0" fontId="31" fillId="0" borderId="63" xfId="0" applyFont="1" applyBorder="1" applyAlignment="1" applyProtection="1">
      <alignment vertical="center"/>
    </xf>
    <xf numFmtId="0" fontId="31" fillId="0" borderId="1" xfId="0" applyFont="1" applyBorder="1" applyAlignment="1" applyProtection="1">
      <alignment vertical="center"/>
    </xf>
    <xf numFmtId="0" fontId="31" fillId="0" borderId="62" xfId="0" applyFont="1" applyBorder="1" applyAlignment="1" applyProtection="1">
      <alignment vertical="center"/>
    </xf>
    <xf numFmtId="0" fontId="31" fillId="0" borderId="1" xfId="0" applyFont="1" applyFill="1" applyBorder="1" applyAlignment="1" applyProtection="1">
      <alignment vertical="center"/>
    </xf>
    <xf numFmtId="0" fontId="31" fillId="3" borderId="63" xfId="0" applyFont="1" applyFill="1" applyBorder="1" applyAlignment="1" applyProtection="1">
      <alignment horizontal="center" vertical="center" wrapText="1"/>
      <protection locked="0"/>
    </xf>
    <xf numFmtId="0" fontId="31" fillId="27" borderId="62" xfId="0" applyFont="1" applyFill="1" applyBorder="1" applyAlignment="1" applyProtection="1">
      <alignment horizontal="center" vertical="center" wrapText="1"/>
    </xf>
    <xf numFmtId="164" fontId="31" fillId="26" borderId="1" xfId="0" applyNumberFormat="1" applyFont="1" applyFill="1" applyBorder="1" applyAlignment="1" applyProtection="1">
      <alignment horizontal="center" vertical="center" wrapText="1"/>
      <protection locked="0"/>
    </xf>
    <xf numFmtId="164" fontId="31" fillId="11" borderId="128" xfId="7" applyNumberFormat="1" applyFont="1" applyFill="1" applyBorder="1" applyAlignment="1" applyProtection="1">
      <alignment horizontal="center" vertical="center" wrapText="1"/>
    </xf>
    <xf numFmtId="164" fontId="31" fillId="3" borderId="63" xfId="0" applyNumberFormat="1" applyFont="1" applyFill="1" applyBorder="1" applyAlignment="1" applyProtection="1">
      <alignment horizontal="center" vertical="center" wrapText="1"/>
      <protection locked="0"/>
    </xf>
    <xf numFmtId="0" fontId="31" fillId="26" borderId="138" xfId="0" applyFont="1" applyFill="1" applyBorder="1" applyAlignment="1" applyProtection="1">
      <alignment horizontal="center" vertical="center" wrapText="1"/>
      <protection locked="0"/>
    </xf>
    <xf numFmtId="0" fontId="31" fillId="26" borderId="1" xfId="0" applyFont="1" applyFill="1" applyBorder="1" applyAlignment="1" applyProtection="1">
      <alignment horizontal="center" vertical="center" wrapText="1"/>
      <protection locked="0"/>
    </xf>
    <xf numFmtId="164" fontId="31" fillId="19" borderId="1" xfId="0" applyNumberFormat="1" applyFont="1" applyFill="1" applyBorder="1" applyAlignment="1" applyProtection="1">
      <alignment horizontal="center" vertical="center" wrapText="1"/>
    </xf>
    <xf numFmtId="165" fontId="31" fillId="11" borderId="63" xfId="0" applyNumberFormat="1" applyFont="1" applyFill="1" applyBorder="1" applyAlignment="1" applyProtection="1">
      <alignment horizontal="center" vertical="center" wrapText="1"/>
    </xf>
    <xf numFmtId="165" fontId="31" fillId="11" borderId="1" xfId="0" applyNumberFormat="1" applyFont="1" applyFill="1" applyBorder="1" applyAlignment="1" applyProtection="1">
      <alignment horizontal="center" vertical="center" wrapText="1"/>
    </xf>
    <xf numFmtId="2" fontId="31" fillId="11" borderId="62" xfId="0" applyNumberFormat="1" applyFont="1" applyFill="1" applyBorder="1" applyAlignment="1" applyProtection="1">
      <alignment horizontal="center" vertical="center" wrapText="1"/>
    </xf>
    <xf numFmtId="0" fontId="51" fillId="0" borderId="138" xfId="0" applyFont="1" applyFill="1" applyBorder="1" applyAlignment="1" applyProtection="1">
      <alignment horizontal="center" vertical="center"/>
      <protection locked="0"/>
    </xf>
    <xf numFmtId="164" fontId="31" fillId="0" borderId="1" xfId="0" applyNumberFormat="1" applyFont="1" applyFill="1" applyBorder="1" applyAlignment="1" applyProtection="1">
      <alignment horizontal="center" vertical="center" wrapText="1"/>
    </xf>
    <xf numFmtId="0" fontId="31" fillId="0" borderId="5" xfId="0" applyFont="1" applyBorder="1" applyAlignment="1" applyProtection="1">
      <alignment vertical="center"/>
    </xf>
    <xf numFmtId="164" fontId="31" fillId="26" borderId="5" xfId="0" applyNumberFormat="1" applyFont="1" applyFill="1" applyBorder="1" applyAlignment="1" applyProtection="1">
      <alignment horizontal="center" vertical="center" wrapText="1"/>
      <protection locked="0"/>
    </xf>
    <xf numFmtId="0" fontId="31" fillId="0" borderId="5" xfId="0" applyFont="1" applyBorder="1" applyProtection="1"/>
    <xf numFmtId="164" fontId="31" fillId="26" borderId="5" xfId="0" applyNumberFormat="1" applyFont="1" applyFill="1" applyBorder="1" applyAlignment="1" applyProtection="1">
      <alignment horizontal="center"/>
      <protection locked="0"/>
    </xf>
    <xf numFmtId="0" fontId="31" fillId="0" borderId="1" xfId="0" applyFont="1" applyBorder="1" applyAlignment="1" applyProtection="1"/>
    <xf numFmtId="0" fontId="0" fillId="15" borderId="7" xfId="0" applyFill="1" applyBorder="1" applyAlignment="1" applyProtection="1"/>
    <xf numFmtId="0" fontId="0" fillId="28" borderId="8" xfId="0" applyFill="1" applyBorder="1" applyAlignment="1" applyProtection="1"/>
    <xf numFmtId="164" fontId="53" fillId="0" borderId="1" xfId="0" applyNumberFormat="1" applyFont="1" applyBorder="1" applyAlignment="1" applyProtection="1">
      <alignment horizontal="center"/>
    </xf>
    <xf numFmtId="164" fontId="13" fillId="25" borderId="0" xfId="0" applyNumberFormat="1" applyFont="1" applyFill="1" applyAlignment="1" applyProtection="1">
      <alignment horizontal="center"/>
    </xf>
    <xf numFmtId="164" fontId="54" fillId="0" borderId="0" xfId="0" applyNumberFormat="1" applyFont="1" applyFill="1" applyAlignment="1" applyProtection="1">
      <alignment horizontal="center"/>
    </xf>
    <xf numFmtId="165" fontId="48" fillId="26" borderId="1" xfId="0" applyNumberFormat="1" applyFont="1" applyFill="1" applyBorder="1" applyAlignment="1" applyProtection="1">
      <alignment horizontal="center" vertical="center" wrapText="1"/>
      <protection locked="0"/>
    </xf>
    <xf numFmtId="164" fontId="48" fillId="10" borderId="128" xfId="7" applyNumberFormat="1" applyFont="1" applyBorder="1" applyAlignment="1" applyProtection="1">
      <alignment horizontal="center" vertical="center" wrapText="1"/>
    </xf>
    <xf numFmtId="164" fontId="48" fillId="18" borderId="147" xfId="7" applyNumberFormat="1" applyFont="1" applyFill="1" applyBorder="1" applyAlignment="1" applyProtection="1">
      <alignment horizontal="center" vertical="center" wrapText="1"/>
    </xf>
    <xf numFmtId="164" fontId="48" fillId="18" borderId="147" xfId="0" applyNumberFormat="1" applyFont="1" applyFill="1" applyBorder="1" applyAlignment="1" applyProtection="1">
      <alignment horizontal="center" vertical="center" wrapText="1"/>
    </xf>
    <xf numFmtId="164" fontId="48" fillId="10" borderId="142" xfId="7" applyNumberFormat="1" applyFont="1" applyBorder="1" applyAlignment="1" applyProtection="1">
      <alignment horizontal="center" vertical="center" wrapText="1"/>
    </xf>
    <xf numFmtId="164" fontId="48" fillId="10" borderId="62" xfId="7" applyNumberFormat="1" applyFont="1" applyBorder="1" applyAlignment="1" applyProtection="1">
      <alignment horizontal="center" vertical="center" wrapText="1"/>
    </xf>
    <xf numFmtId="164" fontId="48" fillId="18" borderId="47" xfId="0" applyNumberFormat="1" applyFont="1" applyFill="1" applyBorder="1" applyAlignment="1" applyProtection="1">
      <alignment horizontal="center" vertical="center" wrapText="1"/>
    </xf>
    <xf numFmtId="165" fontId="48" fillId="18" borderId="63" xfId="0" applyNumberFormat="1" applyFont="1" applyFill="1" applyBorder="1" applyAlignment="1" applyProtection="1">
      <alignment horizontal="center" vertical="center" wrapText="1"/>
    </xf>
    <xf numFmtId="164" fontId="48" fillId="18" borderId="1" xfId="0" applyNumberFormat="1" applyFont="1" applyFill="1" applyBorder="1" applyAlignment="1" applyProtection="1">
      <alignment horizontal="center" vertical="center" wrapText="1"/>
    </xf>
    <xf numFmtId="1" fontId="48" fillId="18" borderId="62" xfId="0" applyNumberFormat="1" applyFont="1" applyFill="1" applyBorder="1" applyAlignment="1" applyProtection="1">
      <alignment horizontal="center" vertical="center" wrapText="1"/>
    </xf>
    <xf numFmtId="0" fontId="31" fillId="0" borderId="92" xfId="0" applyFont="1" applyFill="1" applyBorder="1" applyProtection="1"/>
    <xf numFmtId="0" fontId="31" fillId="0" borderId="92" xfId="0" applyFont="1" applyFill="1" applyBorder="1" applyAlignment="1" applyProtection="1">
      <alignment horizontal="center"/>
    </xf>
    <xf numFmtId="0" fontId="31" fillId="0" borderId="101" xfId="0" applyFont="1" applyFill="1" applyBorder="1" applyProtection="1"/>
    <xf numFmtId="0" fontId="31" fillId="0" borderId="165" xfId="0" applyFont="1" applyFill="1" applyBorder="1" applyAlignment="1" applyProtection="1">
      <alignment vertical="center"/>
    </xf>
    <xf numFmtId="164" fontId="31" fillId="0" borderId="165" xfId="0" applyNumberFormat="1" applyFont="1" applyFill="1" applyBorder="1" applyAlignment="1" applyProtection="1">
      <alignment horizontal="center" vertical="center" wrapText="1"/>
    </xf>
    <xf numFmtId="0" fontId="31" fillId="17" borderId="165" xfId="0" applyFont="1" applyFill="1" applyBorder="1" applyAlignment="1" applyProtection="1">
      <alignment vertical="center"/>
    </xf>
    <xf numFmtId="0" fontId="31" fillId="17" borderId="165" xfId="0" applyFont="1" applyFill="1" applyBorder="1" applyAlignment="1" applyProtection="1">
      <alignment horizontal="center" vertical="center" wrapText="1"/>
    </xf>
    <xf numFmtId="0" fontId="31" fillId="0" borderId="92" xfId="0" applyFont="1" applyFill="1" applyBorder="1" applyAlignment="1" applyProtection="1">
      <alignment vertical="center"/>
    </xf>
    <xf numFmtId="165" fontId="41" fillId="0" borderId="92" xfId="0" applyNumberFormat="1" applyFont="1" applyFill="1" applyBorder="1" applyAlignment="1" applyProtection="1">
      <alignment horizontal="center" vertical="center" wrapText="1"/>
    </xf>
    <xf numFmtId="0" fontId="31" fillId="0" borderId="101" xfId="0" applyFont="1" applyFill="1" applyBorder="1" applyAlignment="1" applyProtection="1">
      <alignment vertical="center"/>
    </xf>
    <xf numFmtId="165" fontId="41" fillId="0" borderId="101" xfId="0" applyNumberFormat="1" applyFont="1" applyFill="1" applyBorder="1" applyAlignment="1" applyProtection="1">
      <alignment horizontal="center" vertical="center" wrapText="1"/>
    </xf>
    <xf numFmtId="0" fontId="31" fillId="0" borderId="166" xfId="0" applyFont="1" applyFill="1" applyBorder="1" applyAlignment="1" applyProtection="1">
      <alignment vertical="center"/>
    </xf>
    <xf numFmtId="0" fontId="31" fillId="0" borderId="166" xfId="0" applyFont="1" applyFill="1" applyBorder="1" applyAlignment="1" applyProtection="1">
      <alignment horizontal="center" vertical="center" wrapText="1"/>
    </xf>
    <xf numFmtId="0" fontId="1" fillId="0" borderId="158" xfId="0" applyFont="1" applyFill="1" applyBorder="1" applyAlignment="1" applyProtection="1">
      <alignment horizontal="center"/>
    </xf>
    <xf numFmtId="0" fontId="1" fillId="0" borderId="115" xfId="0" applyFont="1" applyFill="1" applyBorder="1" applyAlignment="1" applyProtection="1">
      <alignment horizontal="center"/>
    </xf>
    <xf numFmtId="0" fontId="1" fillId="0" borderId="160" xfId="0" applyFont="1" applyFill="1" applyBorder="1" applyAlignment="1" applyProtection="1">
      <alignment horizontal="center"/>
    </xf>
    <xf numFmtId="164" fontId="1" fillId="0" borderId="156" xfId="0" applyNumberFormat="1" applyFont="1" applyFill="1" applyBorder="1" applyAlignment="1" applyProtection="1">
      <alignment horizontal="center"/>
    </xf>
    <xf numFmtId="164" fontId="1" fillId="0" borderId="92" xfId="0" applyNumberFormat="1" applyFont="1" applyFill="1" applyBorder="1" applyAlignment="1" applyProtection="1">
      <alignment horizontal="center"/>
    </xf>
    <xf numFmtId="164" fontId="1" fillId="0" borderId="161" xfId="0" applyNumberFormat="1" applyFont="1" applyFill="1" applyBorder="1" applyAlignment="1" applyProtection="1">
      <alignment horizontal="center"/>
    </xf>
    <xf numFmtId="164" fontId="1" fillId="0" borderId="155" xfId="0" applyNumberFormat="1" applyFont="1" applyFill="1" applyBorder="1" applyAlignment="1" applyProtection="1">
      <alignment horizontal="center"/>
    </xf>
    <xf numFmtId="164" fontId="1" fillId="0" borderId="162" xfId="0" applyNumberFormat="1" applyFont="1" applyFill="1" applyBorder="1" applyAlignment="1" applyProtection="1">
      <alignment horizontal="center"/>
    </xf>
    <xf numFmtId="1" fontId="1" fillId="0" borderId="155" xfId="0" applyNumberFormat="1" applyFont="1" applyFill="1" applyBorder="1" applyAlignment="1" applyProtection="1">
      <alignment horizontal="center"/>
    </xf>
    <xf numFmtId="1" fontId="1" fillId="0" borderId="0" xfId="0" applyNumberFormat="1" applyFont="1" applyFill="1" applyBorder="1" applyAlignment="1" applyProtection="1">
      <alignment horizontal="center"/>
    </xf>
    <xf numFmtId="1" fontId="1" fillId="0" borderId="162" xfId="0" applyNumberFormat="1" applyFont="1" applyFill="1" applyBorder="1" applyAlignment="1" applyProtection="1">
      <alignment horizontal="center"/>
    </xf>
    <xf numFmtId="0" fontId="1" fillId="0" borderId="155"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1" fillId="0" borderId="162" xfId="0" applyNumberFormat="1" applyFont="1" applyFill="1" applyBorder="1" applyAlignment="1" applyProtection="1">
      <alignment horizontal="center"/>
    </xf>
    <xf numFmtId="164" fontId="1" fillId="0" borderId="157" xfId="0" applyNumberFormat="1" applyFont="1" applyFill="1" applyBorder="1" applyAlignment="1" applyProtection="1">
      <alignment horizontal="center"/>
    </xf>
    <xf numFmtId="164" fontId="1" fillId="0" borderId="51" xfId="0" applyNumberFormat="1" applyFont="1" applyFill="1" applyBorder="1" applyAlignment="1" applyProtection="1">
      <alignment horizontal="center"/>
    </xf>
    <xf numFmtId="164" fontId="1" fillId="0" borderId="163" xfId="0" applyNumberFormat="1" applyFont="1" applyFill="1" applyBorder="1" applyAlignment="1" applyProtection="1">
      <alignment horizontal="center"/>
    </xf>
    <xf numFmtId="2" fontId="1" fillId="0" borderId="159" xfId="0" applyNumberFormat="1" applyFont="1" applyFill="1" applyBorder="1" applyAlignment="1" applyProtection="1">
      <alignment horizontal="center"/>
    </xf>
    <xf numFmtId="2" fontId="1" fillId="0" borderId="77" xfId="0" applyNumberFormat="1" applyFont="1" applyFill="1" applyBorder="1" applyAlignment="1" applyProtection="1">
      <alignment horizontal="center"/>
    </xf>
    <xf numFmtId="2" fontId="1" fillId="0" borderId="164" xfId="0" applyNumberFormat="1" applyFont="1" applyFill="1" applyBorder="1" applyAlignment="1" applyProtection="1">
      <alignment horizontal="center"/>
    </xf>
    <xf numFmtId="165" fontId="1" fillId="0" borderId="155" xfId="0" applyNumberFormat="1" applyFont="1" applyFill="1" applyBorder="1" applyAlignment="1" applyProtection="1">
      <alignment horizontal="center"/>
    </xf>
    <xf numFmtId="165" fontId="1" fillId="0" borderId="0" xfId="0" applyNumberFormat="1" applyFont="1" applyFill="1" applyBorder="1" applyAlignment="1" applyProtection="1">
      <alignment horizontal="center"/>
    </xf>
    <xf numFmtId="165" fontId="1" fillId="0" borderId="162" xfId="0" applyNumberFormat="1" applyFont="1" applyFill="1" applyBorder="1" applyAlignment="1" applyProtection="1">
      <alignment horizontal="center"/>
    </xf>
    <xf numFmtId="1" fontId="6" fillId="0" borderId="157" xfId="0" applyNumberFormat="1" applyFont="1" applyFill="1" applyBorder="1" applyAlignment="1" applyProtection="1">
      <alignment horizontal="center"/>
    </xf>
    <xf numFmtId="1" fontId="6" fillId="0" borderId="51" xfId="0" applyNumberFormat="1" applyFont="1" applyFill="1" applyBorder="1" applyAlignment="1" applyProtection="1">
      <alignment horizontal="center"/>
    </xf>
    <xf numFmtId="1" fontId="6" fillId="0" borderId="163" xfId="0" applyNumberFormat="1" applyFont="1" applyFill="1" applyBorder="1" applyAlignment="1" applyProtection="1">
      <alignment horizontal="center"/>
    </xf>
    <xf numFmtId="0" fontId="0" fillId="11" borderId="0" xfId="0" applyFill="1" applyBorder="1" applyProtection="1"/>
    <xf numFmtId="0" fontId="0" fillId="31" borderId="0" xfId="0" applyFill="1" applyBorder="1" applyProtection="1"/>
    <xf numFmtId="0" fontId="0" fillId="31" borderId="7" xfId="0" applyFill="1" applyBorder="1" applyProtection="1"/>
    <xf numFmtId="0" fontId="0" fillId="32" borderId="0" xfId="0" applyFill="1" applyBorder="1" applyProtection="1"/>
    <xf numFmtId="0" fontId="0" fillId="32" borderId="7" xfId="0" applyFill="1" applyBorder="1" applyProtection="1"/>
    <xf numFmtId="2" fontId="0" fillId="32" borderId="0" xfId="0" applyNumberFormat="1" applyFill="1" applyBorder="1" applyProtection="1"/>
    <xf numFmtId="2" fontId="0" fillId="32" borderId="7" xfId="0" applyNumberFormat="1" applyFill="1" applyBorder="1" applyProtection="1"/>
    <xf numFmtId="0" fontId="0" fillId="32" borderId="77" xfId="0" applyFill="1" applyBorder="1" applyProtection="1"/>
    <xf numFmtId="0" fontId="0" fillId="32" borderId="79" xfId="0" applyFill="1" applyBorder="1" applyProtection="1"/>
    <xf numFmtId="0" fontId="0" fillId="14" borderId="0" xfId="0" applyFill="1" applyBorder="1" applyAlignment="1" applyProtection="1"/>
    <xf numFmtId="0" fontId="0" fillId="24" borderId="0" xfId="0" applyFill="1" applyBorder="1" applyProtection="1"/>
    <xf numFmtId="167" fontId="0" fillId="0" borderId="0" xfId="0" applyNumberFormat="1" applyProtection="1"/>
    <xf numFmtId="0" fontId="20" fillId="0" borderId="0" xfId="0" applyFont="1" applyBorder="1" applyAlignment="1" applyProtection="1">
      <alignment horizontal="left"/>
    </xf>
    <xf numFmtId="165" fontId="48" fillId="10" borderId="128" xfId="7" applyNumberFormat="1" applyFont="1" applyBorder="1" applyAlignment="1" applyProtection="1">
      <alignment horizontal="center"/>
    </xf>
    <xf numFmtId="0" fontId="0" fillId="31" borderId="51" xfId="0" applyFill="1" applyBorder="1" applyProtection="1"/>
    <xf numFmtId="0" fontId="0" fillId="31" borderId="75" xfId="0" applyFill="1" applyBorder="1" applyProtection="1"/>
    <xf numFmtId="0" fontId="1" fillId="0" borderId="78" xfId="0" applyFont="1" applyBorder="1" applyProtection="1"/>
    <xf numFmtId="0" fontId="1" fillId="0" borderId="86" xfId="0" applyFont="1" applyBorder="1" applyProtection="1"/>
    <xf numFmtId="0" fontId="6" fillId="0" borderId="91" xfId="0" applyFont="1" applyBorder="1" applyAlignment="1" applyProtection="1">
      <alignment vertical="center" textRotation="90" wrapText="1"/>
    </xf>
    <xf numFmtId="0" fontId="0" fillId="0" borderId="91" xfId="0" applyBorder="1" applyProtection="1"/>
    <xf numFmtId="0" fontId="0" fillId="2" borderId="7" xfId="0" applyFill="1" applyBorder="1" applyProtection="1"/>
    <xf numFmtId="165" fontId="0" fillId="2" borderId="0" xfId="0" applyNumberFormat="1" applyFill="1" applyBorder="1" applyProtection="1"/>
    <xf numFmtId="165" fontId="0" fillId="2" borderId="7" xfId="0" applyNumberFormat="1" applyFill="1" applyBorder="1" applyProtection="1"/>
    <xf numFmtId="0" fontId="0" fillId="11" borderId="7" xfId="0" applyFill="1" applyBorder="1" applyProtection="1"/>
    <xf numFmtId="165" fontId="1" fillId="14" borderId="51" xfId="0" applyNumberFormat="1" applyFont="1" applyFill="1" applyBorder="1" applyProtection="1"/>
    <xf numFmtId="165" fontId="1" fillId="14" borderId="75" xfId="0" applyNumberFormat="1" applyFont="1" applyFill="1" applyBorder="1" applyProtection="1"/>
    <xf numFmtId="164" fontId="0" fillId="32" borderId="0" xfId="0" applyNumberFormat="1" applyFill="1" applyBorder="1" applyProtection="1"/>
    <xf numFmtId="164" fontId="0" fillId="32" borderId="7" xfId="0" applyNumberFormat="1" applyFill="1" applyBorder="1" applyProtection="1"/>
    <xf numFmtId="0" fontId="0" fillId="24" borderId="77" xfId="0" applyFill="1" applyBorder="1" applyProtection="1"/>
    <xf numFmtId="0" fontId="0" fillId="24" borderId="79" xfId="0" applyFill="1" applyBorder="1" applyProtection="1"/>
    <xf numFmtId="0" fontId="0" fillId="24" borderId="7" xfId="0" applyFill="1" applyBorder="1" applyProtection="1"/>
    <xf numFmtId="165" fontId="0" fillId="24" borderId="0" xfId="0" applyNumberFormat="1" applyFill="1" applyBorder="1" applyProtection="1"/>
    <xf numFmtId="165" fontId="0" fillId="24" borderId="7" xfId="0" applyNumberFormat="1" applyFill="1" applyBorder="1" applyProtection="1"/>
    <xf numFmtId="165" fontId="1" fillId="24" borderId="51" xfId="0" applyNumberFormat="1" applyFont="1" applyFill="1" applyBorder="1" applyProtection="1"/>
    <xf numFmtId="165" fontId="1" fillId="24" borderId="75" xfId="0" applyNumberFormat="1" applyFont="1" applyFill="1" applyBorder="1" applyProtection="1"/>
    <xf numFmtId="0" fontId="31" fillId="26" borderId="111" xfId="0" applyFont="1" applyFill="1" applyBorder="1" applyAlignment="1" applyProtection="1">
      <alignment horizontal="center"/>
    </xf>
    <xf numFmtId="0" fontId="31" fillId="0" borderId="129" xfId="0" applyFont="1" applyBorder="1" applyProtection="1"/>
    <xf numFmtId="0" fontId="31" fillId="0" borderId="132" xfId="0" applyFont="1" applyBorder="1" applyProtection="1"/>
    <xf numFmtId="0" fontId="31" fillId="0" borderId="88" xfId="0" applyFont="1" applyFill="1" applyBorder="1" applyProtection="1"/>
    <xf numFmtId="0" fontId="31" fillId="0" borderId="51" xfId="0" applyFont="1" applyBorder="1" applyProtection="1"/>
    <xf numFmtId="0" fontId="31" fillId="0" borderId="0" xfId="0" applyFont="1" applyFill="1" applyBorder="1" applyAlignment="1" applyProtection="1"/>
    <xf numFmtId="0" fontId="13" fillId="0" borderId="110" xfId="0" applyFont="1" applyBorder="1" applyAlignment="1" applyProtection="1">
      <alignment horizontal="center"/>
    </xf>
    <xf numFmtId="0" fontId="31" fillId="0" borderId="88" xfId="0" applyFont="1" applyBorder="1" applyProtection="1"/>
    <xf numFmtId="0" fontId="31" fillId="0" borderId="75" xfId="0" applyFont="1" applyBorder="1" applyAlignment="1" applyProtection="1">
      <alignment horizontal="center"/>
    </xf>
    <xf numFmtId="0" fontId="31" fillId="0" borderId="107" xfId="0" applyFont="1" applyBorder="1" applyAlignment="1" applyProtection="1">
      <alignment horizontal="center"/>
    </xf>
    <xf numFmtId="0" fontId="31" fillId="0" borderId="65" xfId="0" applyFont="1" applyBorder="1" applyProtection="1"/>
    <xf numFmtId="0" fontId="31" fillId="5" borderId="65" xfId="0" applyFont="1" applyFill="1" applyBorder="1" applyAlignment="1" applyProtection="1">
      <alignment horizontal="center"/>
    </xf>
    <xf numFmtId="164" fontId="31" fillId="5" borderId="65" xfId="0" applyNumberFormat="1" applyFont="1" applyFill="1" applyBorder="1" applyAlignment="1" applyProtection="1">
      <alignment horizontal="center"/>
    </xf>
    <xf numFmtId="2" fontId="31" fillId="5" borderId="65" xfId="0" applyNumberFormat="1" applyFont="1" applyFill="1" applyBorder="1" applyAlignment="1" applyProtection="1">
      <alignment horizontal="center"/>
    </xf>
    <xf numFmtId="165" fontId="61" fillId="0" borderId="65" xfId="0" applyNumberFormat="1" applyFont="1" applyBorder="1" applyProtection="1"/>
    <xf numFmtId="0" fontId="31" fillId="0" borderId="66" xfId="0" applyFont="1" applyBorder="1" applyProtection="1"/>
    <xf numFmtId="165" fontId="61" fillId="0" borderId="66" xfId="0" applyNumberFormat="1" applyFont="1" applyBorder="1" applyProtection="1"/>
    <xf numFmtId="0" fontId="31" fillId="0" borderId="64" xfId="0" applyFont="1" applyBorder="1" applyProtection="1"/>
    <xf numFmtId="0" fontId="31" fillId="30" borderId="67" xfId="0" applyFont="1" applyFill="1" applyBorder="1" applyProtection="1"/>
    <xf numFmtId="0" fontId="31" fillId="30" borderId="108" xfId="0" applyFont="1" applyFill="1" applyBorder="1" applyProtection="1"/>
    <xf numFmtId="0" fontId="31" fillId="30" borderId="108" xfId="0" applyFont="1" applyFill="1" applyBorder="1" applyAlignment="1" applyProtection="1">
      <alignment horizontal="center"/>
    </xf>
    <xf numFmtId="0" fontId="31" fillId="30" borderId="4" xfId="0" applyFont="1" applyFill="1" applyBorder="1" applyAlignment="1" applyProtection="1">
      <alignment horizontal="center"/>
    </xf>
    <xf numFmtId="0" fontId="31" fillId="30" borderId="4" xfId="0" applyFont="1" applyFill="1" applyBorder="1" applyProtection="1"/>
    <xf numFmtId="165" fontId="61" fillId="30" borderId="109" xfId="0" applyNumberFormat="1" applyFont="1" applyFill="1" applyBorder="1" applyProtection="1"/>
    <xf numFmtId="0" fontId="31" fillId="0" borderId="48" xfId="0" applyFont="1" applyBorder="1" applyProtection="1"/>
    <xf numFmtId="0" fontId="31" fillId="7" borderId="1" xfId="0" applyFont="1" applyFill="1" applyBorder="1" applyAlignment="1" applyProtection="1">
      <alignment horizontal="center"/>
    </xf>
    <xf numFmtId="0" fontId="31" fillId="25" borderId="4" xfId="0" applyFont="1" applyFill="1" applyBorder="1" applyAlignment="1" applyProtection="1">
      <alignment horizontal="center"/>
    </xf>
    <xf numFmtId="0" fontId="31" fillId="0" borderId="49" xfId="0" applyFont="1" applyBorder="1" applyProtection="1"/>
    <xf numFmtId="0" fontId="31" fillId="7" borderId="2" xfId="0" applyFont="1" applyFill="1" applyBorder="1" applyAlignment="1" applyProtection="1">
      <alignment horizontal="center"/>
    </xf>
    <xf numFmtId="0" fontId="31" fillId="25" borderId="3" xfId="0" applyFont="1" applyFill="1" applyBorder="1" applyAlignment="1" applyProtection="1">
      <alignment horizontal="center"/>
    </xf>
    <xf numFmtId="0" fontId="62" fillId="23" borderId="1" xfId="7" applyFont="1" applyFill="1" applyBorder="1" applyAlignment="1" applyProtection="1">
      <alignment horizontal="center"/>
    </xf>
    <xf numFmtId="0" fontId="31" fillId="7" borderId="4" xfId="0" applyFont="1" applyFill="1" applyBorder="1" applyAlignment="1" applyProtection="1">
      <alignment horizontal="center"/>
    </xf>
    <xf numFmtId="0" fontId="31" fillId="12" borderId="2" xfId="0" applyFont="1" applyFill="1" applyBorder="1" applyAlignment="1" applyProtection="1">
      <alignment horizontal="center"/>
    </xf>
    <xf numFmtId="0" fontId="31" fillId="12" borderId="3" xfId="0" applyFont="1" applyFill="1" applyBorder="1" applyAlignment="1" applyProtection="1">
      <alignment horizontal="center"/>
    </xf>
    <xf numFmtId="0" fontId="62" fillId="23" borderId="4" xfId="7" applyFont="1" applyFill="1" applyBorder="1" applyAlignment="1" applyProtection="1">
      <alignment horizontal="center"/>
    </xf>
    <xf numFmtId="0" fontId="13" fillId="20" borderId="76" xfId="0" applyFont="1" applyFill="1" applyBorder="1" applyAlignment="1" applyProtection="1"/>
    <xf numFmtId="1" fontId="31" fillId="3" borderId="65" xfId="0" applyNumberFormat="1" applyFont="1" applyFill="1" applyBorder="1" applyProtection="1"/>
    <xf numFmtId="1" fontId="31" fillId="3" borderId="66" xfId="0" applyNumberFormat="1" applyFont="1" applyFill="1" applyBorder="1" applyProtection="1"/>
    <xf numFmtId="0" fontId="31" fillId="0" borderId="48" xfId="0" applyFont="1" applyFill="1" applyBorder="1" applyProtection="1"/>
    <xf numFmtId="0" fontId="31" fillId="8" borderId="4" xfId="0" applyFont="1" applyFill="1" applyBorder="1" applyAlignment="1" applyProtection="1"/>
    <xf numFmtId="0" fontId="31" fillId="0" borderId="49" xfId="0" applyFont="1" applyFill="1" applyBorder="1" applyProtection="1"/>
    <xf numFmtId="0" fontId="31" fillId="6" borderId="3" xfId="0" applyFont="1" applyFill="1" applyBorder="1" applyAlignment="1" applyProtection="1">
      <protection locked="0"/>
    </xf>
    <xf numFmtId="1" fontId="13" fillId="2" borderId="48" xfId="0" applyNumberFormat="1" applyFont="1" applyFill="1" applyBorder="1" applyAlignment="1" applyProtection="1">
      <alignment horizontal="center"/>
    </xf>
    <xf numFmtId="1" fontId="13" fillId="2" borderId="1" xfId="0" applyNumberFormat="1" applyFont="1" applyFill="1" applyBorder="1" applyAlignment="1" applyProtection="1">
      <alignment horizontal="center"/>
    </xf>
    <xf numFmtId="1" fontId="13" fillId="2" borderId="4" xfId="0" applyNumberFormat="1" applyFont="1" applyFill="1" applyBorder="1" applyAlignment="1" applyProtection="1">
      <alignment horizontal="center"/>
    </xf>
    <xf numFmtId="1" fontId="31" fillId="2" borderId="1" xfId="0" applyNumberFormat="1" applyFont="1" applyFill="1" applyBorder="1" applyAlignment="1" applyProtection="1">
      <alignment horizontal="center"/>
    </xf>
    <xf numFmtId="1" fontId="31" fillId="2" borderId="4" xfId="0" applyNumberFormat="1" applyFont="1" applyFill="1" applyBorder="1" applyAlignment="1" applyProtection="1">
      <alignment horizontal="center"/>
    </xf>
    <xf numFmtId="1" fontId="13" fillId="2" borderId="49" xfId="0" applyNumberFormat="1" applyFont="1" applyFill="1" applyBorder="1" applyAlignment="1" applyProtection="1">
      <alignment horizontal="center"/>
    </xf>
    <xf numFmtId="1" fontId="31" fillId="2" borderId="2" xfId="0" applyNumberFormat="1" applyFont="1" applyFill="1" applyBorder="1" applyAlignment="1" applyProtection="1">
      <alignment horizontal="center"/>
    </xf>
    <xf numFmtId="1" fontId="31" fillId="2" borderId="3" xfId="0" applyNumberFormat="1" applyFont="1" applyFill="1" applyBorder="1" applyAlignment="1" applyProtection="1">
      <alignment horizontal="center"/>
    </xf>
    <xf numFmtId="0" fontId="31" fillId="3" borderId="65" xfId="0" applyFont="1" applyFill="1" applyBorder="1" applyProtection="1"/>
    <xf numFmtId="0" fontId="31" fillId="3" borderId="66" xfId="0" applyFont="1" applyFill="1" applyBorder="1" applyProtection="1"/>
    <xf numFmtId="0" fontId="61" fillId="21" borderId="1" xfId="0" applyFont="1" applyFill="1" applyBorder="1" applyAlignment="1" applyProtection="1">
      <alignment horizontal="center"/>
    </xf>
    <xf numFmtId="0" fontId="31" fillId="6" borderId="1" xfId="0" applyFont="1" applyFill="1" applyBorder="1" applyAlignment="1" applyProtection="1">
      <alignment horizontal="center"/>
      <protection locked="0"/>
    </xf>
    <xf numFmtId="0" fontId="31" fillId="22" borderId="1" xfId="0" applyFont="1" applyFill="1" applyBorder="1" applyAlignment="1" applyProtection="1">
      <alignment horizontal="center"/>
    </xf>
    <xf numFmtId="0" fontId="1" fillId="7" borderId="1" xfId="0" applyFont="1" applyFill="1" applyBorder="1" applyAlignment="1" applyProtection="1">
      <alignment horizontal="center"/>
    </xf>
    <xf numFmtId="0" fontId="1" fillId="15" borderId="50" xfId="0" applyFont="1" applyFill="1" applyBorder="1" applyAlignment="1" applyProtection="1">
      <alignment horizontal="center"/>
      <protection locked="0"/>
    </xf>
    <xf numFmtId="0" fontId="1" fillId="16" borderId="4" xfId="0" applyFont="1" applyFill="1" applyBorder="1" applyProtection="1"/>
    <xf numFmtId="0" fontId="1" fillId="7" borderId="4" xfId="0" applyFont="1" applyFill="1" applyBorder="1" applyAlignment="1" applyProtection="1">
      <alignment horizontal="center"/>
    </xf>
    <xf numFmtId="0" fontId="1" fillId="12" borderId="4" xfId="0" applyFont="1" applyFill="1" applyBorder="1" applyAlignment="1" applyProtection="1">
      <alignment horizontal="center"/>
    </xf>
    <xf numFmtId="164" fontId="26" fillId="23" borderId="4" xfId="0" applyNumberFormat="1" applyFont="1" applyFill="1" applyBorder="1" applyAlignment="1" applyProtection="1">
      <alignment horizontal="center"/>
    </xf>
    <xf numFmtId="165" fontId="26" fillId="23" borderId="4" xfId="0" applyNumberFormat="1" applyFont="1" applyFill="1" applyBorder="1" applyAlignment="1" applyProtection="1">
      <alignment horizontal="center"/>
    </xf>
    <xf numFmtId="164" fontId="26" fillId="23" borderId="3" xfId="0" applyNumberFormat="1" applyFont="1" applyFill="1" applyBorder="1" applyAlignment="1" applyProtection="1">
      <alignment horizontal="center"/>
    </xf>
    <xf numFmtId="0" fontId="61" fillId="21" borderId="4" xfId="0" applyFont="1" applyFill="1" applyBorder="1" applyAlignment="1" applyProtection="1">
      <alignment horizontal="center"/>
    </xf>
    <xf numFmtId="0" fontId="31" fillId="6" borderId="4" xfId="0" applyFont="1" applyFill="1" applyBorder="1" applyAlignment="1" applyProtection="1">
      <alignment horizontal="center"/>
      <protection locked="0"/>
    </xf>
    <xf numFmtId="0" fontId="31" fillId="22" borderId="4" xfId="0" applyFont="1" applyFill="1" applyBorder="1" applyAlignment="1" applyProtection="1">
      <alignment horizontal="center"/>
    </xf>
    <xf numFmtId="0" fontId="1" fillId="16" borderId="3" xfId="0" applyFont="1" applyFill="1" applyBorder="1" applyProtection="1"/>
    <xf numFmtId="0" fontId="1" fillId="7" borderId="1" xfId="0" applyFont="1" applyFill="1" applyBorder="1" applyAlignment="1" applyProtection="1">
      <alignment horizontal="center"/>
    </xf>
    <xf numFmtId="164" fontId="1" fillId="23" borderId="1" xfId="7" applyNumberFormat="1" applyFont="1" applyFill="1" applyBorder="1" applyAlignment="1" applyProtection="1">
      <alignment horizontal="center"/>
    </xf>
    <xf numFmtId="164" fontId="1" fillId="23" borderId="5" xfId="7" applyNumberFormat="1" applyFont="1" applyFill="1" applyBorder="1" applyAlignment="1" applyProtection="1">
      <alignment horizontal="center"/>
    </xf>
    <xf numFmtId="0" fontId="31" fillId="27" borderId="145" xfId="0" applyFont="1" applyFill="1" applyBorder="1" applyAlignment="1" applyProtection="1">
      <alignment horizontal="center"/>
    </xf>
    <xf numFmtId="0" fontId="31" fillId="0" borderId="136" xfId="0" applyFont="1" applyBorder="1" applyAlignment="1" applyProtection="1">
      <alignment horizontal="center" vertical="center" wrapText="1"/>
    </xf>
    <xf numFmtId="0" fontId="31" fillId="0" borderId="143" xfId="0" applyFont="1" applyBorder="1" applyAlignment="1" applyProtection="1">
      <alignment horizontal="center" vertical="center" wrapText="1"/>
    </xf>
    <xf numFmtId="0" fontId="31" fillId="0" borderId="144" xfId="0" applyFont="1" applyBorder="1" applyAlignment="1" applyProtection="1">
      <alignment horizontal="center" vertical="center" wrapText="1"/>
    </xf>
    <xf numFmtId="0" fontId="31" fillId="0" borderId="137" xfId="0" applyFont="1" applyBorder="1" applyAlignment="1" applyProtection="1">
      <alignment horizontal="center" vertical="center" wrapText="1"/>
    </xf>
    <xf numFmtId="0" fontId="31" fillId="0" borderId="141" xfId="0" applyFont="1" applyBorder="1" applyAlignment="1" applyProtection="1">
      <alignment horizontal="center" vertical="center" wrapText="1"/>
    </xf>
    <xf numFmtId="0" fontId="31" fillId="0" borderId="139" xfId="0" applyFont="1" applyBorder="1" applyAlignment="1" applyProtection="1">
      <alignment horizontal="center" vertical="center" wrapText="1"/>
    </xf>
    <xf numFmtId="0" fontId="31" fillId="3" borderId="63" xfId="0" applyNumberFormat="1" applyFont="1" applyFill="1" applyBorder="1" applyAlignment="1" applyProtection="1">
      <alignment horizontal="center"/>
      <protection locked="0"/>
    </xf>
    <xf numFmtId="49" fontId="31" fillId="3" borderId="1" xfId="0" applyNumberFormat="1" applyFont="1" applyFill="1" applyBorder="1" applyAlignment="1" applyProtection="1">
      <alignment horizontal="center"/>
      <protection locked="0"/>
    </xf>
    <xf numFmtId="1" fontId="31" fillId="26" borderId="62" xfId="0" applyNumberFormat="1" applyFont="1" applyFill="1" applyBorder="1" applyAlignment="1" applyProtection="1">
      <alignment horizontal="center"/>
      <protection locked="0"/>
    </xf>
    <xf numFmtId="0" fontId="31" fillId="3" borderId="62" xfId="0" applyFont="1" applyFill="1" applyBorder="1" applyAlignment="1" applyProtection="1">
      <alignment horizontal="center"/>
      <protection locked="0"/>
    </xf>
    <xf numFmtId="168" fontId="31" fillId="29" borderId="63" xfId="0" applyNumberFormat="1" applyFont="1" applyFill="1" applyBorder="1" applyAlignment="1" applyProtection="1">
      <alignment horizontal="center"/>
      <protection locked="0"/>
    </xf>
    <xf numFmtId="0" fontId="31" fillId="0" borderId="84" xfId="0" applyFont="1" applyBorder="1" applyAlignment="1" applyProtection="1">
      <alignment horizontal="center"/>
    </xf>
    <xf numFmtId="0" fontId="31" fillId="0" borderId="47" xfId="0" applyFont="1" applyBorder="1" applyAlignment="1" applyProtection="1">
      <alignment horizontal="center"/>
    </xf>
    <xf numFmtId="0" fontId="31" fillId="0" borderId="136" xfId="0" applyFont="1" applyBorder="1" applyAlignment="1" applyProtection="1">
      <alignment horizontal="center" wrapText="1"/>
    </xf>
    <xf numFmtId="0" fontId="31" fillId="0" borderId="63" xfId="0" applyFont="1" applyBorder="1" applyAlignment="1" applyProtection="1">
      <alignment horizontal="center" wrapText="1"/>
    </xf>
    <xf numFmtId="0" fontId="31" fillId="0" borderId="140" xfId="0" applyFont="1" applyBorder="1" applyAlignment="1" applyProtection="1">
      <alignment horizontal="center" vertical="center" wrapText="1"/>
    </xf>
    <xf numFmtId="0" fontId="31" fillId="0" borderId="111" xfId="0" applyFont="1" applyBorder="1" applyAlignment="1" applyProtection="1">
      <alignment horizontal="center" vertical="center" wrapText="1"/>
    </xf>
    <xf numFmtId="0" fontId="31" fillId="0" borderId="144" xfId="0" applyFont="1" applyBorder="1" applyAlignment="1" applyProtection="1">
      <alignment horizontal="center"/>
    </xf>
    <xf numFmtId="0" fontId="31" fillId="0" borderId="62" xfId="0" applyFont="1" applyBorder="1" applyAlignment="1" applyProtection="1">
      <alignment horizontal="center"/>
    </xf>
    <xf numFmtId="0" fontId="31" fillId="0" borderId="140" xfId="0" applyFont="1" applyBorder="1" applyAlignment="1" applyProtection="1">
      <alignment horizontal="center"/>
    </xf>
    <xf numFmtId="0" fontId="31" fillId="0" borderId="145" xfId="0" applyFont="1" applyBorder="1" applyAlignment="1" applyProtection="1">
      <alignment horizontal="center"/>
    </xf>
    <xf numFmtId="0" fontId="43" fillId="0" borderId="2" xfId="0" applyFont="1" applyBorder="1" applyAlignment="1" applyProtection="1">
      <alignment horizontal="center"/>
    </xf>
    <xf numFmtId="0" fontId="14" fillId="0" borderId="1" xfId="0" applyFont="1" applyBorder="1" applyAlignment="1" applyProtection="1">
      <alignment horizontal="left"/>
    </xf>
    <xf numFmtId="0" fontId="16" fillId="0" borderId="1" xfId="0" applyFont="1" applyBorder="1" applyAlignment="1" applyProtection="1">
      <alignment horizontal="center" vertical="center" wrapText="1"/>
    </xf>
    <xf numFmtId="0" fontId="14" fillId="0" borderId="1" xfId="0" applyFont="1" applyBorder="1" applyAlignment="1" applyProtection="1">
      <alignment horizontal="center"/>
    </xf>
    <xf numFmtId="0" fontId="14" fillId="0" borderId="68" xfId="0" applyFont="1" applyBorder="1" applyAlignment="1" applyProtection="1">
      <alignment horizontal="center"/>
    </xf>
    <xf numFmtId="0" fontId="14" fillId="0" borderId="112" xfId="0" applyFont="1" applyBorder="1" applyAlignment="1" applyProtection="1">
      <alignment horizontal="center"/>
    </xf>
    <xf numFmtId="0" fontId="14" fillId="0" borderId="1" xfId="0" applyFont="1" applyBorder="1" applyAlignment="1" applyProtection="1">
      <alignment horizontal="center" vertical="center" wrapText="1"/>
    </xf>
    <xf numFmtId="0" fontId="42" fillId="0" borderId="1" xfId="0" applyFont="1" applyBorder="1" applyAlignment="1" applyProtection="1">
      <alignment horizontal="center"/>
    </xf>
    <xf numFmtId="0" fontId="16" fillId="0" borderId="1" xfId="0" applyFont="1" applyBorder="1" applyAlignment="1" applyProtection="1">
      <alignment horizontal="center"/>
    </xf>
    <xf numFmtId="0" fontId="42" fillId="17" borderId="68" xfId="0" applyFont="1" applyFill="1" applyBorder="1" applyAlignment="1" applyProtection="1">
      <alignment horizontal="center" vertical="center" wrapText="1"/>
    </xf>
    <xf numFmtId="0" fontId="42" fillId="17" borderId="112" xfId="0" applyFont="1" applyFill="1" applyBorder="1" applyAlignment="1" applyProtection="1">
      <alignment horizontal="center" vertical="center" wrapText="1"/>
    </xf>
    <xf numFmtId="0" fontId="14" fillId="0" borderId="6" xfId="0" applyFont="1" applyBorder="1" applyAlignment="1" applyProtection="1">
      <alignment horizontal="left"/>
    </xf>
    <xf numFmtId="0" fontId="3" fillId="0" borderId="78" xfId="0" applyFont="1" applyBorder="1" applyAlignment="1" applyProtection="1">
      <alignment horizontal="center" vertical="center"/>
    </xf>
    <xf numFmtId="0" fontId="3" fillId="0" borderId="77" xfId="0" applyFont="1" applyBorder="1" applyAlignment="1" applyProtection="1">
      <alignment horizontal="center" vertical="center"/>
    </xf>
    <xf numFmtId="0" fontId="3" fillId="0" borderId="79" xfId="0" applyFont="1" applyBorder="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7" xfId="0" applyFont="1" applyBorder="1" applyAlignment="1" applyProtection="1">
      <alignment horizontal="center" vertical="center"/>
    </xf>
    <xf numFmtId="0" fontId="14" fillId="0" borderId="1" xfId="0" applyNumberFormat="1" applyFont="1" applyBorder="1" applyAlignment="1" applyProtection="1">
      <alignment horizontal="left"/>
    </xf>
    <xf numFmtId="0" fontId="21" fillId="0" borderId="51" xfId="0" applyFont="1" applyBorder="1" applyAlignment="1" applyProtection="1">
      <alignment vertical="center"/>
    </xf>
    <xf numFmtId="0" fontId="14" fillId="0" borderId="68" xfId="0" applyFont="1" applyBorder="1" applyAlignment="1" applyProtection="1">
      <alignment horizontal="left"/>
    </xf>
    <xf numFmtId="0" fontId="14" fillId="0" borderId="112" xfId="0" applyFont="1" applyBorder="1" applyAlignment="1" applyProtection="1">
      <alignment horizontal="left"/>
    </xf>
    <xf numFmtId="0" fontId="14" fillId="0" borderId="5" xfId="0" applyFont="1" applyBorder="1" applyAlignment="1" applyProtection="1">
      <alignment horizontal="left"/>
    </xf>
    <xf numFmtId="0" fontId="5" fillId="0" borderId="8" xfId="0" applyFont="1" applyBorder="1" applyAlignment="1" applyProtection="1">
      <alignment horizontal="right"/>
    </xf>
    <xf numFmtId="0" fontId="5" fillId="0" borderId="0" xfId="0" applyFont="1" applyBorder="1" applyAlignment="1" applyProtection="1">
      <alignment horizontal="right"/>
    </xf>
    <xf numFmtId="0" fontId="20" fillId="0" borderId="0" xfId="0" applyFont="1" applyBorder="1" applyAlignment="1" applyProtection="1">
      <alignment horizontal="center"/>
    </xf>
    <xf numFmtId="0" fontId="17" fillId="0" borderId="80" xfId="0" applyFont="1" applyBorder="1" applyAlignment="1" applyProtection="1">
      <alignment horizontal="center"/>
    </xf>
    <xf numFmtId="0" fontId="17" fillId="0" borderId="51" xfId="0" applyFont="1" applyBorder="1" applyAlignment="1" applyProtection="1">
      <alignment horizontal="center"/>
    </xf>
    <xf numFmtId="0" fontId="17" fillId="0" borderId="8" xfId="0" applyFont="1" applyBorder="1" applyAlignment="1" applyProtection="1">
      <alignment horizontal="center"/>
    </xf>
    <xf numFmtId="0" fontId="17" fillId="0" borderId="0" xfId="0" applyFont="1" applyBorder="1" applyAlignment="1" applyProtection="1">
      <alignment horizontal="center"/>
    </xf>
    <xf numFmtId="0" fontId="31" fillId="0" borderId="101" xfId="0" applyFont="1" applyFill="1" applyBorder="1" applyAlignment="1" applyProtection="1">
      <alignment horizontal="center"/>
    </xf>
    <xf numFmtId="0" fontId="31" fillId="26" borderId="62" xfId="0" applyFont="1" applyFill="1" applyBorder="1" applyAlignment="1" applyProtection="1">
      <alignment horizontal="center"/>
      <protection locked="0"/>
    </xf>
    <xf numFmtId="0" fontId="31" fillId="0" borderId="167" xfId="0" applyFont="1" applyBorder="1" applyAlignment="1" applyProtection="1">
      <alignment horizontal="center" vertical="center" wrapText="1"/>
    </xf>
    <xf numFmtId="0" fontId="31" fillId="0" borderId="116" xfId="0" applyFont="1" applyBorder="1" applyAlignment="1" applyProtection="1">
      <alignment horizontal="center" vertical="center" wrapText="1"/>
    </xf>
    <xf numFmtId="0" fontId="31" fillId="0" borderId="94" xfId="0" applyFont="1" applyBorder="1" applyAlignment="1" applyProtection="1">
      <alignment horizontal="center" vertical="center" wrapText="1"/>
    </xf>
    <xf numFmtId="0" fontId="31" fillId="0" borderId="100" xfId="0" applyFont="1" applyBorder="1" applyAlignment="1" applyProtection="1">
      <alignment horizontal="center" vertical="center" wrapText="1"/>
    </xf>
    <xf numFmtId="0" fontId="31" fillId="3" borderId="138" xfId="0" applyNumberFormat="1" applyFont="1" applyFill="1" applyBorder="1" applyAlignment="1" applyProtection="1">
      <alignment horizontal="center"/>
      <protection locked="0"/>
    </xf>
    <xf numFmtId="0" fontId="31" fillId="3" borderId="1" xfId="0" applyNumberFormat="1" applyFont="1" applyFill="1" applyBorder="1" applyAlignment="1" applyProtection="1">
      <alignment horizontal="center"/>
      <protection locked="0"/>
    </xf>
    <xf numFmtId="0" fontId="31" fillId="29" borderId="63" xfId="0" applyFont="1" applyFill="1" applyBorder="1" applyAlignment="1" applyProtection="1">
      <alignment horizontal="center"/>
      <protection locked="0"/>
    </xf>
    <xf numFmtId="0" fontId="13" fillId="20" borderId="52" xfId="0" applyFont="1" applyFill="1" applyBorder="1" applyAlignment="1" applyProtection="1">
      <alignment horizontal="center"/>
    </xf>
    <xf numFmtId="0" fontId="13" fillId="20" borderId="9" xfId="0" applyFont="1" applyFill="1" applyBorder="1" applyAlignment="1" applyProtection="1">
      <alignment horizontal="center"/>
    </xf>
    <xf numFmtId="0" fontId="13" fillId="20" borderId="83" xfId="0" applyFont="1" applyFill="1" applyBorder="1" applyAlignment="1" applyProtection="1">
      <alignment horizontal="center"/>
    </xf>
    <xf numFmtId="165" fontId="46" fillId="12" borderId="1" xfId="4" applyNumberFormat="1" applyFont="1" applyFill="1" applyBorder="1" applyAlignment="1" applyProtection="1">
      <alignment horizontal="center"/>
    </xf>
    <xf numFmtId="0" fontId="6" fillId="20" borderId="5" xfId="0" applyFont="1" applyFill="1" applyBorder="1" applyAlignment="1" applyProtection="1">
      <alignment horizontal="center"/>
    </xf>
    <xf numFmtId="0" fontId="6" fillId="20" borderId="170" xfId="0" applyFont="1" applyFill="1" applyBorder="1" applyAlignment="1" applyProtection="1">
      <alignment horizontal="center"/>
    </xf>
    <xf numFmtId="0" fontId="1" fillId="7" borderId="1" xfId="0" applyFont="1" applyFill="1" applyBorder="1" applyAlignment="1" applyProtection="1">
      <alignment horizontal="center"/>
    </xf>
    <xf numFmtId="0" fontId="6" fillId="20" borderId="52" xfId="0" applyFont="1" applyFill="1" applyBorder="1" applyAlignment="1" applyProtection="1">
      <alignment horizontal="center"/>
    </xf>
    <xf numFmtId="0" fontId="6" fillId="20" borderId="9" xfId="0" applyFont="1" applyFill="1" applyBorder="1" applyAlignment="1" applyProtection="1">
      <alignment horizontal="center"/>
    </xf>
    <xf numFmtId="0" fontId="6" fillId="20" borderId="83" xfId="0" applyFont="1" applyFill="1" applyBorder="1" applyAlignment="1" applyProtection="1">
      <alignment horizontal="center"/>
    </xf>
    <xf numFmtId="164" fontId="1" fillId="13" borderId="1" xfId="0" applyNumberFormat="1" applyFont="1" applyFill="1" applyBorder="1" applyAlignment="1" applyProtection="1">
      <alignment horizontal="center"/>
      <protection locked="0"/>
    </xf>
    <xf numFmtId="0" fontId="45" fillId="13" borderId="1" xfId="0" applyFont="1" applyFill="1" applyBorder="1" applyAlignment="1" applyProtection="1">
      <alignment horizontal="center"/>
    </xf>
    <xf numFmtId="0" fontId="62" fillId="23" borderId="2" xfId="7" applyFont="1" applyFill="1" applyBorder="1" applyAlignment="1" applyProtection="1">
      <alignment horizontal="center"/>
    </xf>
    <xf numFmtId="0" fontId="62" fillId="23" borderId="3" xfId="7" applyFont="1" applyFill="1" applyBorder="1" applyAlignment="1" applyProtection="1">
      <alignment horizontal="center"/>
    </xf>
    <xf numFmtId="166" fontId="1" fillId="23" borderId="1" xfId="0" applyNumberFormat="1" applyFont="1" applyFill="1" applyBorder="1" applyAlignment="1" applyProtection="1">
      <alignment horizontal="center"/>
    </xf>
    <xf numFmtId="0" fontId="0" fillId="20" borderId="78" xfId="0" applyFill="1" applyBorder="1" applyAlignment="1" applyProtection="1">
      <alignment horizontal="center"/>
    </xf>
    <xf numFmtId="0" fontId="0" fillId="20" borderId="79" xfId="0" applyFill="1" applyBorder="1" applyAlignment="1" applyProtection="1">
      <alignment horizontal="center"/>
    </xf>
    <xf numFmtId="0" fontId="0" fillId="3" borderId="8" xfId="0" applyFill="1" applyBorder="1" applyAlignment="1" applyProtection="1">
      <alignment horizontal="center"/>
    </xf>
    <xf numFmtId="0" fontId="0" fillId="3" borderId="7" xfId="0" applyFill="1" applyBorder="1" applyAlignment="1" applyProtection="1">
      <alignment horizontal="center"/>
    </xf>
    <xf numFmtId="0" fontId="0" fillId="6" borderId="8" xfId="0" applyFill="1" applyBorder="1" applyAlignment="1" applyProtection="1">
      <alignment horizontal="center"/>
    </xf>
    <xf numFmtId="0" fontId="0" fillId="6" borderId="7" xfId="0" applyFill="1" applyBorder="1" applyAlignment="1" applyProtection="1">
      <alignment horizontal="center"/>
    </xf>
    <xf numFmtId="0" fontId="0" fillId="21" borderId="8" xfId="0" applyFill="1" applyBorder="1" applyAlignment="1" applyProtection="1">
      <alignment horizontal="center"/>
    </xf>
    <xf numFmtId="0" fontId="0" fillId="21" borderId="7" xfId="0" applyFill="1" applyBorder="1" applyAlignment="1" applyProtection="1">
      <alignment horizontal="center"/>
    </xf>
    <xf numFmtId="0" fontId="0" fillId="2" borderId="8" xfId="0" applyFill="1" applyBorder="1" applyAlignment="1" applyProtection="1">
      <alignment horizontal="center"/>
    </xf>
    <xf numFmtId="0" fontId="0" fillId="2" borderId="7" xfId="0" applyFill="1" applyBorder="1" applyAlignment="1" applyProtection="1">
      <alignment horizontal="center"/>
    </xf>
    <xf numFmtId="0" fontId="0" fillId="7" borderId="8" xfId="0" applyFill="1" applyBorder="1" applyAlignment="1" applyProtection="1">
      <alignment horizontal="center"/>
    </xf>
    <xf numFmtId="0" fontId="0" fillId="7" borderId="7" xfId="0" applyFill="1" applyBorder="1" applyAlignment="1" applyProtection="1">
      <alignment horizontal="center"/>
    </xf>
    <xf numFmtId="0" fontId="61" fillId="0" borderId="8" xfId="0" applyFont="1" applyBorder="1" applyAlignment="1" applyProtection="1">
      <alignment horizontal="center"/>
    </xf>
    <xf numFmtId="0" fontId="61" fillId="0" borderId="7" xfId="0" applyFont="1" applyBorder="1" applyAlignment="1" applyProtection="1">
      <alignment horizontal="center"/>
    </xf>
    <xf numFmtId="0" fontId="39" fillId="23" borderId="8" xfId="7" applyFont="1" applyFill="1" applyBorder="1" applyAlignment="1" applyProtection="1">
      <alignment horizontal="center"/>
    </xf>
    <xf numFmtId="0" fontId="39" fillId="23" borderId="7" xfId="7" applyFont="1" applyFill="1" applyBorder="1" applyAlignment="1" applyProtection="1">
      <alignment horizontal="center"/>
    </xf>
    <xf numFmtId="0" fontId="35" fillId="16" borderId="80" xfId="7" applyFill="1" applyBorder="1" applyAlignment="1" applyProtection="1">
      <alignment horizontal="center"/>
    </xf>
    <xf numFmtId="0" fontId="35" fillId="16" borderId="75" xfId="7" applyFill="1" applyBorder="1" applyAlignment="1" applyProtection="1">
      <alignment horizontal="center"/>
    </xf>
    <xf numFmtId="0" fontId="0" fillId="22" borderId="8" xfId="0" applyFill="1" applyBorder="1" applyAlignment="1" applyProtection="1">
      <alignment horizontal="center"/>
    </xf>
    <xf numFmtId="0" fontId="0" fillId="22" borderId="7" xfId="0" applyFill="1" applyBorder="1" applyAlignment="1" applyProtection="1">
      <alignment horizontal="center"/>
    </xf>
    <xf numFmtId="0" fontId="35" fillId="24" borderId="8" xfId="7" applyFill="1" applyBorder="1" applyAlignment="1" applyProtection="1">
      <alignment horizontal="center"/>
    </xf>
    <xf numFmtId="0" fontId="35" fillId="24" borderId="7" xfId="7" applyFill="1" applyBorder="1" applyAlignment="1" applyProtection="1">
      <alignment horizontal="center"/>
    </xf>
    <xf numFmtId="0" fontId="35" fillId="25" borderId="8" xfId="7" applyFill="1" applyBorder="1" applyAlignment="1" applyProtection="1">
      <alignment horizontal="center"/>
    </xf>
    <xf numFmtId="0" fontId="35" fillId="25" borderId="7" xfId="7" applyFill="1" applyBorder="1" applyAlignment="1" applyProtection="1">
      <alignment horizontal="center"/>
    </xf>
    <xf numFmtId="0" fontId="1" fillId="25" borderId="1" xfId="0" applyFont="1" applyFill="1" applyBorder="1" applyAlignment="1" applyProtection="1">
      <alignment horizontal="center"/>
    </xf>
    <xf numFmtId="1" fontId="6" fillId="7" borderId="1" xfId="0" applyNumberFormat="1" applyFont="1" applyFill="1" applyBorder="1" applyAlignment="1" applyProtection="1">
      <alignment horizontal="center"/>
    </xf>
    <xf numFmtId="1" fontId="13" fillId="20" borderId="52" xfId="0" applyNumberFormat="1" applyFont="1" applyFill="1" applyBorder="1" applyAlignment="1" applyProtection="1">
      <alignment horizontal="center"/>
    </xf>
    <xf numFmtId="1" fontId="13" fillId="20" borderId="9" xfId="0" applyNumberFormat="1" applyFont="1" applyFill="1" applyBorder="1" applyAlignment="1" applyProtection="1">
      <alignment horizontal="center"/>
    </xf>
    <xf numFmtId="1" fontId="13" fillId="20" borderId="83" xfId="0" applyNumberFormat="1" applyFont="1" applyFill="1" applyBorder="1" applyAlignment="1" applyProtection="1">
      <alignment horizontal="center"/>
    </xf>
    <xf numFmtId="0" fontId="6" fillId="20" borderId="90" xfId="0" applyFont="1" applyFill="1" applyBorder="1" applyAlignment="1" applyProtection="1">
      <alignment horizontal="center"/>
    </xf>
    <xf numFmtId="0" fontId="6" fillId="20" borderId="168" xfId="0" applyFont="1" applyFill="1" applyBorder="1" applyAlignment="1" applyProtection="1">
      <alignment horizontal="center"/>
    </xf>
    <xf numFmtId="0" fontId="6" fillId="20" borderId="169" xfId="0" applyFont="1" applyFill="1" applyBorder="1" applyAlignment="1" applyProtection="1">
      <alignment horizontal="center"/>
    </xf>
    <xf numFmtId="0" fontId="6" fillId="20" borderId="171" xfId="0" applyFont="1" applyFill="1" applyBorder="1" applyAlignment="1" applyProtection="1">
      <alignment horizontal="center"/>
    </xf>
    <xf numFmtId="0" fontId="6" fillId="0" borderId="89" xfId="0" applyFont="1" applyBorder="1" applyAlignment="1" applyProtection="1">
      <alignment horizontal="center"/>
    </xf>
    <xf numFmtId="0" fontId="6" fillId="0" borderId="114" xfId="0" applyFont="1" applyBorder="1" applyAlignment="1" applyProtection="1">
      <alignment horizontal="center"/>
    </xf>
    <xf numFmtId="0" fontId="6" fillId="0" borderId="52" xfId="0" applyFont="1" applyBorder="1" applyAlignment="1" applyProtection="1">
      <alignment horizontal="center"/>
    </xf>
    <xf numFmtId="0" fontId="6" fillId="0" borderId="82" xfId="0" applyFont="1" applyBorder="1" applyAlignment="1" applyProtection="1">
      <alignment horizontal="center"/>
    </xf>
    <xf numFmtId="165" fontId="6" fillId="12" borderId="1" xfId="4" applyNumberFormat="1" applyFont="1" applyFill="1" applyBorder="1" applyAlignment="1" applyProtection="1">
      <alignment horizontal="center"/>
    </xf>
    <xf numFmtId="1" fontId="1" fillId="13" borderId="1" xfId="0" applyNumberFormat="1" applyFont="1" applyFill="1" applyBorder="1" applyAlignment="1" applyProtection="1">
      <alignment horizontal="center"/>
      <protection locked="0"/>
    </xf>
    <xf numFmtId="165" fontId="1" fillId="13" borderId="1" xfId="0" applyNumberFormat="1" applyFont="1" applyFill="1" applyBorder="1" applyAlignment="1" applyProtection="1">
      <alignment horizontal="center"/>
      <protection locked="0"/>
    </xf>
    <xf numFmtId="0" fontId="6" fillId="0" borderId="129" xfId="0" applyFont="1" applyBorder="1" applyAlignment="1" applyProtection="1">
      <alignment horizontal="center" vertical="center" textRotation="90" wrapText="1"/>
    </xf>
    <xf numFmtId="0" fontId="6" fillId="0" borderId="132" xfId="0" applyFont="1" applyBorder="1" applyAlignment="1" applyProtection="1">
      <alignment horizontal="center" vertical="center" textRotation="90" wrapText="1"/>
    </xf>
    <xf numFmtId="0" fontId="6" fillId="0" borderId="88" xfId="0" applyFont="1" applyBorder="1" applyAlignment="1" applyProtection="1">
      <alignment horizontal="center" vertical="center" textRotation="90" wrapText="1"/>
    </xf>
    <xf numFmtId="0" fontId="13" fillId="0" borderId="115" xfId="0" applyFont="1" applyBorder="1" applyAlignment="1" applyProtection="1">
      <alignment horizontal="center"/>
    </xf>
    <xf numFmtId="0" fontId="13" fillId="0" borderId="69" xfId="0" applyFont="1" applyBorder="1" applyAlignment="1" applyProtection="1">
      <alignment horizontal="center"/>
    </xf>
    <xf numFmtId="0" fontId="6" fillId="0" borderId="91" xfId="0" applyFont="1" applyBorder="1" applyAlignment="1" applyProtection="1">
      <alignment horizontal="center"/>
    </xf>
    <xf numFmtId="0" fontId="6" fillId="0" borderId="78" xfId="0" applyFont="1" applyBorder="1" applyAlignment="1" applyProtection="1">
      <alignment horizontal="center" vertical="center" textRotation="90" wrapText="1"/>
    </xf>
    <xf numFmtId="0" fontId="6" fillId="0" borderId="8" xfId="0" applyFont="1" applyBorder="1" applyAlignment="1" applyProtection="1">
      <alignment horizontal="center" vertical="center" textRotation="90" wrapText="1"/>
    </xf>
    <xf numFmtId="0" fontId="6" fillId="0" borderId="80" xfId="0" applyFont="1" applyBorder="1" applyAlignment="1" applyProtection="1">
      <alignment horizontal="center" vertical="center" textRotation="90" wrapText="1"/>
    </xf>
    <xf numFmtId="0" fontId="6" fillId="0" borderId="77" xfId="0" applyFont="1" applyBorder="1" applyAlignment="1" applyProtection="1">
      <alignment horizontal="center"/>
    </xf>
    <xf numFmtId="0" fontId="6" fillId="0" borderId="79" xfId="0" applyFont="1" applyBorder="1" applyAlignment="1" applyProtection="1">
      <alignment horizontal="center"/>
    </xf>
    <xf numFmtId="0" fontId="6" fillId="0" borderId="0" xfId="0" applyFont="1" applyAlignment="1" applyProtection="1">
      <alignment horizontal="center"/>
    </xf>
    <xf numFmtId="0" fontId="22" fillId="0" borderId="77" xfId="0" applyFont="1" applyBorder="1" applyAlignment="1" applyProtection="1">
      <alignment horizontal="center"/>
    </xf>
    <xf numFmtId="0" fontId="22" fillId="0" borderId="79" xfId="0" applyFont="1" applyBorder="1" applyAlignment="1" applyProtection="1">
      <alignment horizontal="center"/>
    </xf>
    <xf numFmtId="0" fontId="15" fillId="0" borderId="78" xfId="0" applyFont="1" applyBorder="1" applyAlignment="1" applyProtection="1">
      <alignment horizontal="center" vertical="center" textRotation="90"/>
    </xf>
    <xf numFmtId="0" fontId="15" fillId="0" borderId="8" xfId="0" applyFont="1" applyBorder="1" applyAlignment="1" applyProtection="1">
      <alignment horizontal="center" vertical="center" textRotation="90"/>
    </xf>
    <xf numFmtId="0" fontId="15" fillId="0" borderId="80" xfId="0" applyFont="1" applyBorder="1" applyAlignment="1" applyProtection="1">
      <alignment horizontal="center" vertical="center" textRotation="90"/>
    </xf>
    <xf numFmtId="0" fontId="15" fillId="0" borderId="90" xfId="0" applyFont="1" applyBorder="1" applyAlignment="1" applyProtection="1">
      <alignment horizontal="center" vertical="center" textRotation="90"/>
    </xf>
    <xf numFmtId="0" fontId="15" fillId="0" borderId="61" xfId="0" applyFont="1" applyBorder="1" applyAlignment="1" applyProtection="1">
      <alignment horizontal="center" vertical="center" textRotation="90"/>
    </xf>
    <xf numFmtId="0" fontId="15" fillId="0" borderId="53" xfId="0" applyFont="1" applyBorder="1" applyAlignment="1" applyProtection="1">
      <alignment horizontal="center" vertical="center" textRotation="90"/>
    </xf>
    <xf numFmtId="0" fontId="6" fillId="0" borderId="78" xfId="0" applyFont="1" applyFill="1" applyBorder="1" applyAlignment="1" applyProtection="1">
      <alignment horizontal="center"/>
    </xf>
    <xf numFmtId="0" fontId="6" fillId="0" borderId="79" xfId="0" applyFont="1" applyFill="1" applyBorder="1" applyAlignment="1" applyProtection="1">
      <alignment horizontal="center"/>
    </xf>
    <xf numFmtId="0" fontId="15" fillId="0" borderId="78" xfId="0" applyFont="1" applyBorder="1" applyAlignment="1" applyProtection="1">
      <alignment horizontal="center" vertical="center" textRotation="90" wrapText="1"/>
    </xf>
    <xf numFmtId="0" fontId="15" fillId="0" borderId="8" xfId="0" applyFont="1" applyBorder="1" applyAlignment="1" applyProtection="1">
      <alignment horizontal="center" vertical="center" textRotation="90" wrapText="1"/>
    </xf>
    <xf numFmtId="0" fontId="15" fillId="0" borderId="80" xfId="0" applyFont="1" applyBorder="1" applyAlignment="1" applyProtection="1">
      <alignment horizontal="center" vertical="center" textRotation="90" wrapText="1"/>
    </xf>
    <xf numFmtId="0" fontId="15" fillId="0" borderId="52" xfId="0" applyFont="1" applyBorder="1" applyAlignment="1" applyProtection="1">
      <alignment horizontal="center" vertical="center" textRotation="90"/>
    </xf>
    <xf numFmtId="0" fontId="15" fillId="0" borderId="50" xfId="0" applyFont="1" applyBorder="1" applyAlignment="1" applyProtection="1">
      <alignment horizontal="center" vertical="center" textRotation="90"/>
    </xf>
    <xf numFmtId="0" fontId="15" fillId="0" borderId="48" xfId="0" applyFont="1" applyBorder="1" applyAlignment="1" applyProtection="1">
      <alignment horizontal="center" vertical="center" textRotation="90"/>
    </xf>
    <xf numFmtId="0" fontId="15" fillId="0" borderId="49" xfId="0" applyFont="1" applyBorder="1" applyAlignment="1" applyProtection="1">
      <alignment horizontal="center" vertical="center" textRotation="90"/>
    </xf>
    <xf numFmtId="0" fontId="23" fillId="0" borderId="0" xfId="0" applyFont="1" applyAlignment="1" applyProtection="1">
      <alignment horizontal="center"/>
    </xf>
    <xf numFmtId="0" fontId="22" fillId="0" borderId="7" xfId="0" applyFont="1" applyBorder="1" applyAlignment="1" applyProtection="1">
      <alignment horizontal="center" vertical="center" textRotation="90"/>
    </xf>
    <xf numFmtId="0" fontId="27" fillId="3" borderId="116" xfId="3" applyFont="1" applyFill="1" applyBorder="1" applyAlignment="1" applyProtection="1">
      <alignment horizontal="center" vertical="center"/>
    </xf>
    <xf numFmtId="0" fontId="0" fillId="3" borderId="92" xfId="0" applyFill="1" applyBorder="1" applyAlignment="1" applyProtection="1">
      <alignment horizontal="center" vertical="center"/>
    </xf>
    <xf numFmtId="0" fontId="0" fillId="3" borderId="93" xfId="0" applyFill="1" applyBorder="1" applyAlignment="1" applyProtection="1">
      <alignment horizontal="center" vertical="center"/>
    </xf>
    <xf numFmtId="0" fontId="12" fillId="0" borderId="117" xfId="2" applyFont="1" applyFill="1" applyBorder="1" applyAlignment="1" applyProtection="1">
      <alignment horizontal="center"/>
    </xf>
    <xf numFmtId="0" fontId="12" fillId="0" borderId="0" xfId="2" applyFont="1" applyFill="1" applyBorder="1" applyAlignment="1" applyProtection="1">
      <alignment horizontal="center"/>
    </xf>
    <xf numFmtId="0" fontId="27" fillId="3" borderId="118" xfId="3" applyFont="1" applyFill="1" applyBorder="1" applyAlignment="1" applyProtection="1">
      <alignment horizontal="center" vertical="center"/>
    </xf>
    <xf numFmtId="0" fontId="27" fillId="3" borderId="119" xfId="3" applyFont="1" applyFill="1" applyBorder="1" applyAlignment="1" applyProtection="1">
      <alignment horizontal="center" vertical="center"/>
    </xf>
    <xf numFmtId="0" fontId="27" fillId="3" borderId="92" xfId="3" applyFont="1" applyFill="1" applyBorder="1" applyAlignment="1" applyProtection="1">
      <alignment horizontal="center" vertical="center"/>
    </xf>
  </cellXfs>
  <cellStyles count="9">
    <cellStyle name="Bad" xfId="4" builtinId="27"/>
    <cellStyle name="Calculation" xfId="7" builtinId="22"/>
    <cellStyle name="Heading 1" xfId="8" builtinId="16"/>
    <cellStyle name="Hyperlink" xfId="1" builtinId="8"/>
    <cellStyle name="Normal" xfId="0" builtinId="0"/>
    <cellStyle name="Normal 2" xfId="5"/>
    <cellStyle name="Normal 3" xfId="6"/>
    <cellStyle name="Normal_FINAL RDF" xfId="2"/>
    <cellStyle name="Normal_Sheet1" xfId="3"/>
  </cellStyles>
  <dxfs count="148">
    <dxf>
      <font>
        <condense val="0"/>
        <extend val="0"/>
        <color auto="1"/>
      </font>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theme="9" tint="0.79998168889431442"/>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ont>
        <b val="0"/>
        <i val="0"/>
      </font>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val="0"/>
        <i val="0"/>
      </font>
      <fill>
        <patternFill>
          <bgColor rgb="FF66FF33"/>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tint="-0.14996795556505021"/>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color theme="0"/>
      </font>
      <fill>
        <patternFill>
          <bgColor theme="0"/>
        </patternFill>
      </fill>
    </dxf>
    <dxf>
      <font>
        <b/>
        <i val="0"/>
        <u/>
        <color theme="9"/>
      </font>
    </dxf>
    <dxf>
      <font>
        <b/>
        <i val="0"/>
        <color rgb="FFFF0000"/>
      </font>
    </dxf>
    <dxf>
      <font>
        <b/>
        <i val="0"/>
      </font>
      <fill>
        <patternFill>
          <bgColor rgb="FFFFFF00"/>
        </patternFill>
      </fill>
    </dxf>
    <dxf>
      <font>
        <color theme="0" tint="-0.14996795556505021"/>
      </font>
      <fill>
        <patternFill>
          <bgColor theme="0"/>
        </patternFill>
      </fill>
    </dxf>
    <dxf>
      <font>
        <b/>
        <i val="0"/>
        <u/>
        <color theme="9"/>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color theme="0"/>
      </font>
      <fill>
        <patternFill>
          <bgColor theme="0"/>
        </patternFill>
      </fill>
    </dxf>
    <dxf>
      <fill>
        <patternFill>
          <bgColor theme="0"/>
        </patternFill>
      </fill>
      <border>
        <left style="thin">
          <color auto="1"/>
        </left>
        <right style="thin">
          <color auto="1"/>
        </right>
        <bottom style="thin">
          <color auto="1"/>
        </bottom>
        <vertical/>
        <horizontal/>
      </border>
    </dxf>
    <dxf>
      <fill>
        <patternFill>
          <bgColor theme="0"/>
        </patternFill>
      </fill>
      <border>
        <left style="thin">
          <color auto="1"/>
        </left>
        <right style="thin">
          <color auto="1"/>
        </right>
        <vertical/>
        <horizontal/>
      </border>
    </dxf>
    <dxf>
      <font>
        <color theme="0"/>
      </font>
      <fill>
        <patternFill>
          <bgColor theme="0"/>
        </patternFill>
      </fill>
      <border>
        <vertical/>
        <horizontal/>
      </border>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b/>
        <i val="0"/>
        <u/>
        <color theme="9"/>
      </font>
    </dxf>
    <dxf>
      <font>
        <b/>
        <i val="0"/>
        <color rgb="FFFF0000"/>
      </font>
    </dxf>
    <dxf>
      <font>
        <b/>
        <i val="0"/>
      </font>
      <fill>
        <patternFill>
          <bgColor rgb="FFFFFF00"/>
        </patternFill>
      </fill>
    </dxf>
    <dxf>
      <font>
        <color theme="0"/>
      </font>
      <fill>
        <patternFill>
          <bgColor theme="0"/>
        </patternFill>
      </fill>
    </dxf>
    <dxf>
      <font>
        <b/>
        <i val="0"/>
        <u/>
        <color theme="9"/>
      </font>
    </dxf>
    <dxf>
      <font>
        <color theme="0" tint="-0.14996795556505021"/>
      </font>
      <fill>
        <patternFill>
          <bgColor theme="0"/>
        </patternFill>
      </fill>
    </dxf>
    <dxf>
      <font>
        <b/>
        <i val="0"/>
        <color rgb="FFFF0000"/>
      </font>
    </dxf>
    <dxf>
      <font>
        <color theme="0"/>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s>
  <tableStyles count="0" defaultTableStyle="TableStyleMedium2" defaultPivotStyle="PivotStyleLight16"/>
  <colors>
    <mruColors>
      <color rgb="FF00FF00"/>
      <color rgb="FFC8FFC8"/>
      <color rgb="FFCCFFCC"/>
      <color rgb="FFFFCCFF"/>
      <color rgb="FFFFFFCC"/>
      <color rgb="FFFF9933"/>
      <color rgb="FF0000FF"/>
      <color rgb="FFCC99FF"/>
      <color rgb="FF66CCFF"/>
      <color rgb="FF9DF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fmlaLink="'Data Calculations'!$B$179" lockText="1"/>
</file>

<file path=xl/ctrlProps/ctrlProp10.xml><?xml version="1.0" encoding="utf-8"?>
<formControlPr xmlns="http://schemas.microsoft.com/office/spreadsheetml/2009/9/main" objectType="Drop" dropLines="5" dropStyle="combo" dx="16" fmlaLink="'Data Calculations'!C186" fmlaRange="'Data Calculations'!C180:C183" noThreeD="1" val="0"/>
</file>

<file path=xl/ctrlProps/ctrlProp11.xml><?xml version="1.0" encoding="utf-8"?>
<formControlPr xmlns="http://schemas.microsoft.com/office/spreadsheetml/2009/9/main" objectType="Drop" dropLines="5" dropStyle="combo" dx="16" fmlaLink="'Data Calculations'!D186" fmlaRange="'Data Calculations'!D180:D183" noThreeD="1" val="0"/>
</file>

<file path=xl/ctrlProps/ctrlProp12.xml><?xml version="1.0" encoding="utf-8"?>
<formControlPr xmlns="http://schemas.microsoft.com/office/spreadsheetml/2009/9/main" objectType="Drop" dropLines="5" dropStyle="combo" dx="16" fmlaLink="'Data Calculations'!E186" fmlaRange="'Data Calculations'!E180:E183" noThreeD="1" val="0"/>
</file>

<file path=xl/ctrlProps/ctrlProp13.xml><?xml version="1.0" encoding="utf-8"?>
<formControlPr xmlns="http://schemas.microsoft.com/office/spreadsheetml/2009/9/main" objectType="Drop" dropLines="5" dropStyle="combo" dx="16" fmlaLink="'Data Calculations'!F186" fmlaRange="'Data Calculations'!F180:F183" noThreeD="1" val="0"/>
</file>

<file path=xl/ctrlProps/ctrlProp14.xml><?xml version="1.0" encoding="utf-8"?>
<formControlPr xmlns="http://schemas.microsoft.com/office/spreadsheetml/2009/9/main" objectType="CheckBox" fmlaLink="'Data Calculations'!D$139" lockText="1"/>
</file>

<file path=xl/ctrlProps/ctrlProp15.xml><?xml version="1.0" encoding="utf-8"?>
<formControlPr xmlns="http://schemas.microsoft.com/office/spreadsheetml/2009/9/main" objectType="CheckBox" fmlaLink="'Data Calculations'!E$139" lockText="1"/>
</file>

<file path=xl/ctrlProps/ctrlProp16.xml><?xml version="1.0" encoding="utf-8"?>
<formControlPr xmlns="http://schemas.microsoft.com/office/spreadsheetml/2009/9/main" objectType="CheckBox" fmlaLink="'Data Calculations'!F$139" lockText="1"/>
</file>

<file path=xl/ctrlProps/ctrlProp17.xml><?xml version="1.0" encoding="utf-8"?>
<formControlPr xmlns="http://schemas.microsoft.com/office/spreadsheetml/2009/9/main" objectType="CheckBox" fmlaLink="'Data Calculations'!C$142" lockText="1"/>
</file>

<file path=xl/ctrlProps/ctrlProp18.xml><?xml version="1.0" encoding="utf-8"?>
<formControlPr xmlns="http://schemas.microsoft.com/office/spreadsheetml/2009/9/main" objectType="CheckBox" fmlaLink="'Data Calculations'!D$142" lockText="1"/>
</file>

<file path=xl/ctrlProps/ctrlProp19.xml><?xml version="1.0" encoding="utf-8"?>
<formControlPr xmlns="http://schemas.microsoft.com/office/spreadsheetml/2009/9/main" objectType="CheckBox" fmlaLink="'Data Calculations'!E$142" lockText="1"/>
</file>

<file path=xl/ctrlProps/ctrlProp2.xml><?xml version="1.0" encoding="utf-8"?>
<formControlPr xmlns="http://schemas.microsoft.com/office/spreadsheetml/2009/9/main" objectType="Drop" dropStyle="combo" dx="16" fmlaLink="'Data Calculations'!C$70" fmlaRange="'Data Calculations'!$B$63:$B$66" noThreeD="1" val="0"/>
</file>

<file path=xl/ctrlProps/ctrlProp20.xml><?xml version="1.0" encoding="utf-8"?>
<formControlPr xmlns="http://schemas.microsoft.com/office/spreadsheetml/2009/9/main" objectType="CheckBox" fmlaLink="'Data Calculations'!F$142" lockText="1"/>
</file>

<file path=xl/ctrlProps/ctrlProp3.xml><?xml version="1.0" encoding="utf-8"?>
<formControlPr xmlns="http://schemas.microsoft.com/office/spreadsheetml/2009/9/main" objectType="Drop" dropStyle="combo" dx="16" fmlaLink="'Data Calculations'!D$70" fmlaRange="'Data Calculations'!$B$63:$B$66" noThreeD="1" val="0"/>
</file>

<file path=xl/ctrlProps/ctrlProp4.xml><?xml version="1.0" encoding="utf-8"?>
<formControlPr xmlns="http://schemas.microsoft.com/office/spreadsheetml/2009/9/main" objectType="Drop" dropStyle="combo" dx="16" fmlaLink="'Data Calculations'!E$70" fmlaRange="'Data Calculations'!$B$63:$B$66" noThreeD="1" val="0"/>
</file>

<file path=xl/ctrlProps/ctrlProp5.xml><?xml version="1.0" encoding="utf-8"?>
<formControlPr xmlns="http://schemas.microsoft.com/office/spreadsheetml/2009/9/main" objectType="Drop" dropStyle="combo" dx="16" fmlaLink="'Data Calculations'!F$70" fmlaRange="'Data Calculations'!$B$63:$B$66" noThreeD="1" val="0"/>
</file>

<file path=xl/ctrlProps/ctrlProp6.xml><?xml version="1.0" encoding="utf-8"?>
<formControlPr xmlns="http://schemas.microsoft.com/office/spreadsheetml/2009/9/main" objectType="CheckBox" fmlaLink="'Data Calculations'!$B$83" lockText="1"/>
</file>

<file path=xl/ctrlProps/ctrlProp7.xml><?xml version="1.0" encoding="utf-8"?>
<formControlPr xmlns="http://schemas.microsoft.com/office/spreadsheetml/2009/9/main" objectType="CheckBox" fmlaLink="'Data Calculations'!C$139" lockText="1"/>
</file>

<file path=xl/ctrlProps/ctrlProp8.xml><?xml version="1.0" encoding="utf-8"?>
<formControlPr xmlns="http://schemas.microsoft.com/office/spreadsheetml/2009/9/main" objectType="Drop" dropLines="6" dropStyle="combo" dx="16" fmlaLink="'Data Calculations'!$C$54" fmlaRange="'Data Calculations'!$B$45:$B$50" noThreeD="1" val="0"/>
</file>

<file path=xl/ctrlProps/ctrlProp9.xml><?xml version="1.0" encoding="utf-8"?>
<formControlPr xmlns="http://schemas.microsoft.com/office/spreadsheetml/2009/9/main" objectType="CheckBox" fmlaLink="'Data Calculations'!$B$94"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Blocks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11</xdr:row>
          <xdr:rowOff>0</xdr:rowOff>
        </xdr:from>
        <xdr:to>
          <xdr:col>3</xdr:col>
          <xdr:colOff>0</xdr:colOff>
          <xdr:row>11</xdr:row>
          <xdr:rowOff>200025</xdr:rowOff>
        </xdr:to>
        <xdr:sp macro="" textlink="">
          <xdr:nvSpPr>
            <xdr:cNvPr id="1057" name="Drop Down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3</xdr:col>
          <xdr:colOff>1552575</xdr:colOff>
          <xdr:row>11</xdr:row>
          <xdr:rowOff>200025</xdr:rowOff>
        </xdr:to>
        <xdr:sp macro="" textlink="">
          <xdr:nvSpPr>
            <xdr:cNvPr id="1062" name="Drop Down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200025</xdr:rowOff>
        </xdr:from>
        <xdr:to>
          <xdr:col>4</xdr:col>
          <xdr:colOff>1552575</xdr:colOff>
          <xdr:row>11</xdr:row>
          <xdr:rowOff>190500</xdr:rowOff>
        </xdr:to>
        <xdr:sp macro="" textlink="">
          <xdr:nvSpPr>
            <xdr:cNvPr id="1065" name="Drop Down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11</xdr:row>
          <xdr:rowOff>0</xdr:rowOff>
        </xdr:from>
        <xdr:to>
          <xdr:col>6</xdr:col>
          <xdr:colOff>0</xdr:colOff>
          <xdr:row>11</xdr:row>
          <xdr:rowOff>200025</xdr:rowOff>
        </xdr:to>
        <xdr:sp macro="" textlink="">
          <xdr:nvSpPr>
            <xdr:cNvPr id="1066" name="Drop Down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23</xdr:row>
          <xdr:rowOff>28575</xdr:rowOff>
        </xdr:from>
        <xdr:to>
          <xdr:col>2</xdr:col>
          <xdr:colOff>1524000</xdr:colOff>
          <xdr:row>23</xdr:row>
          <xdr:rowOff>219075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133" name="Drop Down 109" hidden="1">
              <a:extLst>
                <a:ext uri="{63B3BB69-23CF-44E3-9099-C40C66FF867C}">
                  <a14:compatExt spid="_x0000_s1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32</xdr:row>
          <xdr:rowOff>0</xdr:rowOff>
        </xdr:from>
        <xdr:to>
          <xdr:col>3</xdr:col>
          <xdr:colOff>0</xdr:colOff>
          <xdr:row>33</xdr:row>
          <xdr:rowOff>9525</xdr:rowOff>
        </xdr:to>
        <xdr:sp macro="" textlink="">
          <xdr:nvSpPr>
            <xdr:cNvPr id="1338" name="Drop Down 314" hidden="1">
              <a:extLst>
                <a:ext uri="{63B3BB69-23CF-44E3-9099-C40C66FF867C}">
                  <a14:compatExt spid="_x0000_s1338"/>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xdr:row>
          <xdr:rowOff>0</xdr:rowOff>
        </xdr:from>
        <xdr:to>
          <xdr:col>4</xdr:col>
          <xdr:colOff>0</xdr:colOff>
          <xdr:row>33</xdr:row>
          <xdr:rowOff>9525</xdr:rowOff>
        </xdr:to>
        <xdr:sp macro="" textlink="">
          <xdr:nvSpPr>
            <xdr:cNvPr id="1340" name="Drop Down 316" hidden="1">
              <a:extLst>
                <a:ext uri="{63B3BB69-23CF-44E3-9099-C40C66FF867C}">
                  <a14:compatExt spid="_x0000_s1340"/>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32</xdr:row>
          <xdr:rowOff>0</xdr:rowOff>
        </xdr:from>
        <xdr:to>
          <xdr:col>5</xdr:col>
          <xdr:colOff>0</xdr:colOff>
          <xdr:row>33</xdr:row>
          <xdr:rowOff>9525</xdr:rowOff>
        </xdr:to>
        <xdr:sp macro="" textlink="">
          <xdr:nvSpPr>
            <xdr:cNvPr id="1342" name="Drop Down 318" hidden="1">
              <a:extLst>
                <a:ext uri="{63B3BB69-23CF-44E3-9099-C40C66FF867C}">
                  <a14:compatExt spid="_x0000_s1342"/>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32</xdr:row>
          <xdr:rowOff>0</xdr:rowOff>
        </xdr:from>
        <xdr:to>
          <xdr:col>6</xdr:col>
          <xdr:colOff>0</xdr:colOff>
          <xdr:row>33</xdr:row>
          <xdr:rowOff>9525</xdr:rowOff>
        </xdr:to>
        <xdr:sp macro="" textlink="">
          <xdr:nvSpPr>
            <xdr:cNvPr id="1344" name="Drop Down 320" hidden="1">
              <a:extLst>
                <a:ext uri="{63B3BB69-23CF-44E3-9099-C40C66FF867C}">
                  <a14:compatExt spid="_x0000_s1344"/>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23</xdr:row>
          <xdr:rowOff>28575</xdr:rowOff>
        </xdr:from>
        <xdr:to>
          <xdr:col>3</xdr:col>
          <xdr:colOff>1524000</xdr:colOff>
          <xdr:row>23</xdr:row>
          <xdr:rowOff>219075</xdr:rowOff>
        </xdr:to>
        <xdr:sp macro="" textlink="">
          <xdr:nvSpPr>
            <xdr:cNvPr id="1710" name="Check Box 686" hidden="1">
              <a:extLst>
                <a:ext uri="{63B3BB69-23CF-44E3-9099-C40C66FF867C}">
                  <a14:compatExt spid="_x0000_s17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23</xdr:row>
          <xdr:rowOff>28575</xdr:rowOff>
        </xdr:from>
        <xdr:to>
          <xdr:col>4</xdr:col>
          <xdr:colOff>1524000</xdr:colOff>
          <xdr:row>23</xdr:row>
          <xdr:rowOff>219075</xdr:rowOff>
        </xdr:to>
        <xdr:sp macro="" textlink="">
          <xdr:nvSpPr>
            <xdr:cNvPr id="1713" name="Check Box 689" hidden="1">
              <a:extLst>
                <a:ext uri="{63B3BB69-23CF-44E3-9099-C40C66FF867C}">
                  <a14:compatExt spid="_x0000_s17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23</xdr:row>
          <xdr:rowOff>28575</xdr:rowOff>
        </xdr:from>
        <xdr:to>
          <xdr:col>5</xdr:col>
          <xdr:colOff>1524000</xdr:colOff>
          <xdr:row>23</xdr:row>
          <xdr:rowOff>219075</xdr:rowOff>
        </xdr:to>
        <xdr:sp macro="" textlink="">
          <xdr:nvSpPr>
            <xdr:cNvPr id="1718" name="Check Box 694" hidden="1">
              <a:extLst>
                <a:ext uri="{63B3BB69-23CF-44E3-9099-C40C66FF867C}">
                  <a14:compatExt spid="_x0000_s17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26</xdr:row>
          <xdr:rowOff>9525</xdr:rowOff>
        </xdr:from>
        <xdr:to>
          <xdr:col>2</xdr:col>
          <xdr:colOff>1533525</xdr:colOff>
          <xdr:row>26</xdr:row>
          <xdr:rowOff>200025</xdr:rowOff>
        </xdr:to>
        <xdr:sp macro="" textlink="">
          <xdr:nvSpPr>
            <xdr:cNvPr id="1756" name="Check Box 732" hidden="1">
              <a:extLst>
                <a:ext uri="{63B3BB69-23CF-44E3-9099-C40C66FF867C}">
                  <a14:compatExt spid="_x0000_s17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26</xdr:row>
          <xdr:rowOff>9525</xdr:rowOff>
        </xdr:from>
        <xdr:to>
          <xdr:col>3</xdr:col>
          <xdr:colOff>1533525</xdr:colOff>
          <xdr:row>26</xdr:row>
          <xdr:rowOff>200025</xdr:rowOff>
        </xdr:to>
        <xdr:sp macro="" textlink="">
          <xdr:nvSpPr>
            <xdr:cNvPr id="1823" name="Check Box 799" hidden="1">
              <a:extLst>
                <a:ext uri="{63B3BB69-23CF-44E3-9099-C40C66FF867C}">
                  <a14:compatExt spid="_x0000_s18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26</xdr:row>
          <xdr:rowOff>9525</xdr:rowOff>
        </xdr:from>
        <xdr:to>
          <xdr:col>4</xdr:col>
          <xdr:colOff>1533525</xdr:colOff>
          <xdr:row>26</xdr:row>
          <xdr:rowOff>200025</xdr:rowOff>
        </xdr:to>
        <xdr:sp macro="" textlink="">
          <xdr:nvSpPr>
            <xdr:cNvPr id="1824" name="Check Box 800" hidden="1">
              <a:extLst>
                <a:ext uri="{63B3BB69-23CF-44E3-9099-C40C66FF867C}">
                  <a14:compatExt spid="_x0000_s18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26</xdr:row>
          <xdr:rowOff>9525</xdr:rowOff>
        </xdr:from>
        <xdr:to>
          <xdr:col>5</xdr:col>
          <xdr:colOff>1533525</xdr:colOff>
          <xdr:row>26</xdr:row>
          <xdr:rowOff>200025</xdr:rowOff>
        </xdr:to>
        <xdr:sp macro="" textlink="">
          <xdr:nvSpPr>
            <xdr:cNvPr id="1825" name="Check Box 801" hidden="1">
              <a:extLst>
                <a:ext uri="{63B3BB69-23CF-44E3-9099-C40C66FF867C}">
                  <a14:compatExt spid="_x0000_s18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J51"/>
  <sheetViews>
    <sheetView tabSelected="1" zoomScale="91" zoomScaleNormal="91" workbookViewId="0">
      <selection activeCell="C1" sqref="C1:F1"/>
    </sheetView>
  </sheetViews>
  <sheetFormatPr defaultColWidth="8.85546875" defaultRowHeight="17.100000000000001" customHeight="1" x14ac:dyDescent="0.2"/>
  <cols>
    <col min="1" max="1" width="13.42578125" style="4" customWidth="1"/>
    <col min="2" max="2" width="32.5703125" style="4" customWidth="1"/>
    <col min="3"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47" t="s">
        <v>17</v>
      </c>
      <c r="B1" s="11" t="s">
        <v>0</v>
      </c>
      <c r="C1" s="553"/>
      <c r="D1" s="553"/>
      <c r="E1" s="553"/>
      <c r="F1" s="553"/>
      <c r="H1" s="47"/>
      <c r="I1" s="4" t="s">
        <v>263</v>
      </c>
    </row>
    <row r="2" spans="1:10" ht="17.100000000000001" customHeight="1" x14ac:dyDescent="0.2">
      <c r="A2" s="548"/>
      <c r="B2" s="5" t="s">
        <v>1</v>
      </c>
      <c r="C2" s="554"/>
      <c r="D2" s="554"/>
      <c r="E2" s="554"/>
      <c r="F2" s="554"/>
      <c r="H2" s="6"/>
      <c r="I2" s="7" t="s">
        <v>265</v>
      </c>
    </row>
    <row r="3" spans="1:10" ht="17.100000000000001" customHeight="1" thickBot="1" x14ac:dyDescent="0.25">
      <c r="A3" s="22" t="s">
        <v>161</v>
      </c>
      <c r="B3" s="10" t="s">
        <v>162</v>
      </c>
      <c r="C3" s="556"/>
      <c r="D3" s="556"/>
      <c r="E3" s="556"/>
      <c r="F3" s="556"/>
      <c r="H3" s="26"/>
      <c r="I3" s="4" t="s">
        <v>266</v>
      </c>
    </row>
    <row r="4" spans="1:10" ht="17.100000000000001" customHeight="1" thickTop="1" x14ac:dyDescent="0.2">
      <c r="A4" s="560" t="s">
        <v>16</v>
      </c>
      <c r="B4" s="561"/>
      <c r="C4" s="557"/>
      <c r="D4" s="557"/>
      <c r="E4" s="557"/>
      <c r="F4" s="557"/>
      <c r="H4" s="55"/>
      <c r="I4" s="7" t="s">
        <v>184</v>
      </c>
    </row>
    <row r="5" spans="1:10" ht="17.100000000000001" customHeight="1" thickBot="1" x14ac:dyDescent="0.3">
      <c r="A5" s="564" t="s">
        <v>15</v>
      </c>
      <c r="B5" s="565"/>
      <c r="C5" s="555"/>
      <c r="D5" s="555"/>
      <c r="E5" s="555"/>
      <c r="F5" s="555"/>
      <c r="H5" s="37">
        <v>0</v>
      </c>
      <c r="I5" s="4" t="s">
        <v>224</v>
      </c>
    </row>
    <row r="6" spans="1:10" ht="17.100000000000001" customHeight="1" thickTop="1" thickBot="1" x14ac:dyDescent="0.25">
      <c r="A6" s="558" t="s">
        <v>253</v>
      </c>
      <c r="B6" s="559"/>
      <c r="C6" s="48"/>
      <c r="D6" s="49"/>
      <c r="E6" s="49"/>
      <c r="F6" s="476"/>
      <c r="H6" s="13"/>
      <c r="I6" s="4" t="s">
        <v>264</v>
      </c>
    </row>
    <row r="7" spans="1:10" ht="17.100000000000001" customHeight="1" thickTop="1" thickBot="1" x14ac:dyDescent="0.25">
      <c r="A7" s="566" t="s">
        <v>169</v>
      </c>
      <c r="B7" s="567"/>
      <c r="C7" s="21"/>
      <c r="D7" s="546" t="str">
        <f>'Data Calculations'!C53</f>
        <v>Select Treatment Unit</v>
      </c>
      <c r="E7" s="546"/>
      <c r="F7" s="546"/>
      <c r="H7" s="389">
        <v>0</v>
      </c>
      <c r="I7" s="4" t="s">
        <v>267</v>
      </c>
    </row>
    <row r="8" spans="1:10" ht="17.100000000000001" customHeight="1" thickTop="1" x14ac:dyDescent="0.25">
      <c r="A8" s="550" t="s">
        <v>149</v>
      </c>
      <c r="B8" s="11" t="s">
        <v>19</v>
      </c>
      <c r="C8" s="17"/>
      <c r="D8" s="17"/>
      <c r="E8" s="17"/>
      <c r="F8" s="17"/>
      <c r="H8" s="390">
        <v>0</v>
      </c>
      <c r="I8" s="4" t="s">
        <v>339</v>
      </c>
    </row>
    <row r="9" spans="1:10" ht="17.100000000000001" customHeight="1" x14ac:dyDescent="0.25">
      <c r="A9" s="551"/>
      <c r="B9" s="5" t="s">
        <v>166</v>
      </c>
      <c r="C9" s="62" t="str">
        <f>'Data Calculations'!C208</f>
        <v/>
      </c>
      <c r="D9" s="62" t="str">
        <f>'Data Calculations'!D208</f>
        <v/>
      </c>
      <c r="E9" s="62" t="str">
        <f>'Data Calculations'!E208</f>
        <v/>
      </c>
      <c r="F9" s="62" t="str">
        <f>'Data Calculations'!F208</f>
        <v/>
      </c>
      <c r="H9" s="364">
        <v>0</v>
      </c>
      <c r="I9" s="4" t="s">
        <v>338</v>
      </c>
      <c r="J9" s="8"/>
    </row>
    <row r="10" spans="1:10" ht="17.100000000000001" customHeight="1" x14ac:dyDescent="0.25">
      <c r="A10" s="551"/>
      <c r="B10" s="5" t="s">
        <v>114</v>
      </c>
      <c r="C10" s="38" t="str">
        <f>IF('Data Calculations'!C34,'Data Calculations'!C214,"")</f>
        <v/>
      </c>
      <c r="D10" s="38" t="str">
        <f>IF('Data Calculations'!D34,'Data Calculations'!D214,"")</f>
        <v/>
      </c>
      <c r="E10" s="38" t="str">
        <f>IF('Data Calculations'!E34,'Data Calculations'!E214,"")</f>
        <v/>
      </c>
      <c r="F10" s="38" t="str">
        <f>IF('Data Calculations'!F34,'Data Calculations'!F214,"")</f>
        <v/>
      </c>
      <c r="H10" s="391">
        <v>0</v>
      </c>
      <c r="I10" s="4" t="s">
        <v>337</v>
      </c>
    </row>
    <row r="11" spans="1:10" ht="17.100000000000001" customHeight="1" x14ac:dyDescent="0.25">
      <c r="A11" s="551"/>
      <c r="B11" s="5" t="s">
        <v>182</v>
      </c>
      <c r="C11" s="38" t="str">
        <f>IF('Data Calculations'!C34,'Data Calculations'!C215,"")</f>
        <v/>
      </c>
      <c r="D11" s="38" t="str">
        <f>IF('Data Calculations'!D34,'Data Calculations'!D215,"")</f>
        <v/>
      </c>
      <c r="E11" s="38" t="str">
        <f>IF('Data Calculations'!E34,'Data Calculations'!E215,"")</f>
        <v/>
      </c>
      <c r="F11" s="38" t="str">
        <f>IF('Data Calculations'!F34,'Data Calculations'!F215,"")</f>
        <v/>
      </c>
    </row>
    <row r="12" spans="1:10" ht="17.100000000000001" customHeight="1" x14ac:dyDescent="0.2">
      <c r="A12" s="551"/>
      <c r="B12" s="5" t="s">
        <v>142</v>
      </c>
      <c r="C12" s="9"/>
      <c r="D12" s="9"/>
      <c r="E12" s="9"/>
      <c r="F12" s="9"/>
    </row>
    <row r="13" spans="1:10" ht="17.100000000000001" customHeight="1" thickBot="1" x14ac:dyDescent="0.25">
      <c r="A13" s="552"/>
      <c r="B13" s="10" t="s">
        <v>70</v>
      </c>
      <c r="C13" s="56" t="str">
        <f>IF('Data Calculations'!C34,'Data Calculations'!C69,"")</f>
        <v/>
      </c>
      <c r="D13" s="56" t="str">
        <f>IF(D8="","",'Data Calculations'!D69)</f>
        <v/>
      </c>
      <c r="E13" s="56" t="str">
        <f>IF(E8="","",'Data Calculations'!E69)</f>
        <v/>
      </c>
      <c r="F13" s="56" t="str">
        <f>IF(F8="","",'Data Calculations'!F69)</f>
        <v/>
      </c>
    </row>
    <row r="14" spans="1:10" ht="17.100000000000001" customHeight="1" thickTop="1" x14ac:dyDescent="0.2">
      <c r="A14" s="551" t="s">
        <v>336</v>
      </c>
      <c r="B14" s="384" t="s">
        <v>185</v>
      </c>
      <c r="C14" s="385"/>
      <c r="D14" s="385"/>
      <c r="E14" s="385"/>
      <c r="F14" s="385"/>
    </row>
    <row r="15" spans="1:10" ht="17.100000000000001" customHeight="1" x14ac:dyDescent="0.2">
      <c r="A15" s="551"/>
      <c r="B15" s="5" t="str">
        <f>IF('Data Calculations'!B83,"Reference Depth (cm)","")</f>
        <v/>
      </c>
      <c r="C15" s="50"/>
      <c r="D15" s="50"/>
      <c r="E15" s="50"/>
      <c r="F15" s="50"/>
    </row>
    <row r="16" spans="1:10" ht="17.100000000000001" customHeight="1" x14ac:dyDescent="0.25">
      <c r="A16" s="551"/>
      <c r="B16" s="5" t="str">
        <f>IF('Data Calculations'!$B$83,"STD","")</f>
        <v/>
      </c>
      <c r="C16" s="39" t="str">
        <f>IF('Data Calculations'!C34,IF('Data Calculations'!C87,'Data Calculations'!C90,""),"")</f>
        <v/>
      </c>
      <c r="D16" s="40" t="str">
        <f>IF('Data Calculations'!D34,IF('Data Calculations'!D87,'Data Calculations'!D90,""),"")</f>
        <v/>
      </c>
      <c r="E16" s="40" t="str">
        <f>IF('Data Calculations'!E34,IF('Data Calculations'!E87,'Data Calculations'!E90,""),"")</f>
        <v/>
      </c>
      <c r="F16" s="40" t="str">
        <f>IF('Data Calculations'!F34,IF('Data Calculations'!F87,'Data Calculations'!F90,""),"")</f>
        <v/>
      </c>
    </row>
    <row r="17" spans="1:6" ht="17.100000000000001" customHeight="1" x14ac:dyDescent="0.2">
      <c r="A17" s="551"/>
      <c r="B17" s="5" t="str">
        <f>IF('Data Calculations'!$B$83,"Effective SAD","")</f>
        <v/>
      </c>
      <c r="C17" s="57" t="str">
        <f>IF('Data Calculations'!C34,IF('Data Calculations'!C87,'Data Calculations'!C84,""),"")</f>
        <v/>
      </c>
      <c r="D17" s="57" t="str">
        <f>IF('Data Calculations'!D34,IF('Data Calculations'!D87,'Data Calculations'!D84,""),"")</f>
        <v/>
      </c>
      <c r="E17" s="57" t="str">
        <f>IF('Data Calculations'!E34,IF('Data Calculations'!E87,'Data Calculations'!E84,""),"")</f>
        <v/>
      </c>
      <c r="F17" s="57" t="str">
        <f>IF('Data Calculations'!F34,IF('Data Calculations'!F87,'Data Calculations'!F84,""),"")</f>
        <v/>
      </c>
    </row>
    <row r="18" spans="1:6" ht="17.100000000000001" customHeight="1" thickBot="1" x14ac:dyDescent="0.3">
      <c r="A18" s="552"/>
      <c r="B18" s="10" t="s">
        <v>5</v>
      </c>
      <c r="C18" s="41" t="str">
        <f>IF('Data Calculations'!C34,'Data Calculations'!C92,"")</f>
        <v/>
      </c>
      <c r="D18" s="41" t="str">
        <f>IF('Data Calculations'!D34,'Data Calculations'!D92,"")</f>
        <v/>
      </c>
      <c r="E18" s="41" t="str">
        <f>IF('Data Calculations'!E34,'Data Calculations'!E92,"")</f>
        <v/>
      </c>
      <c r="F18" s="41" t="str">
        <f>IF('Data Calculations'!F34,'Data Calculations'!F92,"")</f>
        <v/>
      </c>
    </row>
    <row r="19" spans="1:6" ht="17.100000000000001" customHeight="1" thickTop="1" x14ac:dyDescent="0.2">
      <c r="A19" s="550" t="str">
        <f>IF('Data Calculations'!B94,"Bolus","")</f>
        <v/>
      </c>
      <c r="B19" s="11" t="str">
        <f>IF('Data Calculations'!B94,"Nominal Bolus Thickness","")</f>
        <v/>
      </c>
      <c r="C19" s="27"/>
      <c r="D19" s="27"/>
      <c r="E19" s="27"/>
      <c r="F19" s="27"/>
    </row>
    <row r="20" spans="1:6" ht="17.100000000000001" customHeight="1" x14ac:dyDescent="0.2">
      <c r="A20" s="551"/>
      <c r="B20" s="29" t="str">
        <f>IF('Data Calculations'!B94,"Source to Bolus Distance","")</f>
        <v/>
      </c>
      <c r="C20" s="50"/>
      <c r="D20" s="50"/>
      <c r="E20" s="50"/>
      <c r="F20" s="50"/>
    </row>
    <row r="21" spans="1:6" ht="17.100000000000001" customHeight="1" thickBot="1" x14ac:dyDescent="0.3">
      <c r="A21" s="552"/>
      <c r="B21" s="386" t="str">
        <f>IF('Data Calculations'!B94,"Effective Bolus Thickness (cm)","")</f>
        <v/>
      </c>
      <c r="C21" s="42" t="str">
        <f>IF(AND('Data Calculations'!C34,'Data Calculations'!C96),'Data Calculations'!C98,"")</f>
        <v/>
      </c>
      <c r="D21" s="42" t="str">
        <f>IF(AND('Data Calculations'!D34,'Data Calculations'!D96),'Data Calculations'!D98,"")</f>
        <v/>
      </c>
      <c r="E21" s="42" t="str">
        <f>IF(AND('Data Calculations'!E34,'Data Calculations'!E96),'Data Calculations'!E98,"")</f>
        <v/>
      </c>
      <c r="F21" s="42" t="str">
        <f>IF(AND('Data Calculations'!F34,'Data Calculations'!F96),'Data Calculations'!F98,"")</f>
        <v/>
      </c>
    </row>
    <row r="22" spans="1:6" ht="17.100000000000001" customHeight="1" thickTop="1" thickBot="1" x14ac:dyDescent="0.25">
      <c r="A22" s="63" t="s">
        <v>20</v>
      </c>
      <c r="B22" s="16" t="s">
        <v>21</v>
      </c>
      <c r="C22" s="51"/>
      <c r="D22" s="51"/>
      <c r="E22" s="51"/>
      <c r="F22" s="51"/>
    </row>
    <row r="23" spans="1:6" ht="17.100000000000001" customHeight="1" thickTop="1" thickBot="1" x14ac:dyDescent="0.3">
      <c r="A23" s="562" t="s">
        <v>188</v>
      </c>
      <c r="B23" s="563"/>
      <c r="C23" s="43" t="str">
        <f>IF('Data Calculations'!C34,'Data Calculations'!C114,"")</f>
        <v/>
      </c>
      <c r="D23" s="43" t="str">
        <f>IF('Data Calculations'!D34,'Data Calculations'!D114,"")</f>
        <v/>
      </c>
      <c r="E23" s="43" t="str">
        <f>IF('Data Calculations'!E34,'Data Calculations'!E114,"")</f>
        <v/>
      </c>
      <c r="F23" s="43" t="str">
        <f>IF('Data Calculations'!F34,'Data Calculations'!F114,"")</f>
        <v/>
      </c>
    </row>
    <row r="24" spans="1:6" ht="18" customHeight="1" thickTop="1" x14ac:dyDescent="0.2">
      <c r="A24" s="547" t="str">
        <f>IF('Data Calculations'!$B$83,"Collimator Jaw Settings (cm)","Field size (cm)")</f>
        <v>Field size (cm)</v>
      </c>
      <c r="B24" s="11" t="s">
        <v>148</v>
      </c>
      <c r="C24" s="52" t="b">
        <f>'Data Calculations'!C139</f>
        <v>0</v>
      </c>
      <c r="D24" s="52" t="b">
        <f>'Data Calculations'!D139</f>
        <v>0</v>
      </c>
      <c r="E24" s="52" t="b">
        <f>'Data Calculations'!E139</f>
        <v>0</v>
      </c>
      <c r="F24" s="52" t="b">
        <f>'Data Calculations'!F139</f>
        <v>0</v>
      </c>
    </row>
    <row r="25" spans="1:6" ht="17.100000000000001" customHeight="1" x14ac:dyDescent="0.2">
      <c r="A25" s="548"/>
      <c r="B25" s="5" t="str">
        <f>IF(AND(C24:F24),"X",IF(OR(C24:F24),"X   (X1)","X1"))</f>
        <v>X1</v>
      </c>
      <c r="C25" s="53"/>
      <c r="D25" s="53"/>
      <c r="E25" s="53"/>
      <c r="F25" s="53"/>
    </row>
    <row r="26" spans="1:6" ht="17.100000000000001" customHeight="1" x14ac:dyDescent="0.2">
      <c r="A26" s="548"/>
      <c r="B26" s="5" t="str">
        <f>IF(AND(C24:F24),"",IF(OR(C24:F24),"(X2)","X2"))</f>
        <v>X2</v>
      </c>
      <c r="C26" s="53"/>
      <c r="D26" s="53"/>
      <c r="E26" s="53"/>
      <c r="F26" s="53"/>
    </row>
    <row r="27" spans="1:6" ht="17.100000000000001" customHeight="1" x14ac:dyDescent="0.2">
      <c r="A27" s="548"/>
      <c r="B27" s="5" t="s">
        <v>323</v>
      </c>
      <c r="C27" s="54" t="b">
        <f>'Data Calculations'!C142</f>
        <v>0</v>
      </c>
      <c r="D27" s="54" t="b">
        <f>'Data Calculations'!D142</f>
        <v>0</v>
      </c>
      <c r="E27" s="54" t="b">
        <f>'Data Calculations'!E142</f>
        <v>0</v>
      </c>
      <c r="F27" s="54" t="b">
        <f>'Data Calculations'!F142</f>
        <v>0</v>
      </c>
    </row>
    <row r="28" spans="1:6" ht="17.100000000000001" customHeight="1" x14ac:dyDescent="0.2">
      <c r="A28" s="548"/>
      <c r="B28" s="5" t="str">
        <f>IF(AND(C27:F27),"Y",IF(OR(C27:F27),"Y   (Y1)","Y1"))</f>
        <v>Y1</v>
      </c>
      <c r="C28" s="53"/>
      <c r="D28" s="53"/>
      <c r="E28" s="53"/>
      <c r="F28" s="53"/>
    </row>
    <row r="29" spans="1:6" ht="17.100000000000001" customHeight="1" x14ac:dyDescent="0.2">
      <c r="A29" s="548"/>
      <c r="B29" s="5" t="str">
        <f>IF(AND(C27:F27),"",IF(OR(C27:F27),"(Y2)","Y2"))</f>
        <v>Y2</v>
      </c>
      <c r="C29" s="53"/>
      <c r="D29" s="53"/>
      <c r="E29" s="53"/>
      <c r="F29" s="53"/>
    </row>
    <row r="30" spans="1:6" ht="17.100000000000001" customHeight="1" x14ac:dyDescent="0.2">
      <c r="A30" s="548"/>
      <c r="B30" s="18" t="str">
        <f>IF('Data Calculations'!B83,"Collimator Setting","")</f>
        <v/>
      </c>
      <c r="C30" s="25" t="str">
        <f>IF('Data Calculations'!C34,IF('Data Calculations'!C$87,'Data Calculations'!C161,""),"")</f>
        <v/>
      </c>
      <c r="D30" s="25" t="str">
        <f>IF('Data Calculations'!D34,IF('Data Calculations'!D$87,'Data Calculations'!D161,""),"")</f>
        <v/>
      </c>
      <c r="E30" s="25" t="str">
        <f>IF('Data Calculations'!E34,IF('Data Calculations'!E$87,'Data Calculations'!E161,""),"")</f>
        <v/>
      </c>
      <c r="F30" s="25" t="str">
        <f>IF('Data Calculations'!F34,IF('Data Calculations'!F$87,'Data Calculations'!F161,""),"")</f>
        <v/>
      </c>
    </row>
    <row r="31" spans="1:6" ht="17.100000000000001" customHeight="1" x14ac:dyDescent="0.2">
      <c r="A31" s="548"/>
      <c r="B31" s="18" t="s">
        <v>4</v>
      </c>
      <c r="C31" s="25" t="str">
        <f>IF('Data Calculations'!C34,'Data Calculations'!C172,"")</f>
        <v/>
      </c>
      <c r="D31" s="25" t="str">
        <f>IF('Data Calculations'!D34,'Data Calculations'!D172,"")</f>
        <v/>
      </c>
      <c r="E31" s="25" t="str">
        <f>IF('Data Calculations'!E34,'Data Calculations'!E172,"")</f>
        <v/>
      </c>
      <c r="F31" s="25" t="str">
        <f>IF('Data Calculations'!F34,'Data Calculations'!F172,"")</f>
        <v/>
      </c>
    </row>
    <row r="32" spans="1:6" ht="17.100000000000001" customHeight="1" thickBot="1" x14ac:dyDescent="0.3">
      <c r="A32" s="549"/>
      <c r="B32" s="19" t="s">
        <v>163</v>
      </c>
      <c r="C32" s="41" t="str">
        <f>IF(C8="","",'Data Calculations'!C168)</f>
        <v/>
      </c>
      <c r="D32" s="41" t="str">
        <f>IF(D8="","",'Data Calculations'!D168)</f>
        <v/>
      </c>
      <c r="E32" s="41" t="str">
        <f>IF(E8="","",'Data Calculations'!E168)</f>
        <v/>
      </c>
      <c r="F32" s="41" t="str">
        <f>IF(F8="","",'Data Calculations'!F168)</f>
        <v/>
      </c>
    </row>
    <row r="33" spans="1:6" ht="17.100000000000001" customHeight="1" thickTop="1" x14ac:dyDescent="0.2">
      <c r="A33" s="550" t="str">
        <f>IF('Data Calculations'!B179,"Blocks","")</f>
        <v/>
      </c>
      <c r="B33" s="11" t="str">
        <f>IF('Data Calculations'!B179,"Block Type Selector","")</f>
        <v/>
      </c>
      <c r="C33" s="20">
        <f>'Data Calculations'!C186</f>
        <v>1</v>
      </c>
      <c r="D33" s="20">
        <f>'Data Calculations'!D186</f>
        <v>1</v>
      </c>
      <c r="E33" s="20">
        <f>'Data Calculations'!E186</f>
        <v>1</v>
      </c>
      <c r="F33" s="20">
        <f>'Data Calculations'!F186</f>
        <v>1</v>
      </c>
    </row>
    <row r="34" spans="1:6" ht="17.100000000000001" customHeight="1" thickBot="1" x14ac:dyDescent="0.25">
      <c r="A34" s="552"/>
      <c r="B34" s="10" t="str">
        <f>IF('Data Calculations'!B179,"Block Type","")</f>
        <v/>
      </c>
      <c r="C34" s="56" t="str">
        <f>IF('Data Calculations'!$B$179,'Data Calculations'!C187,"")</f>
        <v/>
      </c>
      <c r="D34" s="56" t="str">
        <f>IF('Data Calculations'!$B$179,'Data Calculations'!D187,"")</f>
        <v/>
      </c>
      <c r="E34" s="56" t="str">
        <f>IF('Data Calculations'!$B$179,'Data Calculations'!E187,"")</f>
        <v/>
      </c>
      <c r="F34" s="56" t="str">
        <f>IF('Data Calculations'!$B$179,'Data Calculations'!F187,"")</f>
        <v/>
      </c>
    </row>
    <row r="35" spans="1:6" ht="17.100000000000001" customHeight="1" thickTop="1" x14ac:dyDescent="0.2">
      <c r="A35" s="550" t="s">
        <v>18</v>
      </c>
      <c r="B35" s="11" t="s">
        <v>8</v>
      </c>
      <c r="C35" s="23" t="str">
        <f>IF('Data Calculations'!C34,'Data Calculations'!C218,"")</f>
        <v/>
      </c>
      <c r="D35" s="23" t="str">
        <f>IF('Data Calculations'!D34,'Data Calculations'!D218,"")</f>
        <v/>
      </c>
      <c r="E35" s="23" t="str">
        <f>IF('Data Calculations'!E34,'Data Calculations'!E218,"")</f>
        <v/>
      </c>
      <c r="F35" s="23" t="str">
        <f>IF('Data Calculations'!F34,'Data Calculations'!F218,"")</f>
        <v/>
      </c>
    </row>
    <row r="36" spans="1:6" ht="17.100000000000001" customHeight="1" x14ac:dyDescent="0.2">
      <c r="A36" s="551"/>
      <c r="B36" s="5" t="str">
        <f>IF(AND('Data Calculations'!C87:F87),"","RDF")</f>
        <v>RDF</v>
      </c>
      <c r="C36" s="24" t="str">
        <f>IF('Data Calculations'!C34,IF('Data Calculations'!C87,"",'Data Calculations'!C219),"")</f>
        <v/>
      </c>
      <c r="D36" s="24" t="str">
        <f>IF('Data Calculations'!D34,IF('Data Calculations'!D87,"",'Data Calculations'!D219),"")</f>
        <v/>
      </c>
      <c r="E36" s="24" t="str">
        <f>IF('Data Calculations'!E34,IF('Data Calculations'!E87,"",'Data Calculations'!E219),"")</f>
        <v/>
      </c>
      <c r="F36" s="24" t="str">
        <f>IF('Data Calculations'!F34,IF('Data Calculations'!F87,"",'Data Calculations'!F219),"")</f>
        <v/>
      </c>
    </row>
    <row r="37" spans="1:6" ht="17.100000000000001" customHeight="1" x14ac:dyDescent="0.2">
      <c r="A37" s="551"/>
      <c r="B37" s="5" t="str">
        <f>IF('Data Calculations'!$B$83,"ROF","")</f>
        <v/>
      </c>
      <c r="C37" s="24" t="str">
        <f>IF('Data Calculations'!C34,IF('Data Calculations'!C$87,'Data Calculations'!C220,""),"")</f>
        <v/>
      </c>
      <c r="D37" s="24" t="str">
        <f>IF('Data Calculations'!D34,IF('Data Calculations'!D$87,'Data Calculations'!D220,""),"")</f>
        <v/>
      </c>
      <c r="E37" s="24" t="str">
        <f>IF('Data Calculations'!E34,IF('Data Calculations'!E$87,'Data Calculations'!E220,""),"")</f>
        <v/>
      </c>
      <c r="F37" s="24" t="str">
        <f>IF('Data Calculations'!F34,IF('Data Calculations'!F$87,'Data Calculations'!F220,""),"")</f>
        <v/>
      </c>
    </row>
    <row r="38" spans="1:6" ht="17.100000000000001" customHeight="1" x14ac:dyDescent="0.2">
      <c r="A38" s="551"/>
      <c r="B38" s="5" t="str">
        <f>IF('Data Calculations'!$B$83,"PSF","")</f>
        <v/>
      </c>
      <c r="C38" s="24" t="str">
        <f>IF('Data Calculations'!C34,IF('Data Calculations'!C$87,'Data Calculations'!C221,""),"")</f>
        <v/>
      </c>
      <c r="D38" s="24" t="str">
        <f>IF('Data Calculations'!D34,IF('Data Calculations'!D$87,'Data Calculations'!D221,""),"")</f>
        <v/>
      </c>
      <c r="E38" s="24" t="str">
        <f>IF('Data Calculations'!E34,IF('Data Calculations'!E$87,'Data Calculations'!E221,""),"")</f>
        <v/>
      </c>
      <c r="F38" s="24" t="str">
        <f>IF('Data Calculations'!F34,IF('Data Calculations'!F$87,'Data Calculations'!F221,""),"")</f>
        <v/>
      </c>
    </row>
    <row r="39" spans="1:6" ht="17.100000000000001" customHeight="1" x14ac:dyDescent="0.25">
      <c r="A39" s="551"/>
      <c r="B39" s="5" t="str">
        <f>IF('Data Calculations'!$B$83,"Distance (Inv. Sq.)","")</f>
        <v/>
      </c>
      <c r="C39" s="454" t="str">
        <f>IF('Data Calculations'!C34,IF('Data Calculations'!C87,'Data Calculations'!C91,""),"")</f>
        <v/>
      </c>
      <c r="D39" s="454" t="str">
        <f>IF('Data Calculations'!D34,IF('Data Calculations'!D87,'Data Calculations'!D91,""),"")</f>
        <v/>
      </c>
      <c r="E39" s="454" t="str">
        <f>IF('Data Calculations'!E34,IF('Data Calculations'!E87,'Data Calculations'!E91,""),"")</f>
        <v/>
      </c>
      <c r="F39" s="454" t="str">
        <f>IF('Data Calculations'!F34,IF('Data Calculations'!F87,'Data Calculations'!F91,""),"")</f>
        <v/>
      </c>
    </row>
    <row r="40" spans="1:6" ht="17.100000000000001" customHeight="1" thickBot="1" x14ac:dyDescent="0.25">
      <c r="A40" s="551"/>
      <c r="B40" s="10" t="str">
        <f>IF('Data Calculations'!B179,"Tray Factor","")</f>
        <v/>
      </c>
      <c r="C40" s="28" t="str">
        <f>IF('Data Calculations'!C34,IF('Data Calculations'!$B$179,'Data Calculations'!C223,""),"")</f>
        <v/>
      </c>
      <c r="D40" s="28" t="str">
        <f>IF('Data Calculations'!D34,IF('Data Calculations'!$B$179,'Data Calculations'!D223,""),"")</f>
        <v/>
      </c>
      <c r="E40" s="28" t="str">
        <f>IF('Data Calculations'!E34,IF('Data Calculations'!$B$179,'Data Calculations'!E223,""),"")</f>
        <v/>
      </c>
      <c r="F40" s="28" t="str">
        <f>IF('Data Calculations'!F34,IF('Data Calculations'!$B$179,'Data Calculations'!F223,""),"")</f>
        <v/>
      </c>
    </row>
    <row r="41" spans="1:6" ht="17.100000000000001" customHeight="1" thickTop="1" x14ac:dyDescent="0.2">
      <c r="A41" s="551"/>
      <c r="B41" s="58" t="s">
        <v>11</v>
      </c>
      <c r="C41" s="59"/>
      <c r="D41" s="59"/>
      <c r="E41" s="59"/>
      <c r="F41" s="59"/>
    </row>
    <row r="42" spans="1:6" ht="17.100000000000001" customHeight="1" thickBot="1" x14ac:dyDescent="0.25">
      <c r="A42" s="552"/>
      <c r="B42" s="60" t="s">
        <v>255</v>
      </c>
      <c r="C42" s="61"/>
      <c r="D42" s="61"/>
      <c r="E42" s="61"/>
      <c r="F42" s="61"/>
    </row>
    <row r="43" spans="1:6" ht="17.100000000000001" customHeight="1" thickTop="1" x14ac:dyDescent="0.25">
      <c r="A43" s="550" t="s">
        <v>256</v>
      </c>
      <c r="B43" s="11" t="s">
        <v>257</v>
      </c>
      <c r="C43" s="44" t="str">
        <f>IF('Data Calculations'!C34,'Data Calculations'!C230,"")</f>
        <v/>
      </c>
      <c r="D43" s="44" t="str">
        <f>IF('Data Calculations'!D34,'Data Calculations'!D230,"")</f>
        <v/>
      </c>
      <c r="E43" s="44" t="str">
        <f>IF('Data Calculations'!E34,'Data Calculations'!E230,"")</f>
        <v/>
      </c>
      <c r="F43" s="44" t="str">
        <f>IF('Data Calculations'!F34,'Data Calculations'!F230,"")</f>
        <v/>
      </c>
    </row>
    <row r="44" spans="1:6" ht="17.100000000000001" customHeight="1" x14ac:dyDescent="0.25">
      <c r="A44" s="551"/>
      <c r="B44" s="5" t="s">
        <v>182</v>
      </c>
      <c r="C44" s="45" t="str">
        <f>IF('Data Calculations'!C34,'Data Calculations'!C215,"")</f>
        <v/>
      </c>
      <c r="D44" s="45" t="str">
        <f>IF('Data Calculations'!D34,'Data Calculations'!D215,"")</f>
        <v/>
      </c>
      <c r="E44" s="45" t="str">
        <f>IF('Data Calculations'!E34,'Data Calculations'!E215,"")</f>
        <v/>
      </c>
      <c r="F44" s="45" t="str">
        <f>IF('Data Calculations'!F34,'Data Calculations'!F215,"")</f>
        <v/>
      </c>
    </row>
    <row r="45" spans="1:6" ht="17.100000000000001" customHeight="1" thickBot="1" x14ac:dyDescent="0.3">
      <c r="A45" s="552"/>
      <c r="B45" s="10" t="s">
        <v>258</v>
      </c>
      <c r="C45" s="46" t="str">
        <f>IF('Data Calculations'!C34,'Data Calculations'!C234,"")</f>
        <v/>
      </c>
      <c r="D45" s="46" t="str">
        <f>IF('Data Calculations'!D34,'Data Calculations'!D234,"")</f>
        <v/>
      </c>
      <c r="E45" s="46" t="str">
        <f>IF('Data Calculations'!E34,'Data Calculations'!E234,"")</f>
        <v/>
      </c>
      <c r="F45" s="46" t="str">
        <f>IF('Data Calculations'!F34,'Data Calculations'!F234,"")</f>
        <v/>
      </c>
    </row>
    <row r="46" spans="1:6" ht="17.100000000000001" customHeight="1" thickTop="1" x14ac:dyDescent="0.2"/>
    <row r="51" spans="2:2" ht="17.100000000000001" customHeight="1" x14ac:dyDescent="0.2">
      <c r="B51" s="12"/>
    </row>
  </sheetData>
  <mergeCells count="19">
    <mergeCell ref="A43:A45"/>
    <mergeCell ref="A6:B6"/>
    <mergeCell ref="A33:A34"/>
    <mergeCell ref="A1:A2"/>
    <mergeCell ref="A4:B4"/>
    <mergeCell ref="A23:B23"/>
    <mergeCell ref="A5:B5"/>
    <mergeCell ref="A7:B7"/>
    <mergeCell ref="A35:A42"/>
    <mergeCell ref="D7:F7"/>
    <mergeCell ref="A24:A32"/>
    <mergeCell ref="A19:A21"/>
    <mergeCell ref="C1:F1"/>
    <mergeCell ref="C2:F2"/>
    <mergeCell ref="C5:F5"/>
    <mergeCell ref="C3:F3"/>
    <mergeCell ref="C4:F4"/>
    <mergeCell ref="A8:A13"/>
    <mergeCell ref="A14:A18"/>
  </mergeCells>
  <phoneticPr fontId="0" type="noConversion"/>
  <pageMargins left="0.75" right="0.75" top="1" bottom="1" header="0.5" footer="0.5"/>
  <pageSetup scale="74" orientation="landscape" cellComments="atEnd"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1" r:id="rId4" name="Check Box 17">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057" r:id="rId5" name="Drop Down 33">
              <controlPr defaultSize="0" autoLine="0" autoPict="0">
                <anchor moveWithCells="1">
                  <from>
                    <xdr:col>2</xdr:col>
                    <xdr:colOff>9525</xdr:colOff>
                    <xdr:row>11</xdr:row>
                    <xdr:rowOff>0</xdr:rowOff>
                  </from>
                  <to>
                    <xdr:col>3</xdr:col>
                    <xdr:colOff>0</xdr:colOff>
                    <xdr:row>11</xdr:row>
                    <xdr:rowOff>200025</xdr:rowOff>
                  </to>
                </anchor>
              </controlPr>
            </control>
          </mc:Choice>
        </mc:AlternateContent>
        <mc:AlternateContent xmlns:mc="http://schemas.openxmlformats.org/markup-compatibility/2006">
          <mc:Choice Requires="x14">
            <control shapeId="1062" r:id="rId6" name="Drop Down 38">
              <controlPr defaultSize="0" autoLine="0" autoPict="0">
                <anchor moveWithCells="1">
                  <from>
                    <xdr:col>3</xdr:col>
                    <xdr:colOff>0</xdr:colOff>
                    <xdr:row>11</xdr:row>
                    <xdr:rowOff>0</xdr:rowOff>
                  </from>
                  <to>
                    <xdr:col>3</xdr:col>
                    <xdr:colOff>1552575</xdr:colOff>
                    <xdr:row>11</xdr:row>
                    <xdr:rowOff>200025</xdr:rowOff>
                  </to>
                </anchor>
              </controlPr>
            </control>
          </mc:Choice>
        </mc:AlternateContent>
        <mc:AlternateContent xmlns:mc="http://schemas.openxmlformats.org/markup-compatibility/2006">
          <mc:Choice Requires="x14">
            <control shapeId="1065" r:id="rId7" name="Drop Down 41">
              <controlPr defaultSize="0" autoLine="0" autoPict="0">
                <anchor moveWithCells="1">
                  <from>
                    <xdr:col>4</xdr:col>
                    <xdr:colOff>0</xdr:colOff>
                    <xdr:row>10</xdr:row>
                    <xdr:rowOff>200025</xdr:rowOff>
                  </from>
                  <to>
                    <xdr:col>4</xdr:col>
                    <xdr:colOff>1552575</xdr:colOff>
                    <xdr:row>11</xdr:row>
                    <xdr:rowOff>190500</xdr:rowOff>
                  </to>
                </anchor>
              </controlPr>
            </control>
          </mc:Choice>
        </mc:AlternateContent>
        <mc:AlternateContent xmlns:mc="http://schemas.openxmlformats.org/markup-compatibility/2006">
          <mc:Choice Requires="x14">
            <control shapeId="1066" r:id="rId8" name="Drop Down 42">
              <controlPr defaultSize="0" autoLine="0" autoPict="0">
                <anchor moveWithCells="1">
                  <from>
                    <xdr:col>5</xdr:col>
                    <xdr:colOff>9525</xdr:colOff>
                    <xdr:row>11</xdr:row>
                    <xdr:rowOff>0</xdr:rowOff>
                  </from>
                  <to>
                    <xdr:col>6</xdr:col>
                    <xdr:colOff>0</xdr:colOff>
                    <xdr:row>11</xdr:row>
                    <xdr:rowOff>200025</xdr:rowOff>
                  </to>
                </anchor>
              </controlPr>
            </control>
          </mc:Choice>
        </mc:AlternateContent>
        <mc:AlternateContent xmlns:mc="http://schemas.openxmlformats.org/markup-compatibility/2006">
          <mc:Choice Requires="x14">
            <control shapeId="1071" r:id="rId9" name="Check Box 47">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089" r:id="rId10" name="Check Box 65">
              <controlPr defaultSize="0" print="0" autoFill="0" autoLine="0" autoPict="0">
                <anchor moveWithCells="1">
                  <from>
                    <xdr:col>2</xdr:col>
                    <xdr:colOff>152400</xdr:colOff>
                    <xdr:row>23</xdr:row>
                    <xdr:rowOff>28575</xdr:rowOff>
                  </from>
                  <to>
                    <xdr:col>2</xdr:col>
                    <xdr:colOff>1524000</xdr:colOff>
                    <xdr:row>23</xdr:row>
                    <xdr:rowOff>219075</xdr:rowOff>
                  </to>
                </anchor>
              </controlPr>
            </control>
          </mc:Choice>
        </mc:AlternateContent>
        <mc:AlternateContent xmlns:mc="http://schemas.openxmlformats.org/markup-compatibility/2006">
          <mc:Choice Requires="x14">
            <control shapeId="1133" r:id="rId11" name="Drop Down 109">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136" r:id="rId12" name="Check Box 112">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338" r:id="rId13" name="Drop Down 314">
              <controlPr defaultSize="0" print="0" autoLine="0" autoPict="0">
                <anchor moveWithCells="1">
                  <from>
                    <xdr:col>2</xdr:col>
                    <xdr:colOff>9525</xdr:colOff>
                    <xdr:row>32</xdr:row>
                    <xdr:rowOff>0</xdr:rowOff>
                  </from>
                  <to>
                    <xdr:col>3</xdr:col>
                    <xdr:colOff>0</xdr:colOff>
                    <xdr:row>33</xdr:row>
                    <xdr:rowOff>9525</xdr:rowOff>
                  </to>
                </anchor>
              </controlPr>
            </control>
          </mc:Choice>
        </mc:AlternateContent>
        <mc:AlternateContent xmlns:mc="http://schemas.openxmlformats.org/markup-compatibility/2006">
          <mc:Choice Requires="x14">
            <control shapeId="1340" r:id="rId14" name="Drop Down 316">
              <controlPr defaultSize="0" print="0" autoLine="0" autoPict="0">
                <anchor moveWithCells="1">
                  <from>
                    <xdr:col>3</xdr:col>
                    <xdr:colOff>9525</xdr:colOff>
                    <xdr:row>32</xdr:row>
                    <xdr:rowOff>0</xdr:rowOff>
                  </from>
                  <to>
                    <xdr:col>4</xdr:col>
                    <xdr:colOff>0</xdr:colOff>
                    <xdr:row>33</xdr:row>
                    <xdr:rowOff>9525</xdr:rowOff>
                  </to>
                </anchor>
              </controlPr>
            </control>
          </mc:Choice>
        </mc:AlternateContent>
        <mc:AlternateContent xmlns:mc="http://schemas.openxmlformats.org/markup-compatibility/2006">
          <mc:Choice Requires="x14">
            <control shapeId="1342" r:id="rId15" name="Drop Down 318">
              <controlPr defaultSize="0" print="0" autoLine="0" autoPict="0">
                <anchor moveWithCells="1">
                  <from>
                    <xdr:col>4</xdr:col>
                    <xdr:colOff>9525</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1344" r:id="rId16" name="Drop Down 320">
              <controlPr defaultSize="0" print="0" autoLine="0" autoPict="0">
                <anchor moveWithCells="1">
                  <from>
                    <xdr:col>5</xdr:col>
                    <xdr:colOff>9525</xdr:colOff>
                    <xdr:row>32</xdr:row>
                    <xdr:rowOff>0</xdr:rowOff>
                  </from>
                  <to>
                    <xdr:col>6</xdr:col>
                    <xdr:colOff>0</xdr:colOff>
                    <xdr:row>33</xdr:row>
                    <xdr:rowOff>9525</xdr:rowOff>
                  </to>
                </anchor>
              </controlPr>
            </control>
          </mc:Choice>
        </mc:AlternateContent>
        <mc:AlternateContent xmlns:mc="http://schemas.openxmlformats.org/markup-compatibility/2006">
          <mc:Choice Requires="x14">
            <control shapeId="1710" r:id="rId17" name="Check Box 686">
              <controlPr defaultSize="0" print="0" autoFill="0" autoLine="0" autoPict="0">
                <anchor moveWithCells="1">
                  <from>
                    <xdr:col>3</xdr:col>
                    <xdr:colOff>152400</xdr:colOff>
                    <xdr:row>23</xdr:row>
                    <xdr:rowOff>28575</xdr:rowOff>
                  </from>
                  <to>
                    <xdr:col>3</xdr:col>
                    <xdr:colOff>1524000</xdr:colOff>
                    <xdr:row>23</xdr:row>
                    <xdr:rowOff>219075</xdr:rowOff>
                  </to>
                </anchor>
              </controlPr>
            </control>
          </mc:Choice>
        </mc:AlternateContent>
        <mc:AlternateContent xmlns:mc="http://schemas.openxmlformats.org/markup-compatibility/2006">
          <mc:Choice Requires="x14">
            <control shapeId="1713" r:id="rId18" name="Check Box 689">
              <controlPr defaultSize="0" print="0" autoFill="0" autoLine="0" autoPict="0">
                <anchor moveWithCells="1">
                  <from>
                    <xdr:col>4</xdr:col>
                    <xdr:colOff>152400</xdr:colOff>
                    <xdr:row>23</xdr:row>
                    <xdr:rowOff>28575</xdr:rowOff>
                  </from>
                  <to>
                    <xdr:col>4</xdr:col>
                    <xdr:colOff>1524000</xdr:colOff>
                    <xdr:row>23</xdr:row>
                    <xdr:rowOff>219075</xdr:rowOff>
                  </to>
                </anchor>
              </controlPr>
            </control>
          </mc:Choice>
        </mc:AlternateContent>
        <mc:AlternateContent xmlns:mc="http://schemas.openxmlformats.org/markup-compatibility/2006">
          <mc:Choice Requires="x14">
            <control shapeId="1718" r:id="rId19" name="Check Box 694">
              <controlPr defaultSize="0" print="0" autoFill="0" autoLine="0" autoPict="0">
                <anchor moveWithCells="1">
                  <from>
                    <xdr:col>5</xdr:col>
                    <xdr:colOff>152400</xdr:colOff>
                    <xdr:row>23</xdr:row>
                    <xdr:rowOff>28575</xdr:rowOff>
                  </from>
                  <to>
                    <xdr:col>5</xdr:col>
                    <xdr:colOff>1524000</xdr:colOff>
                    <xdr:row>23</xdr:row>
                    <xdr:rowOff>219075</xdr:rowOff>
                  </to>
                </anchor>
              </controlPr>
            </control>
          </mc:Choice>
        </mc:AlternateContent>
        <mc:AlternateContent xmlns:mc="http://schemas.openxmlformats.org/markup-compatibility/2006">
          <mc:Choice Requires="x14">
            <control shapeId="1756" r:id="rId20" name="Check Box 732">
              <controlPr defaultSize="0" autoFill="0" autoLine="0" autoPict="0">
                <anchor moveWithCells="1">
                  <from>
                    <xdr:col>2</xdr:col>
                    <xdr:colOff>161925</xdr:colOff>
                    <xdr:row>26</xdr:row>
                    <xdr:rowOff>9525</xdr:rowOff>
                  </from>
                  <to>
                    <xdr:col>2</xdr:col>
                    <xdr:colOff>1533525</xdr:colOff>
                    <xdr:row>26</xdr:row>
                    <xdr:rowOff>200025</xdr:rowOff>
                  </to>
                </anchor>
              </controlPr>
            </control>
          </mc:Choice>
        </mc:AlternateContent>
        <mc:AlternateContent xmlns:mc="http://schemas.openxmlformats.org/markup-compatibility/2006">
          <mc:Choice Requires="x14">
            <control shapeId="1823" r:id="rId21" name="Check Box 799">
              <controlPr defaultSize="0" autoFill="0" autoLine="0" autoPict="0">
                <anchor moveWithCells="1">
                  <from>
                    <xdr:col>3</xdr:col>
                    <xdr:colOff>161925</xdr:colOff>
                    <xdr:row>26</xdr:row>
                    <xdr:rowOff>9525</xdr:rowOff>
                  </from>
                  <to>
                    <xdr:col>3</xdr:col>
                    <xdr:colOff>1533525</xdr:colOff>
                    <xdr:row>26</xdr:row>
                    <xdr:rowOff>200025</xdr:rowOff>
                  </to>
                </anchor>
              </controlPr>
            </control>
          </mc:Choice>
        </mc:AlternateContent>
        <mc:AlternateContent xmlns:mc="http://schemas.openxmlformats.org/markup-compatibility/2006">
          <mc:Choice Requires="x14">
            <control shapeId="1824" r:id="rId22" name="Check Box 800">
              <controlPr defaultSize="0" autoFill="0" autoLine="0" autoPict="0">
                <anchor moveWithCells="1">
                  <from>
                    <xdr:col>4</xdr:col>
                    <xdr:colOff>161925</xdr:colOff>
                    <xdr:row>26</xdr:row>
                    <xdr:rowOff>9525</xdr:rowOff>
                  </from>
                  <to>
                    <xdr:col>4</xdr:col>
                    <xdr:colOff>1533525</xdr:colOff>
                    <xdr:row>26</xdr:row>
                    <xdr:rowOff>200025</xdr:rowOff>
                  </to>
                </anchor>
              </controlPr>
            </control>
          </mc:Choice>
        </mc:AlternateContent>
        <mc:AlternateContent xmlns:mc="http://schemas.openxmlformats.org/markup-compatibility/2006">
          <mc:Choice Requires="x14">
            <control shapeId="1825" r:id="rId23" name="Check Box 801">
              <controlPr defaultSize="0" autoFill="0" autoLine="0" autoPict="0">
                <anchor moveWithCells="1">
                  <from>
                    <xdr:col>5</xdr:col>
                    <xdr:colOff>161925</xdr:colOff>
                    <xdr:row>26</xdr:row>
                    <xdr:rowOff>9525</xdr:rowOff>
                  </from>
                  <to>
                    <xdr:col>5</xdr:col>
                    <xdr:colOff>1533525</xdr:colOff>
                    <xdr:row>26</xdr:row>
                    <xdr:rowOff>200025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2" stopIfTrue="1" id="{2600CFD7-E907-4545-98B5-F1A4CFD14431}">
            <xm:f>'Data Calculations'!C$139</xm:f>
            <x14:dxf>
              <font>
                <color theme="0" tint="-0.14996795556505021"/>
              </font>
              <fill>
                <patternFill>
                  <bgColor theme="0"/>
                </patternFill>
              </fill>
            </x14:dxf>
          </x14:cfRule>
          <x14:cfRule type="expression" priority="37" stopIfTrue="1" id="{FD57D600-EF33-4C1B-9A97-DF68B52C160E}">
            <xm:f>NOT('Data Calculations'!C$152)</xm:f>
            <x14:dxf>
              <font>
                <b/>
                <i val="0"/>
                <color rgb="FFFF0000"/>
              </font>
            </x14:dxf>
          </x14:cfRule>
          <xm:sqref>C26:F26</xm:sqref>
        </x14:conditionalFormatting>
        <x14:conditionalFormatting xmlns:xm="http://schemas.microsoft.com/office/excel/2006/main">
          <x14:cfRule type="expression" priority="13" stopIfTrue="1" id="{F206B7FD-068E-4FE0-BE76-DBF93B0F9318}">
            <xm:f>'Data Calculations'!C142</xm:f>
            <x14:dxf>
              <font>
                <color theme="0" tint="-0.14996795556505021"/>
              </font>
              <fill>
                <patternFill>
                  <bgColor theme="0"/>
                </patternFill>
              </fill>
            </x14:dxf>
          </x14:cfRule>
          <x14:cfRule type="expression" priority="39" stopIfTrue="1" id="{9A494862-8B35-4922-9319-6A83DAAB573F}">
            <xm:f>NOT('Data Calculations'!C$154)</xm:f>
            <x14:dxf>
              <font>
                <b/>
                <i val="0"/>
                <color rgb="FFFF0000"/>
              </font>
            </x14:dxf>
          </x14:cfRule>
          <xm:sqref>C29:F29</xm:sqref>
        </x14:conditionalFormatting>
        <x14:conditionalFormatting xmlns:xm="http://schemas.microsoft.com/office/excel/2006/main">
          <x14:cfRule type="expression" priority="6" stopIfTrue="1" id="{7E3FF326-2A28-498D-9A3D-6C84D6A5B452}">
            <xm:f>'Data Calculations'!C$87</xm:f>
            <x14:dxf>
              <font>
                <color theme="0"/>
              </font>
              <fill>
                <patternFill>
                  <bgColor theme="0"/>
                </patternFill>
              </fill>
            </x14:dxf>
          </x14:cfRule>
          <xm:sqref>C36:F36</xm:sqref>
        </x14:conditionalFormatting>
        <x14:conditionalFormatting xmlns:xm="http://schemas.microsoft.com/office/excel/2006/main">
          <x14:cfRule type="expression" priority="31" stopIfTrue="1" id="{42330BCC-5793-4D95-B3BA-FB894C396120}">
            <xm:f>NOT('Data Calculations'!C$34)</xm:f>
            <x14:dxf>
              <font>
                <b/>
                <i val="0"/>
                <color rgb="FFFF0000"/>
              </font>
            </x14:dxf>
          </x14:cfRule>
          <xm:sqref>C8:F8</xm:sqref>
        </x14:conditionalFormatting>
        <x14:conditionalFormatting xmlns:xm="http://schemas.microsoft.com/office/excel/2006/main">
          <x14:cfRule type="expression" priority="11" stopIfTrue="1" id="{1C6A45FC-E434-47D4-8225-CD8667675796}">
            <xm:f>NOT('Data Calculations'!$B$103)</xm:f>
            <x14:dxf>
              <font>
                <color theme="0" tint="-0.14996795556505021"/>
              </font>
              <fill>
                <patternFill>
                  <bgColor theme="0"/>
                </patternFill>
              </fill>
            </x14:dxf>
          </x14:cfRule>
          <x14:cfRule type="expression" priority="47" id="{FD075601-986D-44C6-B510-9398CF0A5C57}">
            <xm:f>NOT('Data Calculations'!C$108)</xm:f>
            <x14:dxf>
              <font>
                <b/>
                <i val="0"/>
                <u/>
                <color theme="9"/>
              </font>
            </x14:dxf>
          </x14:cfRule>
          <xm:sqref>C22:F22</xm:sqref>
        </x14:conditionalFormatting>
        <x14:conditionalFormatting xmlns:xm="http://schemas.microsoft.com/office/excel/2006/main">
          <x14:cfRule type="expression" priority="7" stopIfTrue="1" id="{BAB29297-DE47-4353-8202-146214FCFE9B}">
            <xm:f>NOT('Data Calculations'!$B$179)</xm:f>
            <x14:dxf>
              <font>
                <color theme="0"/>
              </font>
              <fill>
                <patternFill>
                  <bgColor theme="0"/>
                </patternFill>
              </fill>
            </x14:dxf>
          </x14:cfRule>
          <xm:sqref>C34:F34 C40:F40</xm:sqref>
        </x14:conditionalFormatting>
        <x14:conditionalFormatting xmlns:xm="http://schemas.microsoft.com/office/excel/2006/main">
          <x14:cfRule type="expression" priority="14" id="{25D115F7-D05D-447F-9776-6CC46061DC72}">
            <xm:f>NOT('Data Calculations'!$C$213)</xm:f>
            <x14:dxf>
              <font>
                <b/>
                <i val="0"/>
              </font>
              <fill>
                <patternFill>
                  <bgColor rgb="FFFFFF00"/>
                </patternFill>
              </fill>
            </x14:dxf>
          </x14:cfRule>
          <x14:cfRule type="expression" priority="32" stopIfTrue="1" id="{F16101CA-2BD6-4A66-9C40-F1FB977D396B}">
            <xm:f>NOT('Data Calculations'!C$211)</xm:f>
            <x14:dxf>
              <font>
                <b/>
                <i val="0"/>
                <color rgb="FFFF0000"/>
              </font>
            </x14:dxf>
          </x14:cfRule>
          <x14:cfRule type="expression" priority="45" id="{0AD3C56F-9B45-4704-8B50-049AE5E7534A}">
            <xm:f>NOT('Data Calculations'!C$210)</xm:f>
            <x14:dxf>
              <font>
                <b/>
                <i val="0"/>
                <u/>
                <color theme="9"/>
              </font>
            </x14:dxf>
          </x14:cfRule>
          <xm:sqref>C9:F9</xm:sqref>
        </x14:conditionalFormatting>
        <x14:conditionalFormatting xmlns:xm="http://schemas.microsoft.com/office/excel/2006/main">
          <x14:cfRule type="expression" priority="8" stopIfTrue="1" id="{46762E72-B54E-41A8-8940-0B63FA198DF7}">
            <xm:f>NOT('Data Calculations'!C$96)</xm:f>
            <x14:dxf>
              <font>
                <color theme="0" tint="-0.14996795556505021"/>
              </font>
              <fill>
                <patternFill>
                  <bgColor theme="0"/>
                </patternFill>
              </fill>
            </x14:dxf>
          </x14:cfRule>
          <xm:sqref>C19:F21</xm:sqref>
        </x14:conditionalFormatting>
        <x14:conditionalFormatting xmlns:xm="http://schemas.microsoft.com/office/excel/2006/main">
          <x14:cfRule type="expression" priority="17" stopIfTrue="1" id="{C4686E12-6AEB-44F8-B830-014EB0CC5BC1}">
            <xm:f>NOT('Data Calculations'!C$101)</xm:f>
            <x14:dxf>
              <font>
                <b/>
                <i val="0"/>
                <color rgb="FFFF0000"/>
              </font>
            </x14:dxf>
          </x14:cfRule>
          <x14:cfRule type="expression" priority="46" id="{7A2E296D-342F-4A52-90D3-77AE6A64BEC0}">
            <xm:f>NOT('Data Calculations'!C$100)</xm:f>
            <x14:dxf>
              <font>
                <b/>
                <i val="0"/>
                <u/>
                <color theme="9"/>
              </font>
            </x14:dxf>
          </x14:cfRule>
          <xm:sqref>C20:F20</xm:sqref>
        </x14:conditionalFormatting>
        <x14:conditionalFormatting xmlns:xm="http://schemas.microsoft.com/office/excel/2006/main">
          <x14:cfRule type="expression" priority="18" id="{1650DEFC-AEB9-4352-9215-5B56CA790E74}">
            <xm:f>NOT('Data Calculations'!C$101)</xm:f>
            <x14:dxf>
              <font>
                <b/>
                <i val="0"/>
              </font>
              <fill>
                <patternFill>
                  <bgColor rgb="FFFFFF00"/>
                </patternFill>
              </fill>
            </x14:dxf>
          </x14:cfRule>
          <x14:cfRule type="expression" priority="19" id="{BD09EEB9-6FC4-4BB8-B7F4-2CC60A5E1988}">
            <xm:f>NOT('Data Calculations'!C$100)</xm:f>
            <x14:dxf>
              <font>
                <b/>
                <i val="0"/>
              </font>
              <fill>
                <patternFill>
                  <bgColor rgb="FFFFFF00"/>
                </patternFill>
              </fill>
            </x14:dxf>
          </x14:cfRule>
          <xm:sqref>C19:F19 C21:F21</xm:sqref>
        </x14:conditionalFormatting>
        <x14:conditionalFormatting xmlns:xm="http://schemas.microsoft.com/office/excel/2006/main">
          <x14:cfRule type="expression" priority="21" id="{C4F5E27E-9F92-440C-AF9A-0B1FD92CF35C}">
            <xm:f>NOT('Data Calculations'!C$116)</xm:f>
            <x14:dxf>
              <font>
                <b/>
                <i val="0"/>
              </font>
              <fill>
                <patternFill>
                  <bgColor rgb="FFFFFF00"/>
                </patternFill>
              </fill>
            </x14:dxf>
          </x14:cfRule>
          <x14:cfRule type="expression" priority="35" stopIfTrue="1" id="{95928296-650D-497D-A9A3-13040CC230D8}">
            <xm:f>NOT('Data Calculations'!C$115)</xm:f>
            <x14:dxf>
              <font>
                <b/>
                <i val="0"/>
                <color rgb="FFFF0000"/>
              </font>
            </x14:dxf>
          </x14:cfRule>
          <xm:sqref>C23:F23</xm:sqref>
        </x14:conditionalFormatting>
        <x14:conditionalFormatting xmlns:xm="http://schemas.microsoft.com/office/excel/2006/main">
          <x14:cfRule type="expression" priority="10" id="{E20B608F-4FE9-4CE4-9F15-2A9D51C5D152}">
            <xm:f>NOT('Data Calculations'!C$115)</xm:f>
            <x14:dxf>
              <font>
                <b/>
                <i val="0"/>
              </font>
              <fill>
                <patternFill>
                  <bgColor rgb="FFFFFF00"/>
                </patternFill>
              </fill>
            </x14:dxf>
          </x14:cfRule>
          <xm:sqref>C14:F14 C18:F18 C20:F22 C35:F35</xm:sqref>
        </x14:conditionalFormatting>
        <x14:conditionalFormatting xmlns:xm="http://schemas.microsoft.com/office/excel/2006/main">
          <x14:cfRule type="expression" priority="36" stopIfTrue="1" id="{84B4407A-2DD8-4580-8CDD-AEA748750269}">
            <xm:f>NOT('Data Calculations'!C$151)</xm:f>
            <x14:dxf>
              <font>
                <b/>
                <i val="0"/>
                <color rgb="FFFF0000"/>
              </font>
            </x14:dxf>
          </x14:cfRule>
          <xm:sqref>C25:F25</xm:sqref>
        </x14:conditionalFormatting>
        <x14:conditionalFormatting xmlns:xm="http://schemas.microsoft.com/office/excel/2006/main">
          <x14:cfRule type="expression" priority="38" stopIfTrue="1" id="{BF6EAB62-197C-49BA-A010-8D9C3CF968B3}">
            <xm:f>NOT('Data Calculations'!C$153)</xm:f>
            <x14:dxf>
              <font>
                <b/>
                <i val="0"/>
                <color rgb="FFFF0000"/>
              </font>
            </x14:dxf>
          </x14:cfRule>
          <xm:sqref>C28:F28</xm:sqref>
        </x14:conditionalFormatting>
        <x14:conditionalFormatting xmlns:xm="http://schemas.microsoft.com/office/excel/2006/main">
          <x14:cfRule type="expression" priority="22" id="{A675958A-75F2-4A7E-865C-CC4F3FBA549E}">
            <xm:f>NOT('Data Calculations'!C$155)</xm:f>
            <x14:dxf>
              <font>
                <b/>
                <i val="0"/>
              </font>
              <fill>
                <patternFill>
                  <bgColor rgb="FFFFFF00"/>
                </patternFill>
              </fill>
            </x14:dxf>
          </x14:cfRule>
          <xm:sqref>C25:F26</xm:sqref>
        </x14:conditionalFormatting>
        <x14:conditionalFormatting xmlns:xm="http://schemas.microsoft.com/office/excel/2006/main">
          <x14:cfRule type="expression" priority="23" id="{B30B0F06-35EE-4A65-A0A9-22C428DB55C5}">
            <xm:f>NOT('Data Calculations'!C$156)</xm:f>
            <x14:dxf>
              <font>
                <b/>
                <i val="0"/>
              </font>
              <fill>
                <patternFill>
                  <bgColor rgb="FFFFFF00"/>
                </patternFill>
              </fill>
            </x14:dxf>
          </x14:cfRule>
          <xm:sqref>C28:F29</xm:sqref>
        </x14:conditionalFormatting>
        <x14:conditionalFormatting xmlns:xm="http://schemas.microsoft.com/office/excel/2006/main">
          <x14:cfRule type="expression" priority="40" stopIfTrue="1" id="{9530C0F8-8FC3-4810-A9A2-7A9F4E1AAD54}">
            <xm:f>NOT('Data Calculations'!C$157)</xm:f>
            <x14:dxf>
              <font>
                <b/>
                <i val="0"/>
                <color rgb="FFFF0000"/>
              </font>
            </x14:dxf>
          </x14:cfRule>
          <xm:sqref>C30:F30</xm:sqref>
        </x14:conditionalFormatting>
        <x14:conditionalFormatting xmlns:xm="http://schemas.microsoft.com/office/excel/2006/main">
          <x14:cfRule type="expression" priority="25" id="{4D3B78EB-4680-4B56-B67E-7E2CCCAA0545}">
            <xm:f>NOT('Data Calculations'!C$157)</xm:f>
            <x14:dxf>
              <font>
                <b/>
                <i val="0"/>
              </font>
              <fill>
                <patternFill>
                  <bgColor rgb="FFFFFF00"/>
                </patternFill>
              </fill>
            </x14:dxf>
          </x14:cfRule>
          <xm:sqref>C36:F37</xm:sqref>
        </x14:conditionalFormatting>
        <x14:conditionalFormatting xmlns:xm="http://schemas.microsoft.com/office/excel/2006/main">
          <x14:cfRule type="expression" priority="41" stopIfTrue="1" id="{94316B93-8340-4FE4-8730-3B25672AAA0B}">
            <xm:f>NOT('Data Calculations'!C$169)</xm:f>
            <x14:dxf>
              <font>
                <b/>
                <i val="0"/>
                <color rgb="FFFF0000"/>
              </font>
            </x14:dxf>
          </x14:cfRule>
          <xm:sqref>C32:F32</xm:sqref>
        </x14:conditionalFormatting>
        <x14:conditionalFormatting xmlns:xm="http://schemas.microsoft.com/office/excel/2006/main">
          <x14:cfRule type="expression" priority="20" id="{432F466B-6A79-4D2A-B726-E437BFF7D2E9}">
            <xm:f>NOT('Data Calculations'!C$169)</xm:f>
            <x14:dxf>
              <font>
                <b/>
                <i val="0"/>
              </font>
              <fill>
                <patternFill>
                  <bgColor rgb="FFFFFF00"/>
                </patternFill>
              </fill>
            </x14:dxf>
          </x14:cfRule>
          <xm:sqref>C25:F26 C28:F29 C35:F35 C38:F38</xm:sqref>
        </x14:conditionalFormatting>
        <x14:conditionalFormatting xmlns:xm="http://schemas.microsoft.com/office/excel/2006/main">
          <x14:cfRule type="expression" priority="24" id="{804FC554-7142-4A89-AE60-D5EB9E2A9281}">
            <xm:f>NOT('Data Calculations'!C$173)</xm:f>
            <x14:dxf>
              <font>
                <b/>
                <i val="0"/>
              </font>
              <fill>
                <patternFill>
                  <bgColor rgb="FFFFFF00"/>
                </patternFill>
              </fill>
            </x14:dxf>
          </x14:cfRule>
          <xm:sqref>C30:F31</xm:sqref>
        </x14:conditionalFormatting>
        <x14:conditionalFormatting xmlns:xm="http://schemas.microsoft.com/office/excel/2006/main">
          <x14:cfRule type="expression" priority="42" stopIfTrue="1" id="{DC2B8635-67E6-44C6-B808-51C897E264CA}">
            <xm:f>NOT('Data Calculations'!C$189)</xm:f>
            <x14:dxf>
              <font>
                <b/>
                <i val="0"/>
                <color rgb="FFFF0000"/>
              </font>
            </x14:dxf>
          </x14:cfRule>
          <xm:sqref>C34:F34</xm:sqref>
        </x14:conditionalFormatting>
        <x14:conditionalFormatting xmlns:xm="http://schemas.microsoft.com/office/excel/2006/main">
          <x14:cfRule type="expression" priority="26" id="{5BA667E3-D06C-4424-A458-691F06D6F9E1}">
            <xm:f>NOT('Data Calculations'!C$189)</xm:f>
            <x14:dxf>
              <font>
                <b/>
                <i val="0"/>
              </font>
              <fill>
                <patternFill>
                  <bgColor rgb="FFFFFF00"/>
                </patternFill>
              </fill>
            </x14:dxf>
          </x14:cfRule>
          <xm:sqref>C40:F40</xm:sqref>
        </x14:conditionalFormatting>
        <x14:conditionalFormatting xmlns:xm="http://schemas.microsoft.com/office/excel/2006/main">
          <x14:cfRule type="expression" priority="27" id="{6B597ACD-3D36-45A7-AB22-BAE01DB55895}">
            <xm:f>NOT('Data Calculations'!C$229)</xm:f>
            <x14:dxf>
              <font>
                <b/>
                <i val="0"/>
                <strike/>
              </font>
              <fill>
                <patternFill>
                  <bgColor rgb="FFFFFF00"/>
                </patternFill>
              </fill>
            </x14:dxf>
          </x14:cfRule>
          <xm:sqref>C43:F45</xm:sqref>
        </x14:conditionalFormatting>
        <x14:conditionalFormatting xmlns:xm="http://schemas.microsoft.com/office/excel/2006/main">
          <x14:cfRule type="expression" priority="48" id="{E627D434-504A-4348-815D-5DC2D732227E}">
            <xm:f>NOT('Data Calculations'!C$233)</xm:f>
            <x14:dxf>
              <font>
                <b/>
                <i val="0"/>
                <u/>
                <color theme="9"/>
              </font>
            </x14:dxf>
          </x14:cfRule>
          <xm:sqref>C43:F43</xm:sqref>
        </x14:conditionalFormatting>
        <x14:conditionalFormatting xmlns:xm="http://schemas.microsoft.com/office/excel/2006/main">
          <x14:cfRule type="expression" priority="49" id="{80B9A899-BEC5-419C-AF8C-9A110ACA2DF2}">
            <xm:f>NOT('Data Calculations'!C$237)</xm:f>
            <x14:dxf>
              <font>
                <b/>
                <i val="0"/>
                <u/>
                <color theme="9"/>
              </font>
            </x14:dxf>
          </x14:cfRule>
          <xm:sqref>C45:F45</xm:sqref>
        </x14:conditionalFormatting>
        <x14:conditionalFormatting xmlns:xm="http://schemas.microsoft.com/office/excel/2006/main">
          <x14:cfRule type="expression" priority="3" stopIfTrue="1" id="{153C0185-2939-4F98-B60F-C377B29146F2}">
            <xm:f>NOT('Data Calculations'!C$34)</xm:f>
            <x14:dxf>
              <font>
                <color theme="0"/>
              </font>
              <fill>
                <patternFill>
                  <bgColor theme="0"/>
                </patternFill>
              </fill>
            </x14:dxf>
          </x14:cfRule>
          <xm:sqref>C10:F11 C13:F13 C16:F18 C21:F21 C23:F23 C30:F32 C34:F40 C43:F45</xm:sqref>
        </x14:conditionalFormatting>
        <x14:conditionalFormatting xmlns:xm="http://schemas.microsoft.com/office/excel/2006/main">
          <x14:cfRule type="expression" priority="1" stopIfTrue="1" id="{94F45263-3C0C-4B86-B3EE-C23D993C3E2C}">
            <xm:f>NOT('Data Calculations'!C$34)</xm:f>
            <x14:dxf>
              <font>
                <color theme="0" tint="-0.14996795556505021"/>
              </font>
              <fill>
                <patternFill>
                  <bgColor theme="0"/>
                </patternFill>
              </fill>
            </x14:dxf>
          </x14:cfRule>
          <xm:sqref>C14:F15 C19:F22 C25:F26 C28:F29 C9:F9</xm:sqref>
        </x14:conditionalFormatting>
        <x14:conditionalFormatting xmlns:xm="http://schemas.microsoft.com/office/excel/2006/main">
          <x14:cfRule type="expression" priority="15" id="{FAB092FE-2477-4641-8A61-C144569FA0CC}">
            <xm:f>NOT('Data Calculations'!C$72)</xm:f>
            <x14:dxf>
              <font>
                <b/>
                <i val="0"/>
              </font>
              <fill>
                <patternFill>
                  <bgColor rgb="FFFFFF00"/>
                </patternFill>
              </fill>
            </x14:dxf>
          </x14:cfRule>
          <xm:sqref>C13:F13</xm:sqref>
        </x14:conditionalFormatting>
        <x14:conditionalFormatting xmlns:xm="http://schemas.microsoft.com/office/excel/2006/main">
          <x14:cfRule type="expression" priority="33" stopIfTrue="1" id="{95A26F3D-91F6-4888-B393-E681A8E1CB98}">
            <xm:f>NOT('Data Calculations'!C$86)</xm:f>
            <x14:dxf>
              <font>
                <b/>
                <i val="0"/>
                <color rgb="FFFF0000"/>
              </font>
            </x14:dxf>
          </x14:cfRule>
          <xm:sqref>C14:F14</xm:sqref>
        </x14:conditionalFormatting>
        <x14:conditionalFormatting xmlns:xm="http://schemas.microsoft.com/office/excel/2006/main">
          <x14:cfRule type="expression" priority="4" stopIfTrue="1" id="{1CC58147-1E4D-48B4-A6C6-57802081714A}">
            <xm:f>NOT('Data Calculations'!C$87)</xm:f>
            <x14:dxf>
              <font>
                <color theme="0"/>
              </font>
              <fill>
                <patternFill>
                  <bgColor theme="0"/>
                </patternFill>
              </fill>
            </x14:dxf>
          </x14:cfRule>
          <xm:sqref>C16:F17 C30:F30 C37:F39</xm:sqref>
        </x14:conditionalFormatting>
        <x14:conditionalFormatting xmlns:xm="http://schemas.microsoft.com/office/excel/2006/main">
          <x14:cfRule type="expression" priority="43" id="{9D849F35-C844-489D-B274-51AB40FBF283}">
            <xm:f>NOT('Data Calculations'!C202)</xm:f>
            <x14:dxf>
              <font>
                <b/>
                <i val="0"/>
                <u/>
                <color theme="9"/>
              </font>
            </x14:dxf>
          </x14:cfRule>
          <xm:sqref>C4:F4</xm:sqref>
        </x14:conditionalFormatting>
        <x14:conditionalFormatting xmlns:xm="http://schemas.microsoft.com/office/excel/2006/main">
          <x14:cfRule type="expression" priority="44" id="{57F4D2C4-5C6E-4754-818C-93E369E5BD51}">
            <xm:f>NOT('Data Calculations'!C206)</xm:f>
            <x14:dxf>
              <font>
                <b/>
                <i val="0"/>
                <u/>
                <color theme="9"/>
              </font>
            </x14:dxf>
          </x14:cfRule>
          <xm:sqref>C5:F5</xm:sqref>
        </x14:conditionalFormatting>
        <x14:conditionalFormatting xmlns:xm="http://schemas.microsoft.com/office/excel/2006/main">
          <x14:cfRule type="expression" priority="29" stopIfTrue="1" id="{3DFBAE84-05F4-40E9-A937-EA5C5A3FBB3B}">
            <xm:f>NOT('Data Calculations'!D24)</xm:f>
            <x14:dxf>
              <font>
                <b/>
                <i val="0"/>
                <color rgb="FFFF0000"/>
              </font>
            </x14:dxf>
          </x14:cfRule>
          <xm:sqref>C1:E2</xm:sqref>
        </x14:conditionalFormatting>
        <x14:conditionalFormatting xmlns:xm="http://schemas.microsoft.com/office/excel/2006/main">
          <x14:cfRule type="expression" priority="28" id="{631A8105-4B80-4653-8012-10119F619727}">
            <xm:f>NOT('Data Calculations'!D26)</xm:f>
            <x14:dxf>
              <font>
                <b/>
                <i val="0"/>
                <color rgb="FFFF0000"/>
              </font>
            </x14:dxf>
          </x14:cfRule>
          <xm:sqref>C3:E3</xm:sqref>
        </x14:conditionalFormatting>
        <x14:conditionalFormatting xmlns:xm="http://schemas.microsoft.com/office/excel/2006/main">
          <x14:cfRule type="expression" priority="556" stopIfTrue="1" id="{3DFBAE84-05F4-40E9-A937-EA5C5A3FBB3B}">
            <xm:f>NOT('Data Calculations'!#REF!)</xm:f>
            <x14:dxf>
              <font>
                <b/>
                <i val="0"/>
                <color rgb="FFFF0000"/>
              </font>
            </x14:dxf>
          </x14:cfRule>
          <xm:sqref>F1:F2</xm:sqref>
        </x14:conditionalFormatting>
        <x14:conditionalFormatting xmlns:xm="http://schemas.microsoft.com/office/excel/2006/main">
          <x14:cfRule type="expression" priority="558" id="{631A8105-4B80-4653-8012-10119F619727}">
            <xm:f>NOT('Data Calculations'!#REF!)</xm:f>
            <x14:dxf>
              <font>
                <b/>
                <i val="0"/>
                <color rgb="FFFF0000"/>
              </font>
            </x14:dxf>
          </x14:cfRule>
          <xm:sqref>F3</xm:sqref>
        </x14:conditionalFormatting>
        <x14:conditionalFormatting xmlns:xm="http://schemas.microsoft.com/office/excel/2006/main">
          <x14:cfRule type="expression" priority="1179" stopIfTrue="1" id="{EB4420CF-164C-420E-B1C7-DB9588FA052D}">
            <xm:f>NOT('Data Calculations'!C$87)</xm:f>
            <x14:dxf>
              <font>
                <color theme="0" tint="-0.14996795556505021"/>
              </font>
              <fill>
                <patternFill>
                  <bgColor theme="0"/>
                </patternFill>
              </fill>
            </x14:dxf>
          </x14:cfRule>
          <x14:cfRule type="expression" priority="1180" stopIfTrue="1" id="{17A6FBBC-3CB9-422E-B2F0-133DCDD5872C}">
            <xm:f>NOT('Data Calculations'!C$115)</xm:f>
            <x14:dxf>
              <font>
                <b/>
                <i val="0"/>
                <color rgb="FFFF0000"/>
              </font>
            </x14:dxf>
          </x14:cfRule>
          <xm:sqref>C15:F15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H337"/>
  <sheetViews>
    <sheetView zoomScale="75" zoomScaleNormal="75" workbookViewId="0">
      <selection activeCell="B9" sqref="B9:C12"/>
    </sheetView>
  </sheetViews>
  <sheetFormatPr defaultColWidth="5.28515625" defaultRowHeight="12.75" x14ac:dyDescent="0.2"/>
  <cols>
    <col min="1" max="1" width="13" style="233" customWidth="1"/>
    <col min="2" max="8" width="8.28515625" style="232" customWidth="1"/>
    <col min="9" max="24" width="5.28515625" style="232" customWidth="1"/>
    <col min="25" max="25" width="6.7109375" style="232" customWidth="1"/>
    <col min="26" max="16384" width="5.28515625" style="232"/>
  </cols>
  <sheetData>
    <row r="1" spans="1:17" ht="13.5" thickTop="1" x14ac:dyDescent="0.2">
      <c r="E1" s="260"/>
      <c r="F1" s="3" t="s">
        <v>9</v>
      </c>
      <c r="G1" s="3" t="s">
        <v>57</v>
      </c>
      <c r="H1" s="3"/>
      <c r="I1" s="3"/>
      <c r="K1" s="3"/>
      <c r="L1" s="3" t="s">
        <v>143</v>
      </c>
      <c r="M1" s="3"/>
      <c r="N1" s="3"/>
      <c r="O1" s="3"/>
      <c r="P1" s="2" t="s">
        <v>91</v>
      </c>
      <c r="Q1" s="3"/>
    </row>
    <row r="2" spans="1:17" ht="13.5" thickBot="1" x14ac:dyDescent="0.25"/>
    <row r="3" spans="1:17" ht="21.75" thickTop="1" thickBot="1" x14ac:dyDescent="0.25">
      <c r="A3" s="693" t="s">
        <v>197</v>
      </c>
      <c r="B3" s="694"/>
      <c r="C3" s="694"/>
      <c r="D3" s="695"/>
    </row>
    <row r="4" spans="1:17" ht="13.5" thickBot="1" x14ac:dyDescent="0.25">
      <c r="A4" s="234"/>
      <c r="B4" s="235" t="s">
        <v>201</v>
      </c>
      <c r="C4" s="236" t="s">
        <v>200</v>
      </c>
      <c r="D4" s="237"/>
    </row>
    <row r="5" spans="1:17" x14ac:dyDescent="0.2">
      <c r="A5" s="238" t="s">
        <v>199</v>
      </c>
      <c r="B5" s="239">
        <v>-2</v>
      </c>
      <c r="C5" s="240">
        <v>20</v>
      </c>
      <c r="D5" s="237"/>
    </row>
    <row r="6" spans="1:17" x14ac:dyDescent="0.2">
      <c r="A6" s="238" t="s">
        <v>202</v>
      </c>
      <c r="B6" s="241">
        <v>-2</v>
      </c>
      <c r="C6" s="242">
        <v>20</v>
      </c>
      <c r="D6" s="237"/>
    </row>
    <row r="7" spans="1:17" x14ac:dyDescent="0.2">
      <c r="A7" s="238" t="s">
        <v>203</v>
      </c>
      <c r="B7" s="241">
        <v>-10</v>
      </c>
      <c r="C7" s="242">
        <v>20</v>
      </c>
      <c r="D7" s="237"/>
    </row>
    <row r="8" spans="1:17" x14ac:dyDescent="0.2">
      <c r="A8" s="238" t="s">
        <v>204</v>
      </c>
      <c r="B8" s="241">
        <v>-10</v>
      </c>
      <c r="C8" s="242">
        <v>20</v>
      </c>
      <c r="D8" s="237"/>
    </row>
    <row r="9" spans="1:17" x14ac:dyDescent="0.2">
      <c r="A9" s="238" t="s">
        <v>295</v>
      </c>
      <c r="B9" s="241">
        <f>MIN(MIN(A87:A123),MIN(A298:A334))</f>
        <v>4</v>
      </c>
      <c r="C9" s="242">
        <f>MAX(MAX(A87:A123),MAX(A298:A334))</f>
        <v>40</v>
      </c>
      <c r="D9" s="237"/>
    </row>
    <row r="10" spans="1:17" x14ac:dyDescent="0.2">
      <c r="A10" s="238" t="s">
        <v>296</v>
      </c>
      <c r="B10" s="241">
        <f>MIN(MIN(B86:AL86),MIN(B297:AL297))</f>
        <v>4</v>
      </c>
      <c r="C10" s="242">
        <f>MAX(MAX(B86:AL86),MAX(B297:AL297))</f>
        <v>40</v>
      </c>
      <c r="D10" s="237"/>
    </row>
    <row r="11" spans="1:17" x14ac:dyDescent="0.2">
      <c r="A11" s="238" t="s">
        <v>31</v>
      </c>
      <c r="B11" s="241">
        <f>MIN(B29:BF29)</f>
        <v>4</v>
      </c>
      <c r="C11" s="242">
        <f>MAX(B29:BF29)</f>
        <v>60</v>
      </c>
      <c r="D11" s="237"/>
    </row>
    <row r="12" spans="1:17" ht="13.5" thickBot="1" x14ac:dyDescent="0.25">
      <c r="A12" s="243" t="s">
        <v>24</v>
      </c>
      <c r="B12" s="343">
        <f>MIN(A30:A80)</f>
        <v>0</v>
      </c>
      <c r="C12" s="344">
        <f>MAX(A30:A80)</f>
        <v>30</v>
      </c>
      <c r="D12" s="237"/>
    </row>
    <row r="13" spans="1:17" ht="13.5"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3" t="s">
        <v>139</v>
      </c>
      <c r="B15" s="694"/>
      <c r="C15" s="694"/>
      <c r="D15" s="695"/>
    </row>
    <row r="16" spans="1:17" ht="17.45" customHeight="1" thickBot="1" x14ac:dyDescent="0.25">
      <c r="A16" s="250" t="s">
        <v>139</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3" t="s">
        <v>348</v>
      </c>
      <c r="B19" s="694"/>
      <c r="C19" s="694"/>
      <c r="D19" s="695"/>
    </row>
    <row r="20" spans="1:60" ht="17.45" customHeight="1" thickBot="1" x14ac:dyDescent="0.25">
      <c r="A20" s="252"/>
      <c r="B20" s="253" t="s">
        <v>250</v>
      </c>
      <c r="C20" s="92"/>
      <c r="D20" s="237"/>
    </row>
    <row r="21" spans="1:60" ht="17.45" customHeight="1" x14ac:dyDescent="0.2">
      <c r="A21" s="254" t="s">
        <v>78</v>
      </c>
      <c r="B21" s="255">
        <v>1</v>
      </c>
      <c r="C21" s="231"/>
      <c r="D21" s="237"/>
    </row>
    <row r="22" spans="1:60" ht="17.45" customHeight="1" x14ac:dyDescent="0.2">
      <c r="A22" s="256" t="s">
        <v>71</v>
      </c>
      <c r="B22" s="257">
        <v>0.97</v>
      </c>
      <c r="C22" s="231"/>
      <c r="D22" s="237"/>
    </row>
    <row r="23" spans="1:60" ht="17.45" customHeight="1" x14ac:dyDescent="0.2">
      <c r="A23" s="256" t="s">
        <v>72</v>
      </c>
      <c r="B23" s="257">
        <v>0.98</v>
      </c>
      <c r="C23" s="231"/>
      <c r="D23" s="237"/>
    </row>
    <row r="24" spans="1:60" ht="17.45" customHeight="1" thickBot="1" x14ac:dyDescent="0.25">
      <c r="A24" s="258" t="s">
        <v>73</v>
      </c>
      <c r="B24" s="259">
        <v>0.99</v>
      </c>
      <c r="C24" s="231"/>
      <c r="D24" s="237"/>
    </row>
    <row r="25" spans="1:60" ht="17.45" customHeight="1" thickBot="1" x14ac:dyDescent="0.25">
      <c r="A25" s="246"/>
      <c r="B25" s="247"/>
      <c r="C25" s="247"/>
      <c r="D25" s="248"/>
    </row>
    <row r="26" spans="1:60" ht="14.25" thickTop="1" thickBot="1" x14ac:dyDescent="0.25"/>
    <row r="27" spans="1:60" ht="21" thickTop="1" x14ac:dyDescent="0.2">
      <c r="A27" s="693" t="s">
        <v>8</v>
      </c>
      <c r="B27" s="694"/>
      <c r="C27" s="694"/>
      <c r="D27" s="694"/>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B28" s="346" t="s">
        <v>31</v>
      </c>
      <c r="BH28" s="237"/>
    </row>
    <row r="29" spans="1:60" s="272" customFormat="1" ht="14.25" thickTop="1" thickBot="1" x14ac:dyDescent="0.25">
      <c r="A29" s="347"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348">
        <v>0</v>
      </c>
      <c r="B30" s="274">
        <v>4.1601171199999995E-2</v>
      </c>
      <c r="C30" s="275">
        <v>5.5380862499999996E-2</v>
      </c>
      <c r="D30" s="275">
        <v>6.8884465199999995E-2</v>
      </c>
      <c r="E30" s="275">
        <v>8.2111979299999999E-2</v>
      </c>
      <c r="F30" s="275">
        <v>9.5063404800000001E-2</v>
      </c>
      <c r="G30" s="275">
        <v>0.1077387417</v>
      </c>
      <c r="H30" s="275">
        <v>0.12013798999999997</v>
      </c>
      <c r="I30" s="275">
        <v>0.1322611497</v>
      </c>
      <c r="J30" s="276">
        <v>0.14410822079999999</v>
      </c>
      <c r="K30" s="274">
        <v>0.15567920330000001</v>
      </c>
      <c r="L30" s="275">
        <v>0.16697409719999998</v>
      </c>
      <c r="M30" s="275">
        <v>0.17799290249999999</v>
      </c>
      <c r="N30" s="275">
        <v>0.18873561919999998</v>
      </c>
      <c r="O30" s="275">
        <v>0.1992022473</v>
      </c>
      <c r="P30" s="275">
        <v>0.20939278680000001</v>
      </c>
      <c r="Q30" s="275">
        <v>0.21930723770000002</v>
      </c>
      <c r="R30" s="275">
        <v>0.2289456</v>
      </c>
      <c r="S30" s="276">
        <v>0.23830787370000003</v>
      </c>
      <c r="T30" s="274">
        <v>0.24739405880000004</v>
      </c>
      <c r="U30" s="275">
        <v>0.25620415530000001</v>
      </c>
      <c r="V30" s="275">
        <v>0.26473816319999999</v>
      </c>
      <c r="W30" s="275">
        <v>0.27299608249999996</v>
      </c>
      <c r="X30" s="275">
        <v>0.28097791320000004</v>
      </c>
      <c r="Y30" s="275">
        <v>0.28868365530000001</v>
      </c>
      <c r="Z30" s="275">
        <v>0.29611330880000003</v>
      </c>
      <c r="AA30" s="275">
        <v>0.30326687369999999</v>
      </c>
      <c r="AB30" s="276">
        <v>0.31014435000000007</v>
      </c>
      <c r="AC30" s="274">
        <v>0.31674573770000003</v>
      </c>
      <c r="AD30" s="275">
        <v>0.32307103680000004</v>
      </c>
      <c r="AE30" s="275">
        <v>0.3291202473</v>
      </c>
      <c r="AF30" s="275">
        <v>0.33489336920000001</v>
      </c>
      <c r="AG30" s="275">
        <v>0.34039040250000002</v>
      </c>
      <c r="AH30" s="275">
        <v>0.34561134720000003</v>
      </c>
      <c r="AI30" s="275">
        <v>0.35055620330000004</v>
      </c>
      <c r="AJ30" s="275">
        <v>0.35522497080000004</v>
      </c>
      <c r="AK30" s="275">
        <v>0.35961764969999999</v>
      </c>
      <c r="AL30" s="276">
        <v>0.36373423999999999</v>
      </c>
      <c r="AM30" s="274">
        <v>0.36847027624090795</v>
      </c>
      <c r="AN30" s="275">
        <v>0.37214850952182399</v>
      </c>
      <c r="AO30" s="275">
        <v>0.37555450254723594</v>
      </c>
      <c r="AP30" s="275">
        <v>0.37868814214963198</v>
      </c>
      <c r="AQ30" s="275">
        <v>0.38154931516149992</v>
      </c>
      <c r="AR30" s="275">
        <v>0.38413790841532802</v>
      </c>
      <c r="AS30" s="275">
        <v>0.38645380874360397</v>
      </c>
      <c r="AT30" s="275">
        <v>0.38849690297881601</v>
      </c>
      <c r="AU30" s="275">
        <v>0.39026707795345195</v>
      </c>
      <c r="AV30" s="276">
        <v>0.39176422049999998</v>
      </c>
      <c r="AW30" s="274">
        <v>0.39298821745094803</v>
      </c>
      <c r="AX30" s="275">
        <v>0.39393895563878401</v>
      </c>
      <c r="AY30" s="275">
        <v>0.39461632189599599</v>
      </c>
      <c r="AZ30" s="275">
        <v>0.39502020305507196</v>
      </c>
      <c r="BA30" s="275">
        <v>0.39515048594849994</v>
      </c>
      <c r="BB30" s="275">
        <v>0.3950070574087679</v>
      </c>
      <c r="BC30" s="275">
        <v>0.39458980426836399</v>
      </c>
      <c r="BD30" s="275">
        <v>0.39389861335977594</v>
      </c>
      <c r="BE30" s="275">
        <v>0.39293337151549196</v>
      </c>
      <c r="BF30" s="276">
        <v>0.39169396556800001</v>
      </c>
      <c r="BG30" s="276">
        <f>BF30</f>
        <v>0.39169396556800001</v>
      </c>
      <c r="BH30" s="237"/>
    </row>
    <row r="31" spans="1:60" x14ac:dyDescent="0.2">
      <c r="A31" s="348">
        <v>0.5</v>
      </c>
      <c r="B31" s="277">
        <v>0.55544562159999999</v>
      </c>
      <c r="C31" s="278">
        <v>0.56633836500000001</v>
      </c>
      <c r="D31" s="278">
        <v>0.5769676936</v>
      </c>
      <c r="E31" s="278">
        <v>0.58733360739999996</v>
      </c>
      <c r="F31" s="278">
        <v>0.5974361064</v>
      </c>
      <c r="G31" s="278">
        <v>0.60727519060000001</v>
      </c>
      <c r="H31" s="278">
        <v>0.61685086</v>
      </c>
      <c r="I31" s="278">
        <v>0.62616311459999996</v>
      </c>
      <c r="J31" s="279">
        <v>0.63521195439999989</v>
      </c>
      <c r="K31" s="277">
        <v>0.6439973793999999</v>
      </c>
      <c r="L31" s="278">
        <v>0.6525193896</v>
      </c>
      <c r="M31" s="278">
        <v>0.66077798499999996</v>
      </c>
      <c r="N31" s="278">
        <v>0.6687731656</v>
      </c>
      <c r="O31" s="278">
        <v>0.67650493140000001</v>
      </c>
      <c r="P31" s="278">
        <v>0.68397328239999999</v>
      </c>
      <c r="Q31" s="278">
        <v>0.69117821860000006</v>
      </c>
      <c r="R31" s="278">
        <v>0.69811973999999988</v>
      </c>
      <c r="S31" s="279">
        <v>0.7047978466</v>
      </c>
      <c r="T31" s="277">
        <v>0.71121253839999998</v>
      </c>
      <c r="U31" s="278">
        <v>0.71736381540000005</v>
      </c>
      <c r="V31" s="278">
        <v>0.72325167759999998</v>
      </c>
      <c r="W31" s="278">
        <v>0.72887612499999999</v>
      </c>
      <c r="X31" s="278">
        <v>0.73423715759999986</v>
      </c>
      <c r="Y31" s="278">
        <v>0.73933477539999992</v>
      </c>
      <c r="Z31" s="278">
        <v>0.74416897839999996</v>
      </c>
      <c r="AA31" s="278">
        <v>0.74873976659999997</v>
      </c>
      <c r="AB31" s="279">
        <v>0.75304714000000006</v>
      </c>
      <c r="AC31" s="277">
        <v>0.75709109860000001</v>
      </c>
      <c r="AD31" s="278">
        <v>0.76087164239999994</v>
      </c>
      <c r="AE31" s="278">
        <v>0.76438877139999994</v>
      </c>
      <c r="AF31" s="278">
        <v>0.76764248559999992</v>
      </c>
      <c r="AG31" s="278">
        <v>0.77063278499999988</v>
      </c>
      <c r="AH31" s="278">
        <v>0.77335966960000002</v>
      </c>
      <c r="AI31" s="278">
        <v>0.77582313940000003</v>
      </c>
      <c r="AJ31" s="278">
        <v>0.77802319440000001</v>
      </c>
      <c r="AK31" s="278">
        <v>0.77995983459999996</v>
      </c>
      <c r="AL31" s="279">
        <v>0.78163305999999999</v>
      </c>
      <c r="AM31" s="277">
        <v>0.78505081468578997</v>
      </c>
      <c r="AN31" s="278">
        <v>0.78678895421911987</v>
      </c>
      <c r="AO31" s="278">
        <v>0.78833200354993005</v>
      </c>
      <c r="AP31" s="278">
        <v>0.78968310226815996</v>
      </c>
      <c r="AQ31" s="278">
        <v>0.79084538996375009</v>
      </c>
      <c r="AR31" s="278">
        <v>0.7918220062266399</v>
      </c>
      <c r="AS31" s="278">
        <v>0.79261609064677008</v>
      </c>
      <c r="AT31" s="278">
        <v>0.79323078281407988</v>
      </c>
      <c r="AU31" s="278">
        <v>0.79366922231850978</v>
      </c>
      <c r="AV31" s="279">
        <v>0.7939345487499998</v>
      </c>
      <c r="AW31" s="277">
        <v>0.79402990169849008</v>
      </c>
      <c r="AX31" s="278">
        <v>0.79395842075391987</v>
      </c>
      <c r="AY31" s="278">
        <v>0.79372324550623008</v>
      </c>
      <c r="AZ31" s="278">
        <v>0.79332751554536007</v>
      </c>
      <c r="BA31" s="278">
        <v>0.79277437046124999</v>
      </c>
      <c r="BB31" s="278">
        <v>0.79206694984383985</v>
      </c>
      <c r="BC31" s="278">
        <v>0.79120839328306991</v>
      </c>
      <c r="BD31" s="278">
        <v>0.79020184036888008</v>
      </c>
      <c r="BE31" s="278">
        <v>0.78905043069120995</v>
      </c>
      <c r="BF31" s="279">
        <v>0.78775730383999998</v>
      </c>
      <c r="BG31" s="279">
        <f t="shared" ref="BG31:BG80" si="0">BF31</f>
        <v>0.78775730383999998</v>
      </c>
      <c r="BH31" s="237"/>
    </row>
    <row r="32" spans="1:60" x14ac:dyDescent="0.2">
      <c r="A32" s="348">
        <v>1</v>
      </c>
      <c r="B32" s="277">
        <v>0.77304781599999994</v>
      </c>
      <c r="C32" s="278">
        <v>0.78104897749999991</v>
      </c>
      <c r="D32" s="278">
        <v>0.78881579199999996</v>
      </c>
      <c r="E32" s="278">
        <v>0.79634825949999999</v>
      </c>
      <c r="F32" s="278">
        <v>0.80364637999999999</v>
      </c>
      <c r="G32" s="278">
        <v>0.81071015349999997</v>
      </c>
      <c r="H32" s="278">
        <v>0.81753958000000004</v>
      </c>
      <c r="I32" s="278">
        <v>0.82413465949999998</v>
      </c>
      <c r="J32" s="279">
        <v>0.83049539199999989</v>
      </c>
      <c r="K32" s="277">
        <v>0.83662177749999989</v>
      </c>
      <c r="L32" s="278">
        <v>0.84251381599999997</v>
      </c>
      <c r="M32" s="278">
        <v>0.84817150749999992</v>
      </c>
      <c r="N32" s="278">
        <v>0.85359485199999996</v>
      </c>
      <c r="O32" s="278">
        <v>0.85878384949999986</v>
      </c>
      <c r="P32" s="278">
        <v>0.86373849999999996</v>
      </c>
      <c r="Q32" s="278">
        <v>0.86845880349999993</v>
      </c>
      <c r="R32" s="278">
        <v>0.87294475999999999</v>
      </c>
      <c r="S32" s="279">
        <v>0.87719636949999991</v>
      </c>
      <c r="T32" s="277">
        <v>0.88121363199999991</v>
      </c>
      <c r="U32" s="278">
        <v>0.88499654750000001</v>
      </c>
      <c r="V32" s="278">
        <v>0.88854511599999986</v>
      </c>
      <c r="W32" s="278">
        <v>0.89185933750000002</v>
      </c>
      <c r="X32" s="278">
        <v>0.89493921199999993</v>
      </c>
      <c r="Y32" s="278">
        <v>0.89778473949999993</v>
      </c>
      <c r="Z32" s="278">
        <v>0.90039591999999991</v>
      </c>
      <c r="AA32" s="278">
        <v>0.90277275350000008</v>
      </c>
      <c r="AB32" s="279">
        <v>0.90491524000000001</v>
      </c>
      <c r="AC32" s="277">
        <v>0.90682337949999992</v>
      </c>
      <c r="AD32" s="278">
        <v>0.90849717200000002</v>
      </c>
      <c r="AE32" s="278">
        <v>0.90993661749999988</v>
      </c>
      <c r="AF32" s="278">
        <v>0.91114171600000005</v>
      </c>
      <c r="AG32" s="278">
        <v>0.91211246749999997</v>
      </c>
      <c r="AH32" s="278">
        <v>0.91284887199999987</v>
      </c>
      <c r="AI32" s="278">
        <v>0.91335092949999996</v>
      </c>
      <c r="AJ32" s="278">
        <v>0.91361863999999993</v>
      </c>
      <c r="AK32" s="278">
        <v>0.91365200349999998</v>
      </c>
      <c r="AL32" s="279">
        <v>0.91345101999999989</v>
      </c>
      <c r="AM32" s="277">
        <v>0.91731103671409997</v>
      </c>
      <c r="AN32" s="278">
        <v>0.91787977334479998</v>
      </c>
      <c r="AO32" s="278">
        <v>0.91835545586469991</v>
      </c>
      <c r="AP32" s="278">
        <v>0.91874452384640004</v>
      </c>
      <c r="AQ32" s="278">
        <v>0.91905341686250008</v>
      </c>
      <c r="AR32" s="278">
        <v>0.91928857448560009</v>
      </c>
      <c r="AS32" s="278">
        <v>0.91945643628830009</v>
      </c>
      <c r="AT32" s="278">
        <v>0.91956344184320005</v>
      </c>
      <c r="AU32" s="278">
        <v>0.91961603072289988</v>
      </c>
      <c r="AV32" s="279">
        <v>0.91962064249999986</v>
      </c>
      <c r="AW32" s="277">
        <v>0.91958371674710004</v>
      </c>
      <c r="AX32" s="278">
        <v>0.91951169303680003</v>
      </c>
      <c r="AY32" s="278">
        <v>0.91941101094169997</v>
      </c>
      <c r="AZ32" s="278">
        <v>0.91928811003439981</v>
      </c>
      <c r="BA32" s="278">
        <v>0.91914942988749992</v>
      </c>
      <c r="BB32" s="278">
        <v>0.91900141007359981</v>
      </c>
      <c r="BC32" s="278">
        <v>0.91885049016529985</v>
      </c>
      <c r="BD32" s="278">
        <v>0.91870310973520009</v>
      </c>
      <c r="BE32" s="278">
        <v>0.9185657083558999</v>
      </c>
      <c r="BF32" s="279">
        <v>0.91844472559999979</v>
      </c>
      <c r="BG32" s="279">
        <f t="shared" si="0"/>
        <v>0.91844472559999979</v>
      </c>
      <c r="BH32" s="237"/>
    </row>
    <row r="33" spans="1:60" x14ac:dyDescent="0.2">
      <c r="A33" s="348">
        <v>1.5</v>
      </c>
      <c r="B33" s="277">
        <v>0.89052048544000006</v>
      </c>
      <c r="C33" s="278">
        <v>0.89539422224999998</v>
      </c>
      <c r="D33" s="278">
        <v>0.90011464524000007</v>
      </c>
      <c r="E33" s="278">
        <v>0.90468175440999998</v>
      </c>
      <c r="F33" s="278">
        <v>0.90909554976000007</v>
      </c>
      <c r="G33" s="278">
        <v>0.91335603128999998</v>
      </c>
      <c r="H33" s="278">
        <v>0.91746319900000006</v>
      </c>
      <c r="I33" s="278">
        <v>0.92141705289000009</v>
      </c>
      <c r="J33" s="279">
        <v>0.92521759296000006</v>
      </c>
      <c r="K33" s="277">
        <v>0.92886481921000008</v>
      </c>
      <c r="L33" s="278">
        <v>0.93235873164000016</v>
      </c>
      <c r="M33" s="278">
        <v>0.93569933025000007</v>
      </c>
      <c r="N33" s="278">
        <v>0.93888661504000004</v>
      </c>
      <c r="O33" s="278">
        <v>0.94192058601000006</v>
      </c>
      <c r="P33" s="278">
        <v>0.94480124316000014</v>
      </c>
      <c r="Q33" s="278">
        <v>0.94752858649000005</v>
      </c>
      <c r="R33" s="278">
        <v>0.95010261600000001</v>
      </c>
      <c r="S33" s="279">
        <v>0.95252333169000003</v>
      </c>
      <c r="T33" s="277">
        <v>0.95479073355999999</v>
      </c>
      <c r="U33" s="278">
        <v>0.95690482161000012</v>
      </c>
      <c r="V33" s="278">
        <v>0.95886559584000008</v>
      </c>
      <c r="W33" s="278">
        <v>0.96067305624999999</v>
      </c>
      <c r="X33" s="278">
        <v>0.96232720284000017</v>
      </c>
      <c r="Y33" s="278">
        <v>0.96382803561000008</v>
      </c>
      <c r="Z33" s="278">
        <v>0.96517555456000004</v>
      </c>
      <c r="AA33" s="278">
        <v>0.96636975969000005</v>
      </c>
      <c r="AB33" s="279">
        <v>0.96741065100000012</v>
      </c>
      <c r="AC33" s="277">
        <v>0.96829822849000013</v>
      </c>
      <c r="AD33" s="278">
        <v>0.96903249216000009</v>
      </c>
      <c r="AE33" s="278">
        <v>0.96961344200999999</v>
      </c>
      <c r="AF33" s="278">
        <v>0.97004107803999995</v>
      </c>
      <c r="AG33" s="278">
        <v>0.97031540025000007</v>
      </c>
      <c r="AH33" s="278">
        <v>0.97043640864000014</v>
      </c>
      <c r="AI33" s="278">
        <v>0.97040410321000004</v>
      </c>
      <c r="AJ33" s="278">
        <v>0.97021848395999999</v>
      </c>
      <c r="AK33" s="278">
        <v>0.96987955089000011</v>
      </c>
      <c r="AL33" s="279">
        <v>0.96938730400000006</v>
      </c>
      <c r="AM33" s="277">
        <v>0.97182535813289994</v>
      </c>
      <c r="AN33" s="278">
        <v>0.97195801535119974</v>
      </c>
      <c r="AO33" s="278">
        <v>0.9720463264443</v>
      </c>
      <c r="AP33" s="278">
        <v>0.97209534260160002</v>
      </c>
      <c r="AQ33" s="278">
        <v>0.97211011501249989</v>
      </c>
      <c r="AR33" s="278">
        <v>0.97209569486639991</v>
      </c>
      <c r="AS33" s="278">
        <v>0.97205713335270005</v>
      </c>
      <c r="AT33" s="278">
        <v>0.97199948166079964</v>
      </c>
      <c r="AU33" s="278">
        <v>0.97192779098009985</v>
      </c>
      <c r="AV33" s="279">
        <v>0.97184711250000011</v>
      </c>
      <c r="AW33" s="277">
        <v>0.97176249740989995</v>
      </c>
      <c r="AX33" s="278">
        <v>0.97167899689920023</v>
      </c>
      <c r="AY33" s="278">
        <v>0.97160166215730004</v>
      </c>
      <c r="AZ33" s="278">
        <v>0.9715355443735999</v>
      </c>
      <c r="BA33" s="278">
        <v>0.97148569473750002</v>
      </c>
      <c r="BB33" s="278">
        <v>0.9714571644383998</v>
      </c>
      <c r="BC33" s="278">
        <v>0.97145500466570001</v>
      </c>
      <c r="BD33" s="278">
        <v>0.97148426660880005</v>
      </c>
      <c r="BE33" s="278">
        <v>0.97155000145709991</v>
      </c>
      <c r="BF33" s="279">
        <v>0.9716572604</v>
      </c>
      <c r="BG33" s="279">
        <f t="shared" si="0"/>
        <v>0.9716572604</v>
      </c>
      <c r="BH33" s="237"/>
    </row>
    <row r="34" spans="1:60" x14ac:dyDescent="0.2">
      <c r="A34" s="349">
        <v>2</v>
      </c>
      <c r="B34" s="281">
        <v>0.95324221696</v>
      </c>
      <c r="C34" s="282">
        <v>0.95583682525000002</v>
      </c>
      <c r="D34" s="282">
        <v>0.95834550516000006</v>
      </c>
      <c r="E34" s="282">
        <v>0.96076825668999999</v>
      </c>
      <c r="F34" s="282">
        <v>0.96310507984000004</v>
      </c>
      <c r="G34" s="282">
        <v>0.96535597461</v>
      </c>
      <c r="H34" s="282">
        <v>0.96752094100000008</v>
      </c>
      <c r="I34" s="282">
        <v>0.96959997900999995</v>
      </c>
      <c r="J34" s="283">
        <v>0.97159308864000005</v>
      </c>
      <c r="K34" s="281">
        <v>0.97350026989000005</v>
      </c>
      <c r="L34" s="282">
        <v>0.97532152276000006</v>
      </c>
      <c r="M34" s="282">
        <v>0.97705684724999997</v>
      </c>
      <c r="N34" s="282">
        <v>0.97870624336000001</v>
      </c>
      <c r="O34" s="282">
        <v>0.98026971109000005</v>
      </c>
      <c r="P34" s="282">
        <v>0.98174725044000011</v>
      </c>
      <c r="Q34" s="282">
        <v>0.98313886140999995</v>
      </c>
      <c r="R34" s="282">
        <v>0.98444454400000003</v>
      </c>
      <c r="S34" s="283">
        <v>0.98566429821000001</v>
      </c>
      <c r="T34" s="281">
        <v>0.98679812404000011</v>
      </c>
      <c r="U34" s="282">
        <v>0.98784602149000011</v>
      </c>
      <c r="V34" s="282">
        <v>0.98880799056000013</v>
      </c>
      <c r="W34" s="282">
        <v>0.98968403124999993</v>
      </c>
      <c r="X34" s="282">
        <v>0.99047414355999996</v>
      </c>
      <c r="Y34" s="282">
        <v>0.99117832749000001</v>
      </c>
      <c r="Z34" s="282">
        <v>0.99179658303999996</v>
      </c>
      <c r="AA34" s="282">
        <v>0.99232891021000003</v>
      </c>
      <c r="AB34" s="283">
        <v>0.99277530900000011</v>
      </c>
      <c r="AC34" s="281">
        <v>0.99313577941000009</v>
      </c>
      <c r="AD34" s="282">
        <v>0.99341032144000008</v>
      </c>
      <c r="AE34" s="282">
        <v>0.99359893508999997</v>
      </c>
      <c r="AF34" s="282">
        <v>0.99370162035999998</v>
      </c>
      <c r="AG34" s="282">
        <v>0.99371837725000001</v>
      </c>
      <c r="AH34" s="282">
        <v>0.99364920576000004</v>
      </c>
      <c r="AI34" s="282">
        <v>0.99349410589000009</v>
      </c>
      <c r="AJ34" s="282">
        <v>0.99325307764000004</v>
      </c>
      <c r="AK34" s="282">
        <v>0.99292612101000011</v>
      </c>
      <c r="AL34" s="283">
        <v>0.99251323600000008</v>
      </c>
      <c r="AM34" s="281">
        <v>0.99395525504821014</v>
      </c>
      <c r="AN34" s="282">
        <v>0.99396866054887989</v>
      </c>
      <c r="AO34" s="282">
        <v>0.99396682344006992</v>
      </c>
      <c r="AP34" s="282">
        <v>0.99395304241983995</v>
      </c>
      <c r="AQ34" s="282">
        <v>0.99393061618625</v>
      </c>
      <c r="AR34" s="282">
        <v>0.9939028434373598</v>
      </c>
      <c r="AS34" s="282">
        <v>0.99387302287123003</v>
      </c>
      <c r="AT34" s="282">
        <v>0.99384445318591996</v>
      </c>
      <c r="AU34" s="282">
        <v>0.9938204330794902</v>
      </c>
      <c r="AV34" s="283">
        <v>0.99380426124999999</v>
      </c>
      <c r="AW34" s="281">
        <v>0.99379923639551015</v>
      </c>
      <c r="AX34" s="282">
        <v>0.99380865721408018</v>
      </c>
      <c r="AY34" s="282">
        <v>0.99383582240376989</v>
      </c>
      <c r="AZ34" s="282">
        <v>0.99388403066263997</v>
      </c>
      <c r="BA34" s="282">
        <v>0.99395658068874992</v>
      </c>
      <c r="BB34" s="282">
        <v>0.99405677118016</v>
      </c>
      <c r="BC34" s="282">
        <v>0.99418790083493003</v>
      </c>
      <c r="BD34" s="282">
        <v>0.99435326835111992</v>
      </c>
      <c r="BE34" s="282">
        <v>0.99455617242678995</v>
      </c>
      <c r="BF34" s="283">
        <v>0.99479991175999993</v>
      </c>
      <c r="BG34" s="283">
        <f t="shared" si="0"/>
        <v>0.99479991175999993</v>
      </c>
      <c r="BH34" s="237"/>
    </row>
    <row r="35" spans="1:60" x14ac:dyDescent="0.2">
      <c r="A35" s="348">
        <v>2.5</v>
      </c>
      <c r="B35" s="284">
        <v>0.98674999472000002</v>
      </c>
      <c r="C35" s="285">
        <v>0.9876337742500001</v>
      </c>
      <c r="D35" s="285">
        <v>0.98848599611999999</v>
      </c>
      <c r="E35" s="285">
        <v>0.98930666033000003</v>
      </c>
      <c r="F35" s="285">
        <v>0.99009576688000001</v>
      </c>
      <c r="G35" s="285">
        <v>0.99085331577000013</v>
      </c>
      <c r="H35" s="285">
        <v>0.99157930700000008</v>
      </c>
      <c r="I35" s="285">
        <v>0.99227374057000006</v>
      </c>
      <c r="J35" s="286">
        <v>0.99293661647999998</v>
      </c>
      <c r="K35" s="284">
        <v>0.99356793473000005</v>
      </c>
      <c r="L35" s="285">
        <v>0.99416769532000004</v>
      </c>
      <c r="M35" s="285">
        <v>0.99473589825000008</v>
      </c>
      <c r="N35" s="285">
        <v>0.99527254352000005</v>
      </c>
      <c r="O35" s="285">
        <v>0.99577763112999995</v>
      </c>
      <c r="P35" s="285">
        <v>0.99625116108</v>
      </c>
      <c r="Q35" s="285">
        <v>0.9966931333700001</v>
      </c>
      <c r="R35" s="285">
        <v>0.99710354800000012</v>
      </c>
      <c r="S35" s="286">
        <v>0.99748240496999996</v>
      </c>
      <c r="T35" s="284">
        <v>0.99782970428000006</v>
      </c>
      <c r="U35" s="285">
        <v>0.9981454459300001</v>
      </c>
      <c r="V35" s="285">
        <v>0.99842962992000017</v>
      </c>
      <c r="W35" s="285">
        <v>0.99868225624999996</v>
      </c>
      <c r="X35" s="285">
        <v>0.99890332492</v>
      </c>
      <c r="Y35" s="285">
        <v>0.99909283593000009</v>
      </c>
      <c r="Z35" s="285">
        <v>0.99925078928000011</v>
      </c>
      <c r="AA35" s="285">
        <v>0.99937718496999994</v>
      </c>
      <c r="AB35" s="286">
        <v>0.99947202300000004</v>
      </c>
      <c r="AC35" s="284">
        <v>0.99953530337000007</v>
      </c>
      <c r="AD35" s="285">
        <v>0.99956702608000014</v>
      </c>
      <c r="AE35" s="285">
        <v>0.99956719112999992</v>
      </c>
      <c r="AF35" s="285">
        <v>0.99953579851999996</v>
      </c>
      <c r="AG35" s="285">
        <v>0.99947284825000005</v>
      </c>
      <c r="AH35" s="285">
        <v>0.99937834032000006</v>
      </c>
      <c r="AI35" s="285">
        <v>0.99925227472999989</v>
      </c>
      <c r="AJ35" s="285">
        <v>0.99909465147999998</v>
      </c>
      <c r="AK35" s="285">
        <v>0.99890547057000001</v>
      </c>
      <c r="AL35" s="286">
        <v>0.99868473200000007</v>
      </c>
      <c r="AM35" s="287">
        <v>0.99926597687101992</v>
      </c>
      <c r="AN35" s="288">
        <v>0.99923888740655997</v>
      </c>
      <c r="AO35" s="288">
        <v>0.99921057593834006</v>
      </c>
      <c r="AP35" s="288">
        <v>0.99918245791807991</v>
      </c>
      <c r="AQ35" s="288">
        <v>0.99915594879749992</v>
      </c>
      <c r="AR35" s="288">
        <v>0.99913246402832012</v>
      </c>
      <c r="AS35" s="288">
        <v>0.99911341906226014</v>
      </c>
      <c r="AT35" s="288">
        <v>0.99910022935103993</v>
      </c>
      <c r="AU35" s="288">
        <v>0.99909431034637985</v>
      </c>
      <c r="AV35" s="289">
        <v>0.99909707749999999</v>
      </c>
      <c r="AW35" s="287">
        <v>0.99910994626362004</v>
      </c>
      <c r="AX35" s="288">
        <v>0.99913433208895985</v>
      </c>
      <c r="AY35" s="288">
        <v>0.99917165042773981</v>
      </c>
      <c r="AZ35" s="288">
        <v>0.99922331673167997</v>
      </c>
      <c r="BA35" s="288">
        <v>0.99929074645249993</v>
      </c>
      <c r="BB35" s="288">
        <v>0.9993753550419201</v>
      </c>
      <c r="BC35" s="288">
        <v>0.99947855795165985</v>
      </c>
      <c r="BD35" s="288">
        <v>0.99960177063344002</v>
      </c>
      <c r="BE35" s="288">
        <v>0.99974640853898011</v>
      </c>
      <c r="BF35" s="289">
        <v>0.99991388712000007</v>
      </c>
      <c r="BG35" s="289">
        <f t="shared" si="0"/>
        <v>0.99991388712000007</v>
      </c>
      <c r="BH35" s="237"/>
    </row>
    <row r="36" spans="1:60" x14ac:dyDescent="0.2">
      <c r="A36" s="348">
        <v>3</v>
      </c>
      <c r="B36" s="277">
        <v>1</v>
      </c>
      <c r="C36" s="278">
        <v>1</v>
      </c>
      <c r="D36" s="278">
        <v>1</v>
      </c>
      <c r="E36" s="278">
        <v>1</v>
      </c>
      <c r="F36" s="278">
        <v>1</v>
      </c>
      <c r="G36" s="278">
        <v>1</v>
      </c>
      <c r="H36" s="278">
        <v>1</v>
      </c>
      <c r="I36" s="278">
        <v>1</v>
      </c>
      <c r="J36" s="279">
        <v>1</v>
      </c>
      <c r="K36" s="277">
        <v>1</v>
      </c>
      <c r="L36" s="278">
        <v>1</v>
      </c>
      <c r="M36" s="278">
        <v>1</v>
      </c>
      <c r="N36" s="278">
        <v>1</v>
      </c>
      <c r="O36" s="278">
        <v>1</v>
      </c>
      <c r="P36" s="278">
        <v>1</v>
      </c>
      <c r="Q36" s="278">
        <v>1</v>
      </c>
      <c r="R36" s="278">
        <v>1</v>
      </c>
      <c r="S36" s="279">
        <v>1</v>
      </c>
      <c r="T36" s="277">
        <v>1</v>
      </c>
      <c r="U36" s="278">
        <v>1</v>
      </c>
      <c r="V36" s="278">
        <v>1</v>
      </c>
      <c r="W36" s="278">
        <v>1</v>
      </c>
      <c r="X36" s="278">
        <v>1</v>
      </c>
      <c r="Y36" s="278">
        <v>1</v>
      </c>
      <c r="Z36" s="278">
        <v>1</v>
      </c>
      <c r="AA36" s="278">
        <v>1</v>
      </c>
      <c r="AB36" s="279">
        <v>1</v>
      </c>
      <c r="AC36" s="277">
        <v>1</v>
      </c>
      <c r="AD36" s="278">
        <v>1</v>
      </c>
      <c r="AE36" s="278">
        <v>1</v>
      </c>
      <c r="AF36" s="278">
        <v>1</v>
      </c>
      <c r="AG36" s="278">
        <v>1</v>
      </c>
      <c r="AH36" s="278">
        <v>1</v>
      </c>
      <c r="AI36" s="278">
        <v>1</v>
      </c>
      <c r="AJ36" s="278">
        <v>1</v>
      </c>
      <c r="AK36" s="278">
        <v>1</v>
      </c>
      <c r="AL36" s="279">
        <v>1</v>
      </c>
      <c r="AM36" s="277">
        <v>1</v>
      </c>
      <c r="AN36" s="278">
        <v>1</v>
      </c>
      <c r="AO36" s="278">
        <v>1</v>
      </c>
      <c r="AP36" s="278">
        <v>1</v>
      </c>
      <c r="AQ36" s="278">
        <v>1</v>
      </c>
      <c r="AR36" s="278">
        <v>1</v>
      </c>
      <c r="AS36" s="278">
        <v>1</v>
      </c>
      <c r="AT36" s="278">
        <v>1</v>
      </c>
      <c r="AU36" s="278">
        <v>1</v>
      </c>
      <c r="AV36" s="279">
        <v>1</v>
      </c>
      <c r="AW36" s="277">
        <v>1</v>
      </c>
      <c r="AX36" s="278">
        <v>1</v>
      </c>
      <c r="AY36" s="278">
        <v>1</v>
      </c>
      <c r="AZ36" s="278">
        <v>1</v>
      </c>
      <c r="BA36" s="278">
        <v>1</v>
      </c>
      <c r="BB36" s="278">
        <v>1</v>
      </c>
      <c r="BC36" s="278">
        <v>1</v>
      </c>
      <c r="BD36" s="278">
        <v>1</v>
      </c>
      <c r="BE36" s="278">
        <v>1</v>
      </c>
      <c r="BF36" s="279">
        <v>1</v>
      </c>
      <c r="BG36" s="279">
        <f t="shared" si="0"/>
        <v>1</v>
      </c>
      <c r="BH36" s="237"/>
    </row>
    <row r="37" spans="1:60" x14ac:dyDescent="0.2">
      <c r="A37" s="348">
        <v>3.5</v>
      </c>
      <c r="B37" s="277">
        <v>1.0066454684282737</v>
      </c>
      <c r="C37" s="278">
        <v>1.0077465667662573</v>
      </c>
      <c r="D37" s="278">
        <v>1.0073450923660789</v>
      </c>
      <c r="E37" s="278">
        <v>1.0064112930753126</v>
      </c>
      <c r="F37" s="278">
        <v>1.0053284025036691</v>
      </c>
      <c r="G37" s="278">
        <v>1.0042542165745958</v>
      </c>
      <c r="H37" s="278">
        <v>1.0032521397804428</v>
      </c>
      <c r="I37" s="278">
        <v>1.0023440500069083</v>
      </c>
      <c r="J37" s="279">
        <v>1.0015332784621422</v>
      </c>
      <c r="K37" s="277">
        <v>1.0008151182795302</v>
      </c>
      <c r="L37" s="278">
        <v>1.0001817763288283</v>
      </c>
      <c r="M37" s="278">
        <v>0.99962472594100538</v>
      </c>
      <c r="N37" s="278">
        <v>0.99913580154111703</v>
      </c>
      <c r="O37" s="278">
        <v>0.99870767151184414</v>
      </c>
      <c r="P37" s="278">
        <v>0.99833400197240552</v>
      </c>
      <c r="Q37" s="278">
        <v>0.9980094690708341</v>
      </c>
      <c r="R37" s="278">
        <v>0.99772970048410992</v>
      </c>
      <c r="S37" s="279">
        <v>0.99749061027652985</v>
      </c>
      <c r="T37" s="277">
        <v>0.99728657174430524</v>
      </c>
      <c r="U37" s="278">
        <v>0.99711205712430828</v>
      </c>
      <c r="V37" s="278">
        <v>0.9969621282185761</v>
      </c>
      <c r="W37" s="278">
        <v>0.99683235856351826</v>
      </c>
      <c r="X37" s="278">
        <v>0.99671876499413248</v>
      </c>
      <c r="Y37" s="278">
        <v>0.99661774808976666</v>
      </c>
      <c r="Z37" s="278">
        <v>0.99652604066891348</v>
      </c>
      <c r="AA37" s="278">
        <v>0.99644066340285253</v>
      </c>
      <c r="AB37" s="279">
        <v>0.99635888663313921</v>
      </c>
      <c r="AC37" s="277">
        <v>0.99627819754661862</v>
      </c>
      <c r="AD37" s="278">
        <v>0.99619627195156968</v>
      </c>
      <c r="AE37" s="278">
        <v>0.99611094999272409</v>
      </c>
      <c r="AF37" s="278">
        <v>0.99602021523271278</v>
      </c>
      <c r="AG37" s="278">
        <v>0.99592217660909677</v>
      </c>
      <c r="AH37" s="278">
        <v>0.99581505284821403</v>
      </c>
      <c r="AI37" s="278">
        <v>0.99569715897958821</v>
      </c>
      <c r="AJ37" s="278">
        <v>0.99556689464832271</v>
      </c>
      <c r="AK37" s="278">
        <v>0.99542273396858871</v>
      </c>
      <c r="AL37" s="279">
        <v>0.99526321670009499</v>
      </c>
      <c r="AM37" s="277">
        <v>0.99539635459041242</v>
      </c>
      <c r="AN37" s="278">
        <v>0.99531579102858714</v>
      </c>
      <c r="AO37" s="278">
        <v>0.99523220761736764</v>
      </c>
      <c r="AP37" s="278">
        <v>0.99514534331981286</v>
      </c>
      <c r="AQ37" s="278">
        <v>0.99505497107139829</v>
      </c>
      <c r="AR37" s="278">
        <v>0.99496089408388699</v>
      </c>
      <c r="AS37" s="278">
        <v>0.99486294257434338</v>
      </c>
      <c r="AT37" s="278">
        <v>0.99476097086600879</v>
      </c>
      <c r="AU37" s="278">
        <v>0.9946548548150278</v>
      </c>
      <c r="AV37" s="279">
        <v>0.99454448952317775</v>
      </c>
      <c r="AW37" s="277">
        <v>0.99442978730207121</v>
      </c>
      <c r="AX37" s="278">
        <v>0.99431067585881949</v>
      </c>
      <c r="AY37" s="278">
        <v>0.99418709667705996</v>
      </c>
      <c r="AZ37" s="278">
        <v>0.99405900357057431</v>
      </c>
      <c r="BA37" s="278">
        <v>0.99392636138963775</v>
      </c>
      <c r="BB37" s="278">
        <v>0.99378914486270553</v>
      </c>
      <c r="BC37" s="278">
        <v>0.993647337558207</v>
      </c>
      <c r="BD37" s="278">
        <v>0.99350093095308223</v>
      </c>
      <c r="BE37" s="278">
        <v>0.99334992359630414</v>
      </c>
      <c r="BF37" s="279">
        <v>0.99319432035704891</v>
      </c>
      <c r="BG37" s="279">
        <f t="shared" si="0"/>
        <v>0.99319432035704891</v>
      </c>
      <c r="BH37" s="237"/>
    </row>
    <row r="38" spans="1:60" x14ac:dyDescent="0.2">
      <c r="A38" s="348">
        <v>4</v>
      </c>
      <c r="B38" s="277">
        <v>1.0060039543498829</v>
      </c>
      <c r="C38" s="278">
        <v>1.0079800873340825</v>
      </c>
      <c r="D38" s="278">
        <v>1.0076035376338242</v>
      </c>
      <c r="E38" s="278">
        <v>1.0063471872421759</v>
      </c>
      <c r="F38" s="278">
        <v>1.0048076917042787</v>
      </c>
      <c r="G38" s="278">
        <v>1.0032392967932466</v>
      </c>
      <c r="H38" s="278">
        <v>1.0017501103983144</v>
      </c>
      <c r="I38" s="278">
        <v>1.0003823884503658</v>
      </c>
      <c r="J38" s="279">
        <v>0.99914796320056853</v>
      </c>
      <c r="K38" s="277">
        <v>0.99804473458009668</v>
      </c>
      <c r="L38" s="278">
        <v>0.99706461939114233</v>
      </c>
      <c r="M38" s="278">
        <v>0.99619744868795013</v>
      </c>
      <c r="N38" s="278">
        <v>0.99543287051655516</v>
      </c>
      <c r="O38" s="278">
        <v>0.99476124550296297</v>
      </c>
      <c r="P38" s="278">
        <v>0.99417402706610092</v>
      </c>
      <c r="Q38" s="278">
        <v>0.99366387814723456</v>
      </c>
      <c r="R38" s="278">
        <v>0.99322465607275923</v>
      </c>
      <c r="S38" s="279">
        <v>0.99285052463895018</v>
      </c>
      <c r="T38" s="277">
        <v>0.99253342155324065</v>
      </c>
      <c r="U38" s="278">
        <v>0.99226538296611932</v>
      </c>
      <c r="V38" s="278">
        <v>0.99203924721725956</v>
      </c>
      <c r="W38" s="278">
        <v>0.99184855601564359</v>
      </c>
      <c r="X38" s="278">
        <v>0.99168746572167576</v>
      </c>
      <c r="Y38" s="278">
        <v>0.99155066891705701</v>
      </c>
      <c r="Z38" s="278">
        <v>0.9914333257219311</v>
      </c>
      <c r="AA38" s="278">
        <v>0.99133100399366125</v>
      </c>
      <c r="AB38" s="279">
        <v>0.99123962743428473</v>
      </c>
      <c r="AC38" s="277">
        <v>0.99115543064099243</v>
      </c>
      <c r="AD38" s="278">
        <v>0.9910749201978416</v>
      </c>
      <c r="AE38" s="278">
        <v>0.99099484099494639</v>
      </c>
      <c r="AF38" s="278">
        <v>0.99091214705600694</v>
      </c>
      <c r="AG38" s="278">
        <v>0.99082397624693541</v>
      </c>
      <c r="AH38" s="278">
        <v>0.9907276283231099</v>
      </c>
      <c r="AI38" s="278">
        <v>0.99062054584858572</v>
      </c>
      <c r="AJ38" s="278">
        <v>0.99050029758713576</v>
      </c>
      <c r="AK38" s="278">
        <v>0.9903645640226697</v>
      </c>
      <c r="AL38" s="279">
        <v>0.99021112471620254</v>
      </c>
      <c r="AM38" s="277">
        <v>0.99046445201225464</v>
      </c>
      <c r="AN38" s="278">
        <v>0.99042529398729162</v>
      </c>
      <c r="AO38" s="278">
        <v>0.99038487870995984</v>
      </c>
      <c r="AP38" s="278">
        <v>0.99034271772232163</v>
      </c>
      <c r="AQ38" s="278">
        <v>0.99029837589564484</v>
      </c>
      <c r="AR38" s="278">
        <v>0.99025146595809788</v>
      </c>
      <c r="AS38" s="278">
        <v>0.99020164363044771</v>
      </c>
      <c r="AT38" s="278">
        <v>0.99014860329563747</v>
      </c>
      <c r="AU38" s="278">
        <v>0.99009207413794709</v>
      </c>
      <c r="AV38" s="279">
        <v>0.99003181669584472</v>
      </c>
      <c r="AW38" s="277">
        <v>0.98996761977991388</v>
      </c>
      <c r="AX38" s="278">
        <v>0.98989929771343954</v>
      </c>
      <c r="AY38" s="278">
        <v>0.98982668785865202</v>
      </c>
      <c r="AZ38" s="278">
        <v>0.98974964839622381</v>
      </c>
      <c r="BA38" s="278">
        <v>0.9896680563296657</v>
      </c>
      <c r="BB38" s="278">
        <v>0.98958180568971399</v>
      </c>
      <c r="BC38" s="278">
        <v>0.98949080591683547</v>
      </c>
      <c r="BD38" s="278">
        <v>0.98939498040256846</v>
      </c>
      <c r="BE38" s="278">
        <v>0.98929426517273733</v>
      </c>
      <c r="BF38" s="279">
        <v>0.98918860769751726</v>
      </c>
      <c r="BG38" s="279">
        <f t="shared" si="0"/>
        <v>0.98918860769751726</v>
      </c>
      <c r="BH38" s="237"/>
    </row>
    <row r="39" spans="1:60" x14ac:dyDescent="0.2">
      <c r="A39" s="349">
        <v>4.5</v>
      </c>
      <c r="B39" s="290">
        <v>0.99990807517775349</v>
      </c>
      <c r="C39" s="291">
        <v>1.0034608394009847</v>
      </c>
      <c r="D39" s="291">
        <v>1.0036278246235113</v>
      </c>
      <c r="E39" s="291">
        <v>1.0024449996193445</v>
      </c>
      <c r="F39" s="291">
        <v>1.0007628137192306</v>
      </c>
      <c r="G39" s="291">
        <v>0.99895826789358122</v>
      </c>
      <c r="H39" s="291">
        <v>0.99720146873984239</v>
      </c>
      <c r="I39" s="291">
        <v>0.99556657984802543</v>
      </c>
      <c r="J39" s="292">
        <v>0.99408170128319473</v>
      </c>
      <c r="K39" s="290">
        <v>0.99275259048107878</v>
      </c>
      <c r="L39" s="291">
        <v>0.99157440151251319</v>
      </c>
      <c r="M39" s="291">
        <v>0.99053764342021866</v>
      </c>
      <c r="N39" s="291">
        <v>0.98963123545058218</v>
      </c>
      <c r="O39" s="291">
        <v>0.98884406027559268</v>
      </c>
      <c r="P39" s="291">
        <v>0.98816572420410254</v>
      </c>
      <c r="Q39" s="291">
        <v>0.98758689439282432</v>
      </c>
      <c r="R39" s="291">
        <v>0.98709941081893859</v>
      </c>
      <c r="S39" s="292">
        <v>0.98669552647859549</v>
      </c>
      <c r="T39" s="290">
        <v>0.98636558249239548</v>
      </c>
      <c r="U39" s="291">
        <v>0.98610018164776347</v>
      </c>
      <c r="V39" s="291">
        <v>0.98589084203339872</v>
      </c>
      <c r="W39" s="291">
        <v>0.98572989762264818</v>
      </c>
      <c r="X39" s="291">
        <v>0.98561040506553055</v>
      </c>
      <c r="Y39" s="291">
        <v>0.98552605871232313</v>
      </c>
      <c r="Z39" s="291">
        <v>0.9854711144507744</v>
      </c>
      <c r="AA39" s="291">
        <v>0.98544032216886379</v>
      </c>
      <c r="AB39" s="292">
        <v>0.98542886626935378</v>
      </c>
      <c r="AC39" s="290">
        <v>0.98543231349537863</v>
      </c>
      <c r="AD39" s="291">
        <v>0.98544656728142765</v>
      </c>
      <c r="AE39" s="291">
        <v>0.98546782786484011</v>
      </c>
      <c r="AF39" s="291">
        <v>0.98549255744667519</v>
      </c>
      <c r="AG39" s="291">
        <v>0.98551744975865485</v>
      </c>
      <c r="AH39" s="291">
        <v>0.98553940346421254</v>
      </c>
      <c r="AI39" s="291">
        <v>0.98555549889080751</v>
      </c>
      <c r="AJ39" s="291">
        <v>0.98556297765468204</v>
      </c>
      <c r="AK39" s="291">
        <v>0.98555922479697655</v>
      </c>
      <c r="AL39" s="292">
        <v>0.98554175310122005</v>
      </c>
      <c r="AM39" s="281">
        <v>0.98537224056894068</v>
      </c>
      <c r="AN39" s="282">
        <v>0.98535049084885518</v>
      </c>
      <c r="AO39" s="282">
        <v>0.98532203823027054</v>
      </c>
      <c r="AP39" s="282">
        <v>0.98528630695230457</v>
      </c>
      <c r="AQ39" s="282">
        <v>0.9852427944076424</v>
      </c>
      <c r="AR39" s="282">
        <v>0.98519106336268869</v>
      </c>
      <c r="AS39" s="282">
        <v>0.98513073505486504</v>
      </c>
      <c r="AT39" s="282">
        <v>0.98506148305932528</v>
      </c>
      <c r="AU39" s="282">
        <v>0.98498302783167613</v>
      </c>
      <c r="AV39" s="283">
        <v>0.98489513184558419</v>
      </c>
      <c r="AW39" s="281">
        <v>0.98479759525471178</v>
      </c>
      <c r="AX39" s="282">
        <v>0.98469025201751625</v>
      </c>
      <c r="AY39" s="282">
        <v>0.98457296643127146</v>
      </c>
      <c r="AZ39" s="282">
        <v>0.98444563002845398</v>
      </c>
      <c r="BA39" s="282">
        <v>0.98430815879443756</v>
      </c>
      <c r="BB39" s="282">
        <v>0.98416049067054145</v>
      </c>
      <c r="BC39" s="282">
        <v>0.98400258331083468</v>
      </c>
      <c r="BD39" s="282">
        <v>0.98383441206490185</v>
      </c>
      <c r="BE39" s="282">
        <v>0.98365596816210821</v>
      </c>
      <c r="BF39" s="283">
        <v>0.98346725707577254</v>
      </c>
      <c r="BG39" s="283">
        <f t="shared" si="0"/>
        <v>0.98346725707577254</v>
      </c>
      <c r="BH39" s="237"/>
    </row>
    <row r="40" spans="1:60" x14ac:dyDescent="0.2">
      <c r="A40" s="348">
        <v>5</v>
      </c>
      <c r="B40" s="287">
        <v>0.98846987312045709</v>
      </c>
      <c r="C40" s="288">
        <v>0.99297048837562962</v>
      </c>
      <c r="D40" s="288">
        <v>0.99329276466128102</v>
      </c>
      <c r="E40" s="288">
        <v>0.991992821600165</v>
      </c>
      <c r="F40" s="288">
        <v>0.99012390097333092</v>
      </c>
      <c r="G40" s="288">
        <v>0.98814366778149232</v>
      </c>
      <c r="H40" s="288">
        <v>0.98625231277032044</v>
      </c>
      <c r="I40" s="288">
        <v>0.98453227495019646</v>
      </c>
      <c r="J40" s="289">
        <v>0.98301047723519319</v>
      </c>
      <c r="K40" s="287">
        <v>0.981687591154766</v>
      </c>
      <c r="L40" s="288">
        <v>0.98055232082866961</v>
      </c>
      <c r="M40" s="288">
        <v>0.97958852729699608</v>
      </c>
      <c r="N40" s="288">
        <v>0.97877879729304829</v>
      </c>
      <c r="O40" s="288">
        <v>0.97810619683269739</v>
      </c>
      <c r="P40" s="288">
        <v>0.97755508208753583</v>
      </c>
      <c r="Q40" s="288">
        <v>0.97711141795859136</v>
      </c>
      <c r="R40" s="288">
        <v>0.97676284204055397</v>
      </c>
      <c r="S40" s="289">
        <v>0.97649813887925585</v>
      </c>
      <c r="T40" s="287">
        <v>0.97630573122146891</v>
      </c>
      <c r="U40" s="288">
        <v>0.97617492315633114</v>
      </c>
      <c r="V40" s="288">
        <v>0.97609621469764241</v>
      </c>
      <c r="W40" s="288">
        <v>0.97606116132878495</v>
      </c>
      <c r="X40" s="288">
        <v>0.97606224543544795</v>
      </c>
      <c r="Y40" s="288">
        <v>0.97609276110038257</v>
      </c>
      <c r="Z40" s="288">
        <v>0.97614671221245242</v>
      </c>
      <c r="AA40" s="288">
        <v>0.97621872308174962</v>
      </c>
      <c r="AB40" s="289">
        <v>0.97630396041775247</v>
      </c>
      <c r="AC40" s="287">
        <v>0.97639806542659935</v>
      </c>
      <c r="AD40" s="288">
        <v>0.97649709480681202</v>
      </c>
      <c r="AE40" s="288">
        <v>0.97659746950757331</v>
      </c>
      <c r="AF40" s="288">
        <v>0.97669593022455548</v>
      </c>
      <c r="AG40" s="288">
        <v>0.97678949872585052</v>
      </c>
      <c r="AH40" s="288">
        <v>0.9768754442142924</v>
      </c>
      <c r="AI40" s="288">
        <v>0.9769512540374744</v>
      </c>
      <c r="AJ40" s="288">
        <v>0.97701460815086338</v>
      </c>
      <c r="AK40" s="288">
        <v>0.97706335682230383</v>
      </c>
      <c r="AL40" s="289">
        <v>0.9770955011383391</v>
      </c>
      <c r="AM40" s="287">
        <v>0.97735013760750988</v>
      </c>
      <c r="AN40" s="288">
        <v>0.97742364151432592</v>
      </c>
      <c r="AO40" s="288">
        <v>0.97748714417416616</v>
      </c>
      <c r="AP40" s="288">
        <v>0.97754003883455964</v>
      </c>
      <c r="AQ40" s="288">
        <v>0.97758180110040827</v>
      </c>
      <c r="AR40" s="288">
        <v>0.97761198006000327</v>
      </c>
      <c r="AS40" s="288">
        <v>0.97763019041790522</v>
      </c>
      <c r="AT40" s="288">
        <v>0.97763610551040903</v>
      </c>
      <c r="AU40" s="288">
        <v>0.97762945109590382</v>
      </c>
      <c r="AV40" s="289">
        <v>0.97760999982667718</v>
      </c>
      <c r="AW40" s="287">
        <v>0.97757756632095705</v>
      </c>
      <c r="AX40" s="288">
        <v>0.97753200276446073</v>
      </c>
      <c r="AY40" s="288">
        <v>0.97747319497982155</v>
      </c>
      <c r="AZ40" s="288">
        <v>0.9774010589100236</v>
      </c>
      <c r="BA40" s="288">
        <v>0.97731553746873201</v>
      </c>
      <c r="BB40" s="288">
        <v>0.97721659771626024</v>
      </c>
      <c r="BC40" s="288">
        <v>0.97710422832492061</v>
      </c>
      <c r="BD40" s="288">
        <v>0.97697843730192457</v>
      </c>
      <c r="BE40" s="288">
        <v>0.97683924994180604</v>
      </c>
      <c r="BF40" s="289">
        <v>0.97668670698362892</v>
      </c>
      <c r="BG40" s="289">
        <f t="shared" si="0"/>
        <v>0.97668670698362892</v>
      </c>
      <c r="BH40" s="237"/>
    </row>
    <row r="41" spans="1:60" x14ac:dyDescent="0.2">
      <c r="A41" s="348">
        <v>5.5</v>
      </c>
      <c r="B41" s="277">
        <v>0.97789630511624781</v>
      </c>
      <c r="C41" s="278">
        <v>0.98243895524027736</v>
      </c>
      <c r="D41" s="278">
        <v>0.98305412517347635</v>
      </c>
      <c r="E41" s="278">
        <v>0.98209930751760532</v>
      </c>
      <c r="F41" s="278">
        <v>0.98056044639641149</v>
      </c>
      <c r="G41" s="278">
        <v>0.97887464606746544</v>
      </c>
      <c r="H41" s="278">
        <v>0.97723881382757261</v>
      </c>
      <c r="I41" s="278">
        <v>0.97573827002449032</v>
      </c>
      <c r="J41" s="279">
        <v>0.97440460519679994</v>
      </c>
      <c r="K41" s="277">
        <v>0.9732432137209901</v>
      </c>
      <c r="L41" s="278">
        <v>0.97224693418176344</v>
      </c>
      <c r="M41" s="278">
        <v>0.97140298506031864</v>
      </c>
      <c r="N41" s="278">
        <v>0.97069653231880015</v>
      </c>
      <c r="O41" s="278">
        <v>0.97011251330281878</v>
      </c>
      <c r="P41" s="278">
        <v>0.96963653898148228</v>
      </c>
      <c r="Q41" s="278">
        <v>0.96925530357932421</v>
      </c>
      <c r="R41" s="278">
        <v>0.96895673100803059</v>
      </c>
      <c r="S41" s="279">
        <v>0.96872998845141722</v>
      </c>
      <c r="T41" s="277">
        <v>0.96856544127854682</v>
      </c>
      <c r="U41" s="278">
        <v>0.96845454297470923</v>
      </c>
      <c r="V41" s="278">
        <v>0.96838972501746889</v>
      </c>
      <c r="W41" s="278">
        <v>0.9683642922569925</v>
      </c>
      <c r="X41" s="278">
        <v>0.96837232393026029</v>
      </c>
      <c r="Y41" s="278">
        <v>0.96840858289674825</v>
      </c>
      <c r="Z41" s="278">
        <v>0.96846843397530891</v>
      </c>
      <c r="AA41" s="278">
        <v>0.96854777133661329</v>
      </c>
      <c r="AB41" s="279">
        <v>0.96864295443067805</v>
      </c>
      <c r="AC41" s="277">
        <v>0.9687507517120526</v>
      </c>
      <c r="AD41" s="278">
        <v>0.96886829135360908</v>
      </c>
      <c r="AE41" s="278">
        <v>0.96899301814763505</v>
      </c>
      <c r="AF41" s="278">
        <v>0.96912265584160895</v>
      </c>
      <c r="AG41" s="278">
        <v>0.96925517422336605</v>
      </c>
      <c r="AH41" s="278">
        <v>0.96938876034361188</v>
      </c>
      <c r="AI41" s="278">
        <v>0.96952179333601085</v>
      </c>
      <c r="AJ41" s="278">
        <v>0.96965282236271655</v>
      </c>
      <c r="AK41" s="278">
        <v>0.96978054727464447</v>
      </c>
      <c r="AL41" s="279">
        <v>0.96990380163044321</v>
      </c>
      <c r="AM41" s="277">
        <v>0.96998367450642131</v>
      </c>
      <c r="AN41" s="278">
        <v>0.970070097225601</v>
      </c>
      <c r="AO41" s="278">
        <v>0.97014681454361251</v>
      </c>
      <c r="AP41" s="278">
        <v>0.97021327967937265</v>
      </c>
      <c r="AQ41" s="278">
        <v>0.97026902091998757</v>
      </c>
      <c r="AR41" s="278">
        <v>0.97031363354123157</v>
      </c>
      <c r="AS41" s="278">
        <v>0.9703467726405981</v>
      </c>
      <c r="AT41" s="278">
        <v>0.97036814677109995</v>
      </c>
      <c r="AU41" s="278">
        <v>0.97037751227874858</v>
      </c>
      <c r="AV41" s="279">
        <v>0.97037466825936458</v>
      </c>
      <c r="AW41" s="277">
        <v>0.970359452061338</v>
      </c>
      <c r="AX41" s="278">
        <v>0.97033173527034389</v>
      </c>
      <c r="AY41" s="278">
        <v>0.97029142012016356</v>
      </c>
      <c r="AZ41" s="278">
        <v>0.97023843628080075</v>
      </c>
      <c r="BA41" s="278">
        <v>0.9701727379811268</v>
      </c>
      <c r="BB41" s="278">
        <v>0.97009430142855613</v>
      </c>
      <c r="BC41" s="278">
        <v>0.97000312249284226</v>
      </c>
      <c r="BD41" s="278">
        <v>0.96989921462500028</v>
      </c>
      <c r="BE41" s="278">
        <v>0.96978260698585395</v>
      </c>
      <c r="BF41" s="279">
        <v>0.96965334276169701</v>
      </c>
      <c r="BG41" s="279">
        <f t="shared" si="0"/>
        <v>0.96965334276169701</v>
      </c>
      <c r="BH41" s="237"/>
    </row>
    <row r="42" spans="1:60" x14ac:dyDescent="0.2">
      <c r="A42" s="348">
        <v>6</v>
      </c>
      <c r="B42" s="277">
        <v>0.96587160503849001</v>
      </c>
      <c r="C42" s="278">
        <v>0.97077244755725067</v>
      </c>
      <c r="D42" s="278">
        <v>0.9715967486114967</v>
      </c>
      <c r="E42" s="278">
        <v>0.97080856277768746</v>
      </c>
      <c r="F42" s="278">
        <v>0.96943226557244266</v>
      </c>
      <c r="G42" s="278">
        <v>0.96791822041330033</v>
      </c>
      <c r="H42" s="278">
        <v>0.96646664747421573</v>
      </c>
      <c r="I42" s="278">
        <v>0.96516212711991223</v>
      </c>
      <c r="J42" s="279">
        <v>0.96403387829249743</v>
      </c>
      <c r="K42" s="277">
        <v>0.96308432176716885</v>
      </c>
      <c r="L42" s="278">
        <v>0.96230316151424822</v>
      </c>
      <c r="M42" s="278">
        <v>0.9616745033552051</v>
      </c>
      <c r="N42" s="278">
        <v>0.96118049043678211</v>
      </c>
      <c r="O42" s="278">
        <v>0.9608031439898338</v>
      </c>
      <c r="P42" s="278">
        <v>0.96052526073351696</v>
      </c>
      <c r="Q42" s="278">
        <v>0.9603308095204488</v>
      </c>
      <c r="R42" s="278">
        <v>0.96020506279974371</v>
      </c>
      <c r="S42" s="279">
        <v>0.96013518913337303</v>
      </c>
      <c r="T42" s="277">
        <v>0.96011197537696402</v>
      </c>
      <c r="U42" s="278">
        <v>0.96012792746902131</v>
      </c>
      <c r="V42" s="278">
        <v>0.96017655960389514</v>
      </c>
      <c r="W42" s="278">
        <v>0.96025228336939739</v>
      </c>
      <c r="X42" s="278">
        <v>0.96035030358673645</v>
      </c>
      <c r="Y42" s="278">
        <v>0.96046652328083382</v>
      </c>
      <c r="Z42" s="278">
        <v>0.9605974585110082</v>
      </c>
      <c r="AA42" s="278">
        <v>0.96074016288442343</v>
      </c>
      <c r="AB42" s="279">
        <v>0.9608921611194845</v>
      </c>
      <c r="AC42" s="277">
        <v>0.96105139082801883</v>
      </c>
      <c r="AD42" s="278">
        <v>0.96121615162989615</v>
      </c>
      <c r="AE42" s="278">
        <v>0.96138506073555785</v>
      </c>
      <c r="AF42" s="278">
        <v>0.96155701419229778</v>
      </c>
      <c r="AG42" s="278">
        <v>0.96173115306712209</v>
      </c>
      <c r="AH42" s="278">
        <v>0.96190683392010001</v>
      </c>
      <c r="AI42" s="278">
        <v>0.96208360300081908</v>
      </c>
      <c r="AJ42" s="278">
        <v>0.96226117367333974</v>
      </c>
      <c r="AK42" s="278">
        <v>0.96243940664068062</v>
      </c>
      <c r="AL42" s="279">
        <v>0.96261829259789911</v>
      </c>
      <c r="AM42" s="277">
        <v>0.962793265595282</v>
      </c>
      <c r="AN42" s="278">
        <v>0.96290443644204293</v>
      </c>
      <c r="AO42" s="278">
        <v>0.96300201703815791</v>
      </c>
      <c r="AP42" s="278">
        <v>0.96308557494880442</v>
      </c>
      <c r="AQ42" s="278">
        <v>0.96315474885588759</v>
      </c>
      <c r="AR42" s="278">
        <v>0.96320924063643143</v>
      </c>
      <c r="AS42" s="278">
        <v>0.96324880834887627</v>
      </c>
      <c r="AT42" s="278">
        <v>0.96327326001503111</v>
      </c>
      <c r="AU42" s="278">
        <v>0.963282448100377</v>
      </c>
      <c r="AV42" s="279">
        <v>0.96327626460822335</v>
      </c>
      <c r="AW42" s="277">
        <v>0.96325463671427591</v>
      </c>
      <c r="AX42" s="278">
        <v>0.96321752287766582</v>
      </c>
      <c r="AY42" s="278">
        <v>0.96316490937266019</v>
      </c>
      <c r="AZ42" s="278">
        <v>0.96309680719235169</v>
      </c>
      <c r="BA42" s="278">
        <v>0.96301324928171605</v>
      </c>
      <c r="BB42" s="278">
        <v>0.96291428806270785</v>
      </c>
      <c r="BC42" s="278">
        <v>0.96279999321864707</v>
      </c>
      <c r="BD42" s="278">
        <v>0.96267044970911209</v>
      </c>
      <c r="BE42" s="278">
        <v>0.962525755990012</v>
      </c>
      <c r="BF42" s="279">
        <v>0.96236602241652758</v>
      </c>
      <c r="BG42" s="279">
        <f t="shared" si="0"/>
        <v>0.96236602241652758</v>
      </c>
      <c r="BH42" s="237"/>
    </row>
    <row r="43" spans="1:60" x14ac:dyDescent="0.2">
      <c r="A43" s="348">
        <v>6.5</v>
      </c>
      <c r="B43" s="277">
        <v>0.95388770398315126</v>
      </c>
      <c r="C43" s="278">
        <v>0.95850437818243273</v>
      </c>
      <c r="D43" s="278">
        <v>0.95962049511685499</v>
      </c>
      <c r="E43" s="278">
        <v>0.9593065053425065</v>
      </c>
      <c r="F43" s="278">
        <v>0.95843693593211865</v>
      </c>
      <c r="G43" s="278">
        <v>0.95740474804494158</v>
      </c>
      <c r="H43" s="278">
        <v>0.95639017851903063</v>
      </c>
      <c r="I43" s="278">
        <v>0.95547334687857544</v>
      </c>
      <c r="J43" s="279">
        <v>0.95468527300861628</v>
      </c>
      <c r="K43" s="277">
        <v>0.95403238119019906</v>
      </c>
      <c r="L43" s="278">
        <v>0.95350878656595883</v>
      </c>
      <c r="M43" s="278">
        <v>0.95310264329994554</v>
      </c>
      <c r="N43" s="278">
        <v>0.95279948307149875</v>
      </c>
      <c r="O43" s="278">
        <v>0.95258397806995165</v>
      </c>
      <c r="P43" s="278">
        <v>0.9524408593335052</v>
      </c>
      <c r="Q43" s="278">
        <v>0.95235537512777368</v>
      </c>
      <c r="R43" s="278">
        <v>0.95231349717852598</v>
      </c>
      <c r="S43" s="279">
        <v>0.9523032565191798</v>
      </c>
      <c r="T43" s="277">
        <v>0.95231854099703483</v>
      </c>
      <c r="U43" s="278">
        <v>0.95235525351526285</v>
      </c>
      <c r="V43" s="278">
        <v>0.95240998705800783</v>
      </c>
      <c r="W43" s="278">
        <v>0.95247996031866156</v>
      </c>
      <c r="X43" s="278">
        <v>0.95256295310225392</v>
      </c>
      <c r="Y43" s="278">
        <v>0.95265724484366288</v>
      </c>
      <c r="Z43" s="278">
        <v>0.95276155784417105</v>
      </c>
      <c r="AA43" s="278">
        <v>0.95287500583368456</v>
      </c>
      <c r="AB43" s="279">
        <v>0.95299704790930895</v>
      </c>
      <c r="AC43" s="277">
        <v>0.9531274476031063</v>
      </c>
      <c r="AD43" s="278">
        <v>0.95326623668607369</v>
      </c>
      <c r="AE43" s="278">
        <v>0.95341368325786702</v>
      </c>
      <c r="AF43" s="278">
        <v>0.95357026366431608</v>
      </c>
      <c r="AG43" s="278">
        <v>0.95373663780450535</v>
      </c>
      <c r="AH43" s="278">
        <v>0.95391362742243357</v>
      </c>
      <c r="AI43" s="278">
        <v>0.95410219701707388</v>
      </c>
      <c r="AJ43" s="278">
        <v>0.95430343704440035</v>
      </c>
      <c r="AK43" s="278">
        <v>0.95451854912315126</v>
      </c>
      <c r="AL43" s="279">
        <v>0.95474883299141211</v>
      </c>
      <c r="AM43" s="277">
        <v>0.95488515696146881</v>
      </c>
      <c r="AN43" s="278">
        <v>0.95499911454789488</v>
      </c>
      <c r="AO43" s="278">
        <v>0.95510207526315383</v>
      </c>
      <c r="AP43" s="278">
        <v>0.95519371385448737</v>
      </c>
      <c r="AQ43" s="278">
        <v>0.95527375920963031</v>
      </c>
      <c r="AR43" s="278">
        <v>0.95534198835198147</v>
      </c>
      <c r="AS43" s="278">
        <v>0.95539822111671213</v>
      </c>
      <c r="AT43" s="278">
        <v>0.95544231542502633</v>
      </c>
      <c r="AU43" s="278">
        <v>0.95547416308453859</v>
      </c>
      <c r="AV43" s="279">
        <v>0.95549368605301377</v>
      </c>
      <c r="AW43" s="277">
        <v>0.95550083311076339</v>
      </c>
      <c r="AX43" s="278">
        <v>0.95549557689390019</v>
      </c>
      <c r="AY43" s="278">
        <v>0.95547791124669545</v>
      </c>
      <c r="AZ43" s="278">
        <v>0.9554478488564665</v>
      </c>
      <c r="BA43" s="278">
        <v>0.95540541913893773</v>
      </c>
      <c r="BB43" s="278">
        <v>0.95535066634594157</v>
      </c>
      <c r="BC43" s="278">
        <v>0.95528364787072495</v>
      </c>
      <c r="BD43" s="278">
        <v>0.95520443272909761</v>
      </c>
      <c r="BE43" s="278">
        <v>0.95511310019722195</v>
      </c>
      <c r="BF43" s="279">
        <v>0.95500973858913385</v>
      </c>
      <c r="BG43" s="279">
        <f t="shared" si="0"/>
        <v>0.95500973858913385</v>
      </c>
      <c r="BH43" s="237"/>
    </row>
    <row r="44" spans="1:60" x14ac:dyDescent="0.2">
      <c r="A44" s="349">
        <v>7</v>
      </c>
      <c r="B44" s="281">
        <v>0.9404945096601629</v>
      </c>
      <c r="C44" s="282">
        <v>0.94589812904098225</v>
      </c>
      <c r="D44" s="282">
        <v>0.94762149880847679</v>
      </c>
      <c r="E44" s="282">
        <v>0.94778795321068776</v>
      </c>
      <c r="F44" s="282">
        <v>0.94730998362653474</v>
      </c>
      <c r="G44" s="282">
        <v>0.94660662140447827</v>
      </c>
      <c r="H44" s="282">
        <v>0.94587586090746556</v>
      </c>
      <c r="I44" s="282">
        <v>0.94520988624801094</v>
      </c>
      <c r="J44" s="283">
        <v>0.94464785201863022</v>
      </c>
      <c r="K44" s="281">
        <v>0.94420155945065087</v>
      </c>
      <c r="L44" s="282">
        <v>0.94386852908063645</v>
      </c>
      <c r="M44" s="282">
        <v>0.94363888469751356</v>
      </c>
      <c r="N44" s="282">
        <v>0.94349906357098468</v>
      </c>
      <c r="O44" s="282">
        <v>0.94343384204134539</v>
      </c>
      <c r="P44" s="282">
        <v>0.94342744258910893</v>
      </c>
      <c r="Q44" s="282">
        <v>0.94346413008133134</v>
      </c>
      <c r="R44" s="282">
        <v>0.94352852025768019</v>
      </c>
      <c r="S44" s="283">
        <v>0.94360768584974197</v>
      </c>
      <c r="T44" s="281">
        <v>0.94369709432614945</v>
      </c>
      <c r="U44" s="282">
        <v>0.94379473429041993</v>
      </c>
      <c r="V44" s="282">
        <v>0.94389913325997721</v>
      </c>
      <c r="W44" s="282">
        <v>0.94400932134967241</v>
      </c>
      <c r="X44" s="282">
        <v>0.94412478886414564</v>
      </c>
      <c r="Y44" s="282">
        <v>0.94424544249835818</v>
      </c>
      <c r="Z44" s="282">
        <v>0.94437156276154244</v>
      </c>
      <c r="AA44" s="282">
        <v>0.94450376399475411</v>
      </c>
      <c r="AB44" s="283">
        <v>0.94464295761263006</v>
      </c>
      <c r="AC44" s="281">
        <v>0.94479031876684416</v>
      </c>
      <c r="AD44" s="282">
        <v>0.94494725638201149</v>
      </c>
      <c r="AE44" s="282">
        <v>0.94511538638126646</v>
      </c>
      <c r="AF44" s="282">
        <v>0.94529650785356867</v>
      </c>
      <c r="AG44" s="282">
        <v>0.9454925818903599</v>
      </c>
      <c r="AH44" s="282">
        <v>0.94570571281839377</v>
      </c>
      <c r="AI44" s="282">
        <v>0.94593813156795692</v>
      </c>
      <c r="AJ44" s="282">
        <v>0.94619218093478219</v>
      </c>
      <c r="AK44" s="282">
        <v>0.94647030251593089</v>
      </c>
      <c r="AL44" s="283">
        <v>0.9467750251223721</v>
      </c>
      <c r="AM44" s="281">
        <v>0.94693272871157419</v>
      </c>
      <c r="AN44" s="282">
        <v>0.94707411922655116</v>
      </c>
      <c r="AO44" s="282">
        <v>0.94720426842168004</v>
      </c>
      <c r="AP44" s="282">
        <v>0.94732290430827337</v>
      </c>
      <c r="AQ44" s="282">
        <v>0.94742980311416558</v>
      </c>
      <c r="AR44" s="282">
        <v>0.94752478394689821</v>
      </c>
      <c r="AS44" s="282">
        <v>0.94760770405406858</v>
      </c>
      <c r="AT44" s="282">
        <v>0.94767845460980416</v>
      </c>
      <c r="AU44" s="282">
        <v>0.94773695696528137</v>
      </c>
      <c r="AV44" s="283">
        <v>0.9477831593089352</v>
      </c>
      <c r="AW44" s="281">
        <v>0.94781703368880399</v>
      </c>
      <c r="AX44" s="282">
        <v>0.94783857335530297</v>
      </c>
      <c r="AY44" s="282">
        <v>0.94784779038787459</v>
      </c>
      <c r="AZ44" s="282">
        <v>0.9478447135734136</v>
      </c>
      <c r="BA44" s="282">
        <v>0.94782938650823156</v>
      </c>
      <c r="BB44" s="282">
        <v>0.94780186589874893</v>
      </c>
      <c r="BC44" s="282">
        <v>0.94776222003902921</v>
      </c>
      <c r="BD44" s="282">
        <v>0.94771052744585538</v>
      </c>
      <c r="BE44" s="282">
        <v>0.94764687563431815</v>
      </c>
      <c r="BF44" s="283">
        <v>0.94757136001885367</v>
      </c>
      <c r="BG44" s="283">
        <f t="shared" si="0"/>
        <v>0.94757136001885367</v>
      </c>
      <c r="BH44" s="237"/>
    </row>
    <row r="45" spans="1:60" x14ac:dyDescent="0.2">
      <c r="A45" s="348">
        <v>7.5</v>
      </c>
      <c r="B45" s="284">
        <v>0.92703963404618173</v>
      </c>
      <c r="C45" s="285">
        <v>0.93321285271642962</v>
      </c>
      <c r="D45" s="285">
        <v>0.93537852130023424</v>
      </c>
      <c r="E45" s="285">
        <v>0.93583682691799952</v>
      </c>
      <c r="F45" s="285">
        <v>0.93557994143805812</v>
      </c>
      <c r="G45" s="285">
        <v>0.93506522848614115</v>
      </c>
      <c r="H45" s="285">
        <v>0.9345097212724971</v>
      </c>
      <c r="I45" s="285">
        <v>0.93401497673143175</v>
      </c>
      <c r="J45" s="286">
        <v>0.93362439902759364</v>
      </c>
      <c r="K45" s="284">
        <v>0.93335119661410215</v>
      </c>
      <c r="L45" s="285">
        <v>0.93319265945292751</v>
      </c>
      <c r="M45" s="285">
        <v>0.93313770620789205</v>
      </c>
      <c r="N45" s="285">
        <v>0.93317097266966931</v>
      </c>
      <c r="O45" s="285">
        <v>0.93327505950706147</v>
      </c>
      <c r="P45" s="285">
        <v>0.93343177322513327</v>
      </c>
      <c r="Q45" s="285">
        <v>0.93362280493360528</v>
      </c>
      <c r="R45" s="285">
        <v>0.93383009072987244</v>
      </c>
      <c r="S45" s="286">
        <v>0.93403862027129902</v>
      </c>
      <c r="T45" s="284">
        <v>0.93424440704184919</v>
      </c>
      <c r="U45" s="285">
        <v>0.93444662731295491</v>
      </c>
      <c r="V45" s="285">
        <v>0.93464497934367297</v>
      </c>
      <c r="W45" s="285">
        <v>0.93483965358201238</v>
      </c>
      <c r="X45" s="285">
        <v>0.93503129455606793</v>
      </c>
      <c r="Y45" s="285">
        <v>0.93522095987989684</v>
      </c>
      <c r="Z45" s="285">
        <v>0.93541007947075316</v>
      </c>
      <c r="AA45" s="285">
        <v>0.93560041667070815</v>
      </c>
      <c r="AB45" s="286">
        <v>0.93579403212192802</v>
      </c>
      <c r="AC45" s="284">
        <v>0.9359932507424219</v>
      </c>
      <c r="AD45" s="285">
        <v>0.93620063185574531</v>
      </c>
      <c r="AE45" s="285">
        <v>0.93641894236294443</v>
      </c>
      <c r="AF45" s="285">
        <v>0.93665113275818046</v>
      </c>
      <c r="AG45" s="285">
        <v>0.9369003157500968</v>
      </c>
      <c r="AH45" s="285">
        <v>0.93716974723975377</v>
      </c>
      <c r="AI45" s="285">
        <v>0.9374628094111177</v>
      </c>
      <c r="AJ45" s="285">
        <v>0.93778299570405266</v>
      </c>
      <c r="AK45" s="285">
        <v>0.93813389745811715</v>
      </c>
      <c r="AL45" s="286">
        <v>0.93851919203541689</v>
      </c>
      <c r="AM45" s="287">
        <v>0.93878458277902821</v>
      </c>
      <c r="AN45" s="288">
        <v>0.9389742561245259</v>
      </c>
      <c r="AO45" s="288">
        <v>0.93915074243858776</v>
      </c>
      <c r="AP45" s="288">
        <v>0.93931381553127757</v>
      </c>
      <c r="AQ45" s="288">
        <v>0.93946329588990773</v>
      </c>
      <c r="AR45" s="288">
        <v>0.93959904543786998</v>
      </c>
      <c r="AS45" s="288">
        <v>0.93972096287950746</v>
      </c>
      <c r="AT45" s="288">
        <v>0.93982897956186251</v>
      </c>
      <c r="AU45" s="288">
        <v>0.93992305579270707</v>
      </c>
      <c r="AV45" s="289">
        <v>0.9400031775616956</v>
      </c>
      <c r="AW45" s="287">
        <v>0.94006935361807875</v>
      </c>
      <c r="AX45" s="288">
        <v>0.9401216128640717</v>
      </c>
      <c r="AY45" s="288">
        <v>0.94016000202796723</v>
      </c>
      <c r="AZ45" s="288">
        <v>0.94018458358544377</v>
      </c>
      <c r="BA45" s="288">
        <v>0.94019543390128923</v>
      </c>
      <c r="BB45" s="288">
        <v>0.94019264156708549</v>
      </c>
      <c r="BC45" s="288">
        <v>0.94017630591330392</v>
      </c>
      <c r="BD45" s="288">
        <v>0.94014653567676376</v>
      </c>
      <c r="BE45" s="288">
        <v>0.940103447806651</v>
      </c>
      <c r="BF45" s="289">
        <v>0.94004716639423469</v>
      </c>
      <c r="BG45" s="289">
        <f t="shared" si="0"/>
        <v>0.94004716639423469</v>
      </c>
      <c r="BH45" s="237"/>
    </row>
    <row r="46" spans="1:60" x14ac:dyDescent="0.2">
      <c r="A46" s="348">
        <v>8</v>
      </c>
      <c r="B46" s="277">
        <v>0.91236187781443734</v>
      </c>
      <c r="C46" s="278">
        <v>0.91975214646522685</v>
      </c>
      <c r="D46" s="278">
        <v>0.92274260259259167</v>
      </c>
      <c r="E46" s="278">
        <v>0.92379916427416309</v>
      </c>
      <c r="F46" s="278">
        <v>0.92400216235396737</v>
      </c>
      <c r="G46" s="278">
        <v>0.92385908349689738</v>
      </c>
      <c r="H46" s="278">
        <v>0.92361687092264333</v>
      </c>
      <c r="I46" s="278">
        <v>0.92339552073476405</v>
      </c>
      <c r="J46" s="279">
        <v>0.92325000464994</v>
      </c>
      <c r="K46" s="277">
        <v>0.92320079170003644</v>
      </c>
      <c r="L46" s="278">
        <v>0.92324962722929882</v>
      </c>
      <c r="M46" s="278">
        <v>0.92338799684236583</v>
      </c>
      <c r="N46" s="278">
        <v>0.92360179488633232</v>
      </c>
      <c r="O46" s="278">
        <v>0.9238739508727466</v>
      </c>
      <c r="P46" s="278">
        <v>0.92418592454179949</v>
      </c>
      <c r="Q46" s="278">
        <v>0.92451855938039773</v>
      </c>
      <c r="R46" s="278">
        <v>0.92485256585767517</v>
      </c>
      <c r="S46" s="279">
        <v>0.92517202149631916</v>
      </c>
      <c r="T46" s="277">
        <v>0.92547421936026908</v>
      </c>
      <c r="U46" s="278">
        <v>0.9257600508600311</v>
      </c>
      <c r="V46" s="278">
        <v>0.92603079797370624</v>
      </c>
      <c r="W46" s="278">
        <v>0.92628813037406321</v>
      </c>
      <c r="X46" s="278">
        <v>0.92653408798432091</v>
      </c>
      <c r="Y46" s="278">
        <v>0.92677105599752663</v>
      </c>
      <c r="Z46" s="278">
        <v>0.92700173661214202</v>
      </c>
      <c r="AA46" s="278">
        <v>0.92722912001767366</v>
      </c>
      <c r="AB46" s="279">
        <v>0.92745645609843019</v>
      </c>
      <c r="AC46" s="277">
        <v>0.92768722766271694</v>
      </c>
      <c r="AD46" s="278">
        <v>0.92792512559709028</v>
      </c>
      <c r="AE46" s="278">
        <v>0.9281740260966711</v>
      </c>
      <c r="AF46" s="278">
        <v>0.92843796997408801</v>
      </c>
      <c r="AG46" s="278">
        <v>0.92872114396435945</v>
      </c>
      <c r="AH46" s="278">
        <v>0.92902786389734593</v>
      </c>
      <c r="AI46" s="278">
        <v>0.92936255958839142</v>
      </c>
      <c r="AJ46" s="278">
        <v>0.92972976129176721</v>
      </c>
      <c r="AK46" s="278">
        <v>0.93013408756450489</v>
      </c>
      <c r="AL46" s="279">
        <v>0.93058023439620607</v>
      </c>
      <c r="AM46" s="277">
        <v>0.93088440955902896</v>
      </c>
      <c r="AN46" s="278">
        <v>0.93109983551730191</v>
      </c>
      <c r="AO46" s="278">
        <v>0.93130082868169106</v>
      </c>
      <c r="AP46" s="278">
        <v>0.93148722510548876</v>
      </c>
      <c r="AQ46" s="278">
        <v>0.93165890259183515</v>
      </c>
      <c r="AR46" s="278">
        <v>0.93181577597456133</v>
      </c>
      <c r="AS46" s="278">
        <v>0.93195779291850767</v>
      </c>
      <c r="AT46" s="278">
        <v>0.93208493017990524</v>
      </c>
      <c r="AU46" s="278">
        <v>0.93219719027436199</v>
      </c>
      <c r="AV46" s="279">
        <v>0.93229459850616025</v>
      </c>
      <c r="AW46" s="277">
        <v>0.93237720031804006</v>
      </c>
      <c r="AX46" s="278">
        <v>0.93244505892544161</v>
      </c>
      <c r="AY46" s="278">
        <v>0.93249825320343949</v>
      </c>
      <c r="AZ46" s="278">
        <v>0.93253687579832556</v>
      </c>
      <c r="BA46" s="278">
        <v>0.93256103143906288</v>
      </c>
      <c r="BB46" s="278">
        <v>0.93257083542674013</v>
      </c>
      <c r="BC46" s="278">
        <v>0.93256641228266945</v>
      </c>
      <c r="BD46" s="278">
        <v>0.93254789453799736</v>
      </c>
      <c r="BE46" s="278">
        <v>0.93251542164966394</v>
      </c>
      <c r="BF46" s="279">
        <v>0.93246913902926887</v>
      </c>
      <c r="BG46" s="279">
        <f t="shared" si="0"/>
        <v>0.93246913902926887</v>
      </c>
      <c r="BH46" s="237"/>
    </row>
    <row r="47" spans="1:60" x14ac:dyDescent="0.2">
      <c r="A47" s="348">
        <v>8.5</v>
      </c>
      <c r="B47" s="277">
        <v>0.90070325326644396</v>
      </c>
      <c r="C47" s="278">
        <v>0.90750830167688723</v>
      </c>
      <c r="D47" s="278">
        <v>0.91032608793957048</v>
      </c>
      <c r="E47" s="278">
        <v>0.91142386637987871</v>
      </c>
      <c r="F47" s="278">
        <v>0.91178347868834186</v>
      </c>
      <c r="G47" s="278">
        <v>0.91185996217770238</v>
      </c>
      <c r="H47" s="278">
        <v>0.91187070876127962</v>
      </c>
      <c r="I47" s="278">
        <v>0.91191825535461579</v>
      </c>
      <c r="J47" s="279">
        <v>0.91204679789920795</v>
      </c>
      <c r="K47" s="277">
        <v>0.91226985183690856</v>
      </c>
      <c r="L47" s="278">
        <v>0.91258444867216204</v>
      </c>
      <c r="M47" s="278">
        <v>0.91297869279296484</v>
      </c>
      <c r="N47" s="278">
        <v>0.91343589479833043</v>
      </c>
      <c r="O47" s="278">
        <v>0.91393687502121157</v>
      </c>
      <c r="P47" s="278">
        <v>0.91446126046265175</v>
      </c>
      <c r="Q47" s="278">
        <v>0.91498821537550756</v>
      </c>
      <c r="R47" s="278">
        <v>0.91549684783799179</v>
      </c>
      <c r="S47" s="279">
        <v>0.91597015323056019</v>
      </c>
      <c r="T47" s="277">
        <v>0.91640631213187973</v>
      </c>
      <c r="U47" s="278">
        <v>0.91680759047882598</v>
      </c>
      <c r="V47" s="278">
        <v>0.91717662944226708</v>
      </c>
      <c r="W47" s="278">
        <v>0.91751643482788992</v>
      </c>
      <c r="X47" s="278">
        <v>0.91783035519253664</v>
      </c>
      <c r="Y47" s="278">
        <v>0.91812205457555285</v>
      </c>
      <c r="Z47" s="278">
        <v>0.91839548334614762</v>
      </c>
      <c r="AA47" s="278">
        <v>0.91865484919999441</v>
      </c>
      <c r="AB47" s="279">
        <v>0.91890458943852016</v>
      </c>
      <c r="AC47" s="277">
        <v>0.91914934511419166</v>
      </c>
      <c r="AD47" s="278">
        <v>0.9193939372917983</v>
      </c>
      <c r="AE47" s="278">
        <v>0.91964334547733761</v>
      </c>
      <c r="AF47" s="278">
        <v>0.91990268815177467</v>
      </c>
      <c r="AG47" s="278">
        <v>0.92017720528490121</v>
      </c>
      <c r="AH47" s="278">
        <v>0.92047224267460337</v>
      </c>
      <c r="AI47" s="278">
        <v>0.92079323794656209</v>
      </c>
      <c r="AJ47" s="278">
        <v>0.92114570805065954</v>
      </c>
      <c r="AK47" s="278">
        <v>0.92153523809816229</v>
      </c>
      <c r="AL47" s="279">
        <v>0.92196747139496082</v>
      </c>
      <c r="AM47" s="277">
        <v>0.92259148297836491</v>
      </c>
      <c r="AN47" s="278">
        <v>0.92283381769758499</v>
      </c>
      <c r="AO47" s="278">
        <v>0.923061627494832</v>
      </c>
      <c r="AP47" s="278">
        <v>0.92327487563374055</v>
      </c>
      <c r="AQ47" s="278">
        <v>0.92347355422035993</v>
      </c>
      <c r="AR47" s="278">
        <v>0.92365768074673094</v>
      </c>
      <c r="AS47" s="278">
        <v>0.92382729501877969</v>
      </c>
      <c r="AT47" s="278">
        <v>0.92398245642504551</v>
      </c>
      <c r="AU47" s="278">
        <v>0.92412324150766645</v>
      </c>
      <c r="AV47" s="279">
        <v>0.92424974180147057</v>
      </c>
      <c r="AW47" s="277">
        <v>0.92436206191095571</v>
      </c>
      <c r="AX47" s="278">
        <v>0.92446031779843019</v>
      </c>
      <c r="AY47" s="278">
        <v>0.92454463525970487</v>
      </c>
      <c r="AZ47" s="278">
        <v>0.92461514856644322</v>
      </c>
      <c r="BA47" s="278">
        <v>0.92467199925670718</v>
      </c>
      <c r="BB47" s="278">
        <v>0.92471533505736514</v>
      </c>
      <c r="BC47" s="278">
        <v>0.92474530892390772</v>
      </c>
      <c r="BD47" s="278">
        <v>0.92476207818486345</v>
      </c>
      <c r="BE47" s="278">
        <v>0.92476580377948214</v>
      </c>
      <c r="BF47" s="279">
        <v>0.92475664957862869</v>
      </c>
      <c r="BG47" s="279">
        <f t="shared" si="0"/>
        <v>0.92475664957862869</v>
      </c>
      <c r="BH47" s="237"/>
    </row>
    <row r="48" spans="1:60" x14ac:dyDescent="0.2">
      <c r="A48" s="348">
        <v>9</v>
      </c>
      <c r="B48" s="277">
        <v>0.88792101959491676</v>
      </c>
      <c r="C48" s="278">
        <v>0.89557181413663212</v>
      </c>
      <c r="D48" s="278">
        <v>0.89915023904523605</v>
      </c>
      <c r="E48" s="278">
        <v>0.90083761339199475</v>
      </c>
      <c r="F48" s="278">
        <v>0.90162479270279561</v>
      </c>
      <c r="G48" s="278">
        <v>0.90199696884947755</v>
      </c>
      <c r="H48" s="278">
        <v>0.902202268042675</v>
      </c>
      <c r="I48" s="278">
        <v>0.90236928781172976</v>
      </c>
      <c r="J48" s="279">
        <v>0.90256294394411651</v>
      </c>
      <c r="K48" s="277">
        <v>0.90281275789429349</v>
      </c>
      <c r="L48" s="278">
        <v>0.90312793067016139</v>
      </c>
      <c r="M48" s="278">
        <v>0.90350571014378034</v>
      </c>
      <c r="N48" s="278">
        <v>0.90393619166766837</v>
      </c>
      <c r="O48" s="278">
        <v>0.90440514687414109</v>
      </c>
      <c r="P48" s="278">
        <v>0.90489572644189487</v>
      </c>
      <c r="Q48" s="278">
        <v>0.90538950208067537</v>
      </c>
      <c r="R48" s="278">
        <v>0.90586711180363266</v>
      </c>
      <c r="S48" s="279">
        <v>0.90631272261287543</v>
      </c>
      <c r="T48" s="277">
        <v>0.90672647747237456</v>
      </c>
      <c r="U48" s="278">
        <v>0.90711249873473021</v>
      </c>
      <c r="V48" s="278">
        <v>0.90747493010410951</v>
      </c>
      <c r="W48" s="278">
        <v>0.90781799579601041</v>
      </c>
      <c r="X48" s="278">
        <v>0.9081460342487444</v>
      </c>
      <c r="Y48" s="278">
        <v>0.90846351541225168</v>
      </c>
      <c r="Z48" s="278">
        <v>0.90877504750176663</v>
      </c>
      <c r="AA48" s="278">
        <v>0.90908537708091319</v>
      </c>
      <c r="AB48" s="279">
        <v>0.90939938502073703</v>
      </c>
      <c r="AC48" s="277">
        <v>0.90972208001444488</v>
      </c>
      <c r="AD48" s="278">
        <v>0.91005859075348317</v>
      </c>
      <c r="AE48" s="278">
        <v>0.91041415748796284</v>
      </c>
      <c r="AF48" s="278">
        <v>0.9107941234384529</v>
      </c>
      <c r="AG48" s="278">
        <v>0.91120392635453218</v>
      </c>
      <c r="AH48" s="278">
        <v>0.91164909040042175</v>
      </c>
      <c r="AI48" s="278">
        <v>0.91213521847112156</v>
      </c>
      <c r="AJ48" s="278">
        <v>0.91266798499139978</v>
      </c>
      <c r="AK48" s="278">
        <v>0.91325312921646495</v>
      </c>
      <c r="AL48" s="279">
        <v>0.91389644903155565</v>
      </c>
      <c r="AM48" s="277">
        <v>0.91391902391999724</v>
      </c>
      <c r="AN48" s="278">
        <v>0.91421393983509991</v>
      </c>
      <c r="AO48" s="278">
        <v>0.91449557376219648</v>
      </c>
      <c r="AP48" s="278">
        <v>0.91476382380226029</v>
      </c>
      <c r="AQ48" s="278">
        <v>0.91501861963175168</v>
      </c>
      <c r="AR48" s="278">
        <v>0.91525991898982595</v>
      </c>
      <c r="AS48" s="278">
        <v>0.91548770453529305</v>
      </c>
      <c r="AT48" s="278">
        <v>0.91570198103429756</v>
      </c>
      <c r="AU48" s="278">
        <v>0.91590277284359434</v>
      </c>
      <c r="AV48" s="279">
        <v>0.91609012165790971</v>
      </c>
      <c r="AW48" s="277">
        <v>0.91626408449320318</v>
      </c>
      <c r="AX48" s="278">
        <v>0.91642473188064311</v>
      </c>
      <c r="AY48" s="278">
        <v>0.91657214624883698</v>
      </c>
      <c r="AZ48" s="278">
        <v>0.91670642047430773</v>
      </c>
      <c r="BA48" s="278">
        <v>0.91682765658236098</v>
      </c>
      <c r="BB48" s="278">
        <v>0.91693596458247806</v>
      </c>
      <c r="BC48" s="278">
        <v>0.91703146142407788</v>
      </c>
      <c r="BD48" s="278">
        <v>0.91711427006004198</v>
      </c>
      <c r="BE48" s="278">
        <v>0.91718451860678663</v>
      </c>
      <c r="BF48" s="279">
        <v>0.91724233959086243</v>
      </c>
      <c r="BG48" s="279">
        <f t="shared" si="0"/>
        <v>0.91724233959086243</v>
      </c>
      <c r="BH48" s="237"/>
    </row>
    <row r="49" spans="1:60" x14ac:dyDescent="0.2">
      <c r="A49" s="349">
        <v>9.5</v>
      </c>
      <c r="B49" s="290">
        <v>0.87487902694312614</v>
      </c>
      <c r="C49" s="291">
        <v>0.88315331351521842</v>
      </c>
      <c r="D49" s="291">
        <v>0.88692103277104628</v>
      </c>
      <c r="E49" s="291">
        <v>0.88869009545709199</v>
      </c>
      <c r="F49" s="291">
        <v>0.88956234761961706</v>
      </c>
      <c r="G49" s="291">
        <v>0.89005724392621532</v>
      </c>
      <c r="H49" s="291">
        <v>0.89042865946387995</v>
      </c>
      <c r="I49" s="291">
        <v>0.8908005600383917</v>
      </c>
      <c r="J49" s="292">
        <v>0.89122997918960123</v>
      </c>
      <c r="K49" s="290">
        <v>0.89173812656011431</v>
      </c>
      <c r="L49" s="291">
        <v>0.8923265203898546</v>
      </c>
      <c r="M49" s="291">
        <v>0.89298567954399855</v>
      </c>
      <c r="N49" s="291">
        <v>0.89369994786256235</v>
      </c>
      <c r="O49" s="291">
        <v>0.89445023227934539</v>
      </c>
      <c r="P49" s="291">
        <v>0.89521558109450772</v>
      </c>
      <c r="Q49" s="291">
        <v>0.89597410146562384</v>
      </c>
      <c r="R49" s="291">
        <v>0.89670349310998509</v>
      </c>
      <c r="S49" s="292">
        <v>0.89738556182467377</v>
      </c>
      <c r="T49" s="290">
        <v>0.89801903355908519</v>
      </c>
      <c r="U49" s="291">
        <v>0.89860706876936802</v>
      </c>
      <c r="V49" s="291">
        <v>0.89915310427313389</v>
      </c>
      <c r="W49" s="291">
        <v>0.89966086576246251</v>
      </c>
      <c r="X49" s="291">
        <v>0.90013436309578732</v>
      </c>
      <c r="Y49" s="291">
        <v>0.90057787592036675</v>
      </c>
      <c r="Z49" s="291">
        <v>0.90099593428131985</v>
      </c>
      <c r="AA49" s="291">
        <v>0.90139329706874405</v>
      </c>
      <c r="AB49" s="292">
        <v>0.90177493002327191</v>
      </c>
      <c r="AC49" s="290">
        <v>0.90214598430920778</v>
      </c>
      <c r="AD49" s="291">
        <v>0.90251177621746426</v>
      </c>
      <c r="AE49" s="291">
        <v>0.90287776828111221</v>
      </c>
      <c r="AF49" s="291">
        <v>0.90324955191362655</v>
      </c>
      <c r="AG49" s="291">
        <v>0.90363283157529306</v>
      </c>
      <c r="AH49" s="291">
        <v>0.90403341041206819</v>
      </c>
      <c r="AI49" s="291">
        <v>0.90445717727769037</v>
      </c>
      <c r="AJ49" s="291">
        <v>0.90491009503372344</v>
      </c>
      <c r="AK49" s="291">
        <v>0.90539819001695765</v>
      </c>
      <c r="AL49" s="292">
        <v>0.90592754256482344</v>
      </c>
      <c r="AM49" s="281">
        <v>0.90655356146475852</v>
      </c>
      <c r="AN49" s="282">
        <v>0.90686077188749736</v>
      </c>
      <c r="AO49" s="282">
        <v>0.90714960442462056</v>
      </c>
      <c r="AP49" s="282">
        <v>0.90742011659405208</v>
      </c>
      <c r="AQ49" s="282">
        <v>0.90767239162294544</v>
      </c>
      <c r="AR49" s="282">
        <v>0.90790653517631748</v>
      </c>
      <c r="AS49" s="282">
        <v>0.90812267244938261</v>
      </c>
      <c r="AT49" s="282">
        <v>0.90832094558349119</v>
      </c>
      <c r="AU49" s="282">
        <v>0.90850151136985824</v>
      </c>
      <c r="AV49" s="283">
        <v>0.90866453920912504</v>
      </c>
      <c r="AW49" s="281">
        <v>0.90881020929834477</v>
      </c>
      <c r="AX49" s="282">
        <v>0.90893871102012913</v>
      </c>
      <c r="AY49" s="282">
        <v>0.90905024151154501</v>
      </c>
      <c r="AZ49" s="282">
        <v>0.90914500439287016</v>
      </c>
      <c r="BA49" s="282">
        <v>0.90922320863856909</v>
      </c>
      <c r="BB49" s="282">
        <v>0.90928506757484306</v>
      </c>
      <c r="BC49" s="282">
        <v>0.90933079798988381</v>
      </c>
      <c r="BD49" s="282">
        <v>0.90936061934451429</v>
      </c>
      <c r="BE49" s="282">
        <v>0.90937475307229632</v>
      </c>
      <c r="BF49" s="283">
        <v>0.90937342195940729</v>
      </c>
      <c r="BG49" s="283">
        <f t="shared" si="0"/>
        <v>0.90937342195940729</v>
      </c>
      <c r="BH49" s="237"/>
    </row>
    <row r="50" spans="1:60" x14ac:dyDescent="0.2">
      <c r="A50" s="348">
        <v>10</v>
      </c>
      <c r="B50" s="287">
        <v>0.8610458988654246</v>
      </c>
      <c r="C50" s="288">
        <v>0.86982649723691507</v>
      </c>
      <c r="D50" s="288">
        <v>0.87423678936667248</v>
      </c>
      <c r="E50" s="288">
        <v>0.87660048628052101</v>
      </c>
      <c r="F50" s="288">
        <v>0.87797374049615517</v>
      </c>
      <c r="G50" s="288">
        <v>0.87887460624297142</v>
      </c>
      <c r="H50" s="288">
        <v>0.87956902414727778</v>
      </c>
      <c r="I50" s="288">
        <v>0.88019585334924277</v>
      </c>
      <c r="J50" s="289">
        <v>0.88082622144291423</v>
      </c>
      <c r="K50" s="287">
        <v>0.881493560815931</v>
      </c>
      <c r="L50" s="288">
        <v>0.88220960559239581</v>
      </c>
      <c r="M50" s="288">
        <v>0.8829732701348334</v>
      </c>
      <c r="N50" s="288">
        <v>0.88377574517924007</v>
      </c>
      <c r="O50" s="288">
        <v>0.88460350434375101</v>
      </c>
      <c r="P50" s="288">
        <v>0.88544011780903764</v>
      </c>
      <c r="Q50" s="288">
        <v>0.88626736605475953</v>
      </c>
      <c r="R50" s="288">
        <v>0.8870659332067411</v>
      </c>
      <c r="S50" s="289">
        <v>0.88781996019620435</v>
      </c>
      <c r="T50" s="287">
        <v>0.88852969733516451</v>
      </c>
      <c r="U50" s="288">
        <v>0.88919937040949126</v>
      </c>
      <c r="V50" s="288">
        <v>0.88983317826811925</v>
      </c>
      <c r="W50" s="288">
        <v>0.8904353593727643</v>
      </c>
      <c r="X50" s="288">
        <v>0.89101023110275446</v>
      </c>
      <c r="Y50" s="288">
        <v>0.89156221136920477</v>
      </c>
      <c r="Z50" s="288">
        <v>0.89209582878153992</v>
      </c>
      <c r="AA50" s="288">
        <v>0.89261572547415291</v>
      </c>
      <c r="AB50" s="289">
        <v>0.89312665530888757</v>
      </c>
      <c r="AC50" s="287">
        <v>0.8936334792527727</v>
      </c>
      <c r="AD50" s="288">
        <v>0.89414115912261094</v>
      </c>
      <c r="AE50" s="288">
        <v>0.89465475048219534</v>
      </c>
      <c r="AF50" s="288">
        <v>0.89517939520573409</v>
      </c>
      <c r="AG50" s="288">
        <v>0.89572031403790564</v>
      </c>
      <c r="AH50" s="288">
        <v>0.89628279935765409</v>
      </c>
      <c r="AI50" s="288">
        <v>0.89687220826991521</v>
      </c>
      <c r="AJ50" s="288">
        <v>0.89749395609393801</v>
      </c>
      <c r="AK50" s="288">
        <v>0.89815351028005264</v>
      </c>
      <c r="AL50" s="289">
        <v>0.89885638476260143</v>
      </c>
      <c r="AM50" s="287">
        <v>0.89883333813725275</v>
      </c>
      <c r="AN50" s="288">
        <v>0.89917347905294209</v>
      </c>
      <c r="AO50" s="288">
        <v>0.89949225106030484</v>
      </c>
      <c r="AP50" s="288">
        <v>0.89978978411620103</v>
      </c>
      <c r="AQ50" s="288">
        <v>0.90006623189067114</v>
      </c>
      <c r="AR50" s="288">
        <v>0.90032176856929746</v>
      </c>
      <c r="AS50" s="288">
        <v>0.9005565860139555</v>
      </c>
      <c r="AT50" s="288">
        <v>0.90077089124277965</v>
      </c>
      <c r="AU50" s="288">
        <v>0.9009649041942015</v>
      </c>
      <c r="AV50" s="289">
        <v>0.90113885574364161</v>
      </c>
      <c r="AW50" s="287">
        <v>0.90129298594484375</v>
      </c>
      <c r="AX50" s="288">
        <v>0.90142754247091372</v>
      </c>
      <c r="AY50" s="288">
        <v>0.90154277923289994</v>
      </c>
      <c r="AZ50" s="288">
        <v>0.90163895515621606</v>
      </c>
      <c r="BA50" s="288">
        <v>0.9017163330974336</v>
      </c>
      <c r="BB50" s="288">
        <v>0.90177517888592429</v>
      </c>
      <c r="BC50" s="288">
        <v>0.90181576047658807</v>
      </c>
      <c r="BD50" s="288">
        <v>0.90183834720144918</v>
      </c>
      <c r="BE50" s="288">
        <v>0.90184320910926019</v>
      </c>
      <c r="BF50" s="289">
        <v>0.90183061638350648</v>
      </c>
      <c r="BG50" s="289">
        <f t="shared" si="0"/>
        <v>0.90183061638350648</v>
      </c>
      <c r="BH50" s="237"/>
    </row>
    <row r="51" spans="1:60" x14ac:dyDescent="0.2">
      <c r="A51" s="348">
        <v>10.5</v>
      </c>
      <c r="B51" s="277">
        <v>0.84997976167712475</v>
      </c>
      <c r="C51" s="278">
        <v>0.85751860737112306</v>
      </c>
      <c r="D51" s="278">
        <v>0.8616842821534163</v>
      </c>
      <c r="E51" s="278">
        <v>0.8642056062149901</v>
      </c>
      <c r="F51" s="278">
        <v>0.86588839970311215</v>
      </c>
      <c r="G51" s="278">
        <v>0.86713983626052327</v>
      </c>
      <c r="H51" s="278">
        <v>0.86817633448848675</v>
      </c>
      <c r="I51" s="278">
        <v>0.86911578510559451</v>
      </c>
      <c r="J51" s="279">
        <v>0.87002208521949109</v>
      </c>
      <c r="K51" s="277">
        <v>0.87092811681453686</v>
      </c>
      <c r="L51" s="278">
        <v>0.87184825142219091</v>
      </c>
      <c r="M51" s="278">
        <v>0.87278545853152101</v>
      </c>
      <c r="N51" s="278">
        <v>0.87373549589798727</v>
      </c>
      <c r="O51" s="278">
        <v>0.87468945644051299</v>
      </c>
      <c r="P51" s="278">
        <v>0.8756353571068457</v>
      </c>
      <c r="Q51" s="278">
        <v>0.87655915246209148</v>
      </c>
      <c r="R51" s="278">
        <v>0.87744539386971876</v>
      </c>
      <c r="S51" s="279">
        <v>0.878281442551332</v>
      </c>
      <c r="T51" s="277">
        <v>0.87906911891405881</v>
      </c>
      <c r="U51" s="278">
        <v>0.87981361285915516</v>
      </c>
      <c r="V51" s="278">
        <v>0.88051984657947246</v>
      </c>
      <c r="W51" s="278">
        <v>0.88119256634098486</v>
      </c>
      <c r="X51" s="278">
        <v>0.88183640589144041</v>
      </c>
      <c r="Y51" s="278">
        <v>0.88245593033903758</v>
      </c>
      <c r="Z51" s="278">
        <v>0.88305566647597833</v>
      </c>
      <c r="AA51" s="278">
        <v>0.88364012362943012</v>
      </c>
      <c r="AB51" s="279">
        <v>0.88421380785746606</v>
      </c>
      <c r="AC51" s="277">
        <v>0.88478123145173437</v>
      </c>
      <c r="AD51" s="278">
        <v>0.88534691912336028</v>
      </c>
      <c r="AE51" s="278">
        <v>0.88591541184438016</v>
      </c>
      <c r="AF51" s="278">
        <v>0.88649126903536468</v>
      </c>
      <c r="AG51" s="278">
        <v>0.88707906959208127</v>
      </c>
      <c r="AH51" s="278">
        <v>0.8876834121040732</v>
      </c>
      <c r="AI51" s="278">
        <v>0.88830891451843086</v>
      </c>
      <c r="AJ51" s="278">
        <v>0.88896021343066189</v>
      </c>
      <c r="AK51" s="278">
        <v>0.88964196313327293</v>
      </c>
      <c r="AL51" s="279">
        <v>0.8903588345155965</v>
      </c>
      <c r="AM51" s="277">
        <v>0.89022771872508177</v>
      </c>
      <c r="AN51" s="278">
        <v>0.89059640684965835</v>
      </c>
      <c r="AO51" s="278">
        <v>0.89094560365117537</v>
      </c>
      <c r="AP51" s="278">
        <v>0.89127556132555052</v>
      </c>
      <c r="AQ51" s="278">
        <v>0.89158653948377797</v>
      </c>
      <c r="AR51" s="278">
        <v>0.89187880365582861</v>
      </c>
      <c r="AS51" s="278">
        <v>0.89215262396591022</v>
      </c>
      <c r="AT51" s="278">
        <v>0.89240827396224875</v>
      </c>
      <c r="AU51" s="278">
        <v>0.89264602958571293</v>
      </c>
      <c r="AV51" s="279">
        <v>0.89286616826285359</v>
      </c>
      <c r="AW51" s="277">
        <v>0.89306896811017655</v>
      </c>
      <c r="AX51" s="278">
        <v>0.89325470723770217</v>
      </c>
      <c r="AY51" s="278">
        <v>0.89342366314099897</v>
      </c>
      <c r="AZ51" s="278">
        <v>0.89357611217197896</v>
      </c>
      <c r="BA51" s="278">
        <v>0.89371232907973208</v>
      </c>
      <c r="BB51" s="278">
        <v>0.89383258661357712</v>
      </c>
      <c r="BC51" s="278">
        <v>0.89393715518136385</v>
      </c>
      <c r="BD51" s="278">
        <v>0.89402630255677196</v>
      </c>
      <c r="BE51" s="278">
        <v>0.89410029363006183</v>
      </c>
      <c r="BF51" s="279">
        <v>0.89415939019731716</v>
      </c>
      <c r="BG51" s="279">
        <f t="shared" si="0"/>
        <v>0.89415939019731716</v>
      </c>
      <c r="BH51" s="237"/>
    </row>
    <row r="52" spans="1:60" x14ac:dyDescent="0.2">
      <c r="A52" s="348">
        <v>11</v>
      </c>
      <c r="B52" s="277">
        <v>0.83598852236308241</v>
      </c>
      <c r="C52" s="278">
        <v>0.84477922610892831</v>
      </c>
      <c r="D52" s="278">
        <v>0.84955629383411657</v>
      </c>
      <c r="E52" s="278">
        <v>0.85241893764062227</v>
      </c>
      <c r="F52" s="278">
        <v>0.85432562618973384</v>
      </c>
      <c r="G52" s="278">
        <v>0.85575041339847502</v>
      </c>
      <c r="H52" s="278">
        <v>0.8569399154319679</v>
      </c>
      <c r="I52" s="278">
        <v>0.85802567487762682</v>
      </c>
      <c r="J52" s="279">
        <v>0.85907756548756131</v>
      </c>
      <c r="K52" s="277">
        <v>0.86013088260604598</v>
      </c>
      <c r="L52" s="278">
        <v>0.86120082009787302</v>
      </c>
      <c r="M52" s="278">
        <v>0.86229054178626208</v>
      </c>
      <c r="N52" s="278">
        <v>0.86339584156712146</v>
      </c>
      <c r="O52" s="278">
        <v>0.86450791315925946</v>
      </c>
      <c r="P52" s="278">
        <v>0.86561503660405392</v>
      </c>
      <c r="Q52" s="278">
        <v>0.86670362607160967</v>
      </c>
      <c r="R52" s="278">
        <v>0.86775889180743082</v>
      </c>
      <c r="S52" s="279">
        <v>0.8687684950387109</v>
      </c>
      <c r="T52" s="277">
        <v>0.86973254211354023</v>
      </c>
      <c r="U52" s="278">
        <v>0.87065411554509164</v>
      </c>
      <c r="V52" s="278">
        <v>0.87153616315930682</v>
      </c>
      <c r="W52" s="278">
        <v>0.87238157113379211</v>
      </c>
      <c r="X52" s="278">
        <v>0.87319321057136301</v>
      </c>
      <c r="Y52" s="278">
        <v>0.87397396655106552</v>
      </c>
      <c r="Z52" s="278">
        <v>0.87472675555055668</v>
      </c>
      <c r="AA52" s="278">
        <v>0.87545453515828919</v>
      </c>
      <c r="AB52" s="279">
        <v>0.87616030869885109</v>
      </c>
      <c r="AC52" s="277">
        <v>0.87684712653688113</v>
      </c>
      <c r="AD52" s="278">
        <v>0.87751808525143304</v>
      </c>
      <c r="AE52" s="278">
        <v>0.87817632548634805</v>
      </c>
      <c r="AF52" s="278">
        <v>0.87882502902018211</v>
      </c>
      <c r="AG52" s="278">
        <v>0.87946741542076246</v>
      </c>
      <c r="AH52" s="278">
        <v>0.88010673852729915</v>
      </c>
      <c r="AI52" s="278">
        <v>0.88074628291931012</v>
      </c>
      <c r="AJ52" s="278">
        <v>0.88138936047421379</v>
      </c>
      <c r="AK52" s="278">
        <v>0.88203930707617328</v>
      </c>
      <c r="AL52" s="279">
        <v>0.88269947951200856</v>
      </c>
      <c r="AM52" s="277">
        <v>0.88277631176914906</v>
      </c>
      <c r="AN52" s="278">
        <v>0.88317446158526181</v>
      </c>
      <c r="AO52" s="278">
        <v>0.88354761209436949</v>
      </c>
      <c r="AP52" s="278">
        <v>0.88389610795063045</v>
      </c>
      <c r="AQ52" s="278">
        <v>0.88422030265321805</v>
      </c>
      <c r="AR52" s="278">
        <v>0.88452055659395878</v>
      </c>
      <c r="AS52" s="278">
        <v>0.88479723534114951</v>
      </c>
      <c r="AT52" s="278">
        <v>0.88505070813392994</v>
      </c>
      <c r="AU52" s="278">
        <v>0.88528134656400437</v>
      </c>
      <c r="AV52" s="279">
        <v>0.88548952342375087</v>
      </c>
      <c r="AW52" s="277">
        <v>0.88567561170195819</v>
      </c>
      <c r="AX52" s="278">
        <v>0.88583998371037576</v>
      </c>
      <c r="AY52" s="278">
        <v>0.8859830103260975</v>
      </c>
      <c r="AZ52" s="278">
        <v>0.88610506033644765</v>
      </c>
      <c r="BA52" s="278">
        <v>0.88620649987450184</v>
      </c>
      <c r="BB52" s="278">
        <v>0.88628769193471957</v>
      </c>
      <c r="BC52" s="278">
        <v>0.88634899595935579</v>
      </c>
      <c r="BD52" s="278">
        <v>0.8863907674873579</v>
      </c>
      <c r="BE52" s="278">
        <v>0.88641335785841435</v>
      </c>
      <c r="BF52" s="279">
        <v>0.88641711396565903</v>
      </c>
      <c r="BG52" s="279">
        <f t="shared" si="0"/>
        <v>0.88641711396565903</v>
      </c>
      <c r="BH52" s="237"/>
    </row>
    <row r="53" spans="1:60" x14ac:dyDescent="0.2">
      <c r="A53" s="348">
        <v>11.5</v>
      </c>
      <c r="B53" s="277">
        <v>0.82199333039765121</v>
      </c>
      <c r="C53" s="278">
        <v>0.83192076159103667</v>
      </c>
      <c r="D53" s="278">
        <v>0.83738662329943425</v>
      </c>
      <c r="E53" s="278">
        <v>0.84071517824145547</v>
      </c>
      <c r="F53" s="278">
        <v>0.84296476486639538</v>
      </c>
      <c r="G53" s="278">
        <v>0.84465791871029727</v>
      </c>
      <c r="H53" s="278">
        <v>0.84606667943194147</v>
      </c>
      <c r="I53" s="278">
        <v>0.84733696029182093</v>
      </c>
      <c r="J53" s="279">
        <v>0.84854744030040052</v>
      </c>
      <c r="K53" s="277">
        <v>0.84973931512500589</v>
      </c>
      <c r="L53" s="278">
        <v>0.85093212498573401</v>
      </c>
      <c r="M53" s="278">
        <v>0.85213253738220973</v>
      </c>
      <c r="N53" s="278">
        <v>0.853339392236796</v>
      </c>
      <c r="O53" s="278">
        <v>0.85454668431496084</v>
      </c>
      <c r="P53" s="278">
        <v>0.85574536871563434</v>
      </c>
      <c r="Q53" s="278">
        <v>0.85692447559386087</v>
      </c>
      <c r="R53" s="278">
        <v>0.85807180958127283</v>
      </c>
      <c r="S53" s="279">
        <v>0.85917693251996641</v>
      </c>
      <c r="T53" s="277">
        <v>0.8602390865956514</v>
      </c>
      <c r="U53" s="278">
        <v>0.86125980272942448</v>
      </c>
      <c r="V53" s="278">
        <v>0.86224048332171788</v>
      </c>
      <c r="W53" s="278">
        <v>0.86318247523052294</v>
      </c>
      <c r="X53" s="278">
        <v>0.86408711541865391</v>
      </c>
      <c r="Y53" s="278">
        <v>0.86495575869825225</v>
      </c>
      <c r="Z53" s="278">
        <v>0.86578979374227882</v>
      </c>
      <c r="AA53" s="278">
        <v>0.86659065143268343</v>
      </c>
      <c r="AB53" s="279">
        <v>0.86735980824590586</v>
      </c>
      <c r="AC53" s="277">
        <v>0.86809878647500816</v>
      </c>
      <c r="AD53" s="278">
        <v>0.8688091524892122</v>
      </c>
      <c r="AE53" s="278">
        <v>0.86949251383140613</v>
      </c>
      <c r="AF53" s="278">
        <v>0.87015051568500379</v>
      </c>
      <c r="AG53" s="278">
        <v>0.87078483705985743</v>
      </c>
      <c r="AH53" s="278">
        <v>0.87139718692387036</v>
      </c>
      <c r="AI53" s="278">
        <v>0.87198930042371459</v>
      </c>
      <c r="AJ53" s="278">
        <v>0.87256293528173356</v>
      </c>
      <c r="AK53" s="278">
        <v>0.87311986841825717</v>
      </c>
      <c r="AL53" s="279">
        <v>0.87366189282328832</v>
      </c>
      <c r="AM53" s="277">
        <v>0.87415690277575941</v>
      </c>
      <c r="AN53" s="278">
        <v>0.87459322085020907</v>
      </c>
      <c r="AO53" s="278">
        <v>0.87500504613615393</v>
      </c>
      <c r="AP53" s="278">
        <v>0.87539274985759774</v>
      </c>
      <c r="AQ53" s="278">
        <v>0.87575670730067301</v>
      </c>
      <c r="AR53" s="278">
        <v>0.87609729645746814</v>
      </c>
      <c r="AS53" s="278">
        <v>0.87641489682874785</v>
      </c>
      <c r="AT53" s="278">
        <v>0.87670988837093156</v>
      </c>
      <c r="AU53" s="278">
        <v>0.87698265057336855</v>
      </c>
      <c r="AV53" s="279">
        <v>0.87723356165281785</v>
      </c>
      <c r="AW53" s="277">
        <v>0.87746299785300275</v>
      </c>
      <c r="AX53" s="278">
        <v>0.87767133283811738</v>
      </c>
      <c r="AY53" s="278">
        <v>0.87785893717013008</v>
      </c>
      <c r="AZ53" s="278">
        <v>0.87802617786070369</v>
      </c>
      <c r="BA53" s="278">
        <v>0.8781734179894185</v>
      </c>
      <c r="BB53" s="278">
        <v>0.87830101638084479</v>
      </c>
      <c r="BC53" s="278">
        <v>0.8784093273337571</v>
      </c>
      <c r="BD53" s="278">
        <v>0.87849870039649813</v>
      </c>
      <c r="BE53" s="278">
        <v>0.87856948018311898</v>
      </c>
      <c r="BF53" s="279">
        <v>0.8786220062255321</v>
      </c>
      <c r="BG53" s="279">
        <f t="shared" si="0"/>
        <v>0.8786220062255321</v>
      </c>
      <c r="BH53" s="237"/>
    </row>
    <row r="54" spans="1:60" x14ac:dyDescent="0.2">
      <c r="A54" s="349">
        <v>12</v>
      </c>
      <c r="B54" s="281">
        <v>0.80996748230567051</v>
      </c>
      <c r="C54" s="282">
        <v>0.81900887075338535</v>
      </c>
      <c r="D54" s="282">
        <v>0.82459323591367983</v>
      </c>
      <c r="E54" s="282">
        <v>0.82837860231348004</v>
      </c>
      <c r="F54" s="282">
        <v>0.83116181255259503</v>
      </c>
      <c r="G54" s="282">
        <v>0.8333611299138447</v>
      </c>
      <c r="H54" s="282">
        <v>0.83521013638954011</v>
      </c>
      <c r="I54" s="282">
        <v>0.83684499124200495</v>
      </c>
      <c r="J54" s="283">
        <v>0.83834721903330423</v>
      </c>
      <c r="K54" s="281">
        <v>0.83976615574283309</v>
      </c>
      <c r="L54" s="282">
        <v>0.84113138405810428</v>
      </c>
      <c r="M54" s="282">
        <v>0.84245994046053096</v>
      </c>
      <c r="N54" s="282">
        <v>0.8437606538431105</v>
      </c>
      <c r="O54" s="282">
        <v>0.84503684344850449</v>
      </c>
      <c r="P54" s="282">
        <v>0.84628804434828608</v>
      </c>
      <c r="Q54" s="282">
        <v>0.84751113846325887</v>
      </c>
      <c r="R54" s="282">
        <v>0.84870111224708944</v>
      </c>
      <c r="S54" s="283">
        <v>0.84985333133681329</v>
      </c>
      <c r="T54" s="281">
        <v>0.85096918853226655</v>
      </c>
      <c r="U54" s="282">
        <v>0.8520511145198808</v>
      </c>
      <c r="V54" s="282">
        <v>0.85310100381303167</v>
      </c>
      <c r="W54" s="282">
        <v>0.85412034402680115</v>
      </c>
      <c r="X54" s="282">
        <v>0.85511031055439479</v>
      </c>
      <c r="Y54" s="282">
        <v>0.85607183665434106</v>
      </c>
      <c r="Z54" s="282">
        <v>0.85700566585574633</v>
      </c>
      <c r="AA54" s="282">
        <v>0.85791239151041487</v>
      </c>
      <c r="AB54" s="283">
        <v>0.85879248690811238</v>
      </c>
      <c r="AC54" s="281">
        <v>0.85964632839865851</v>
      </c>
      <c r="AD54" s="282">
        <v>0.86047421328676965</v>
      </c>
      <c r="AE54" s="282">
        <v>0.8612763737879322</v>
      </c>
      <c r="AF54" s="282">
        <v>0.86205298799347541</v>
      </c>
      <c r="AG54" s="282">
        <v>0.86280418854846996</v>
      </c>
      <c r="AH54" s="282">
        <v>0.86353006956864975</v>
      </c>
      <c r="AI54" s="282">
        <v>0.86423069219274506</v>
      </c>
      <c r="AJ54" s="282">
        <v>0.86490608907085009</v>
      </c>
      <c r="AK54" s="282">
        <v>0.8655562680183172</v>
      </c>
      <c r="AL54" s="283">
        <v>0.86618121501141931</v>
      </c>
      <c r="AM54" s="281">
        <v>0.86609200979142786</v>
      </c>
      <c r="AN54" s="282">
        <v>0.86654788133134486</v>
      </c>
      <c r="AO54" s="282">
        <v>0.86697964198122135</v>
      </c>
      <c r="AP54" s="282">
        <v>0.86738779588501169</v>
      </c>
      <c r="AQ54" s="282">
        <v>0.86777283684701934</v>
      </c>
      <c r="AR54" s="282">
        <v>0.8681352484101591</v>
      </c>
      <c r="AS54" s="282">
        <v>0.8684755039380585</v>
      </c>
      <c r="AT54" s="282">
        <v>0.86879406670478698</v>
      </c>
      <c r="AU54" s="282">
        <v>0.86909138999433588</v>
      </c>
      <c r="AV54" s="283">
        <v>0.86936791721074025</v>
      </c>
      <c r="AW54" s="281">
        <v>0.86962408199897279</v>
      </c>
      <c r="AX54" s="282">
        <v>0.86986030837616535</v>
      </c>
      <c r="AY54" s="282">
        <v>0.8700770108723862</v>
      </c>
      <c r="AZ54" s="282">
        <v>0.87027459468001189</v>
      </c>
      <c r="BA54" s="282">
        <v>0.87045345581060918</v>
      </c>
      <c r="BB54" s="282">
        <v>0.87061398125822265</v>
      </c>
      <c r="BC54" s="282">
        <v>0.87075654916797318</v>
      </c>
      <c r="BD54" s="282">
        <v>0.87088152900891513</v>
      </c>
      <c r="BE54" s="282">
        <v>0.87098928175016077</v>
      </c>
      <c r="BF54" s="283">
        <v>0.8710801600393645</v>
      </c>
      <c r="BG54" s="283">
        <f t="shared" si="0"/>
        <v>0.8710801600393645</v>
      </c>
      <c r="BH54" s="237"/>
    </row>
    <row r="55" spans="1:60" x14ac:dyDescent="0.2">
      <c r="A55" s="348">
        <v>12.5</v>
      </c>
      <c r="B55" s="284">
        <v>0.79796994522541065</v>
      </c>
      <c r="C55" s="285">
        <v>0.80784997848897677</v>
      </c>
      <c r="D55" s="285">
        <v>0.81370702895008096</v>
      </c>
      <c r="E55" s="285">
        <v>0.81757469080271961</v>
      </c>
      <c r="F55" s="285">
        <v>0.82038859766690841</v>
      </c>
      <c r="G55" s="285">
        <v>0.82261831856274581</v>
      </c>
      <c r="H55" s="285">
        <v>0.82451438961618517</v>
      </c>
      <c r="I55" s="285">
        <v>0.82621625571134505</v>
      </c>
      <c r="J55" s="286">
        <v>0.8278035835385924</v>
      </c>
      <c r="K55" s="284">
        <v>0.82932232066528</v>
      </c>
      <c r="L55" s="285">
        <v>0.83079865148295251</v>
      </c>
      <c r="M55" s="285">
        <v>0.83224680393365114</v>
      </c>
      <c r="N55" s="285">
        <v>0.83367357756655358</v>
      </c>
      <c r="O55" s="285">
        <v>0.83508105124091669</v>
      </c>
      <c r="P55" s="285">
        <v>0.83646824481001203</v>
      </c>
      <c r="Q55" s="285">
        <v>0.83783216177086106</v>
      </c>
      <c r="R55" s="285">
        <v>0.83916845613495838</v>
      </c>
      <c r="S55" s="286">
        <v>0.84047280783965717</v>
      </c>
      <c r="T55" s="284">
        <v>0.84174404456881646</v>
      </c>
      <c r="U55" s="285">
        <v>0.84298152474607335</v>
      </c>
      <c r="V55" s="285">
        <v>0.8441843250355523</v>
      </c>
      <c r="W55" s="285">
        <v>0.84535132598738139</v>
      </c>
      <c r="X55" s="285">
        <v>0.84648127039113907</v>
      </c>
      <c r="Y55" s="285">
        <v>0.84757280322203488</v>
      </c>
      <c r="Z55" s="285">
        <v>0.84862449907752269</v>
      </c>
      <c r="AA55" s="285">
        <v>0.84963488106044505</v>
      </c>
      <c r="AB55" s="286">
        <v>0.85060243378679956</v>
      </c>
      <c r="AC55" s="284">
        <v>0.85152561234540958</v>
      </c>
      <c r="AD55" s="285">
        <v>0.85240284846458103</v>
      </c>
      <c r="AE55" s="285">
        <v>0.85323255475248738</v>
      </c>
      <c r="AF55" s="285">
        <v>0.85401312761238535</v>
      </c>
      <c r="AG55" s="285">
        <v>0.85474294925072891</v>
      </c>
      <c r="AH55" s="285">
        <v>0.8554203890693709</v>
      </c>
      <c r="AI55" s="285">
        <v>0.856043804644678</v>
      </c>
      <c r="AJ55" s="285">
        <v>0.85661154243454518</v>
      </c>
      <c r="AK55" s="285">
        <v>0.8571219383109111</v>
      </c>
      <c r="AL55" s="286">
        <v>0.8575733179848738</v>
      </c>
      <c r="AM55" s="287">
        <v>0.85810849778016252</v>
      </c>
      <c r="AN55" s="288">
        <v>0.85859445176137139</v>
      </c>
      <c r="AO55" s="288">
        <v>0.85905331446490718</v>
      </c>
      <c r="AP55" s="288">
        <v>0.85948565186595105</v>
      </c>
      <c r="AQ55" s="288">
        <v>0.85989201920708191</v>
      </c>
      <c r="AR55" s="288">
        <v>0.86027296093135519</v>
      </c>
      <c r="AS55" s="288">
        <v>0.86062901064527819</v>
      </c>
      <c r="AT55" s="288">
        <v>0.86096069111150531</v>
      </c>
      <c r="AU55" s="288">
        <v>0.86126851426999451</v>
      </c>
      <c r="AV55" s="289">
        <v>0.86155298128567737</v>
      </c>
      <c r="AW55" s="287">
        <v>0.86181458262035038</v>
      </c>
      <c r="AX55" s="288">
        <v>0.86205379812629224</v>
      </c>
      <c r="AY55" s="288">
        <v>0.86227109715910377</v>
      </c>
      <c r="AZ55" s="288">
        <v>0.86246693870730917</v>
      </c>
      <c r="BA55" s="288">
        <v>0.86264177153638466</v>
      </c>
      <c r="BB55" s="288">
        <v>0.8627960343450245</v>
      </c>
      <c r="BC55" s="288">
        <v>0.86293015593163103</v>
      </c>
      <c r="BD55" s="288">
        <v>0.86304455536919245</v>
      </c>
      <c r="BE55" s="288">
        <v>0.86313964218687922</v>
      </c>
      <c r="BF55" s="289">
        <v>0.86321581655688484</v>
      </c>
      <c r="BG55" s="289">
        <f t="shared" si="0"/>
        <v>0.86321581655688484</v>
      </c>
      <c r="BH55" s="237"/>
    </row>
    <row r="56" spans="1:60" x14ac:dyDescent="0.2">
      <c r="A56" s="348">
        <v>13</v>
      </c>
      <c r="B56" s="277">
        <v>0.78586144201008934</v>
      </c>
      <c r="C56" s="278">
        <v>0.79614449334694326</v>
      </c>
      <c r="D56" s="278">
        <v>0.80222089611131964</v>
      </c>
      <c r="E56" s="278">
        <v>0.80625859811911782</v>
      </c>
      <c r="F56" s="278">
        <v>0.8092351889320889</v>
      </c>
      <c r="G56" s="278">
        <v>0.81163120714490633</v>
      </c>
      <c r="H56" s="278">
        <v>0.81369774951762364</v>
      </c>
      <c r="I56" s="278">
        <v>0.81557178368644978</v>
      </c>
      <c r="J56" s="279">
        <v>0.81733015097151074</v>
      </c>
      <c r="K56" s="277">
        <v>0.81901655609683477</v>
      </c>
      <c r="L56" s="278">
        <v>0.82065577544624102</v>
      </c>
      <c r="M56" s="278">
        <v>0.82226145880203205</v>
      </c>
      <c r="N56" s="278">
        <v>0.82384056394029048</v>
      </c>
      <c r="O56" s="278">
        <v>0.82539595016231859</v>
      </c>
      <c r="P56" s="278">
        <v>0.82692793114946939</v>
      </c>
      <c r="Q56" s="278">
        <v>0.82843522278702819</v>
      </c>
      <c r="R56" s="278">
        <v>0.82991553074527424</v>
      </c>
      <c r="S56" s="279">
        <v>0.83136606432104376</v>
      </c>
      <c r="T56" s="277">
        <v>0.83278420710717149</v>
      </c>
      <c r="U56" s="278">
        <v>0.83416723325879261</v>
      </c>
      <c r="V56" s="278">
        <v>0.83551225728382816</v>
      </c>
      <c r="W56" s="278">
        <v>0.83681629414379166</v>
      </c>
      <c r="X56" s="278">
        <v>0.83807629727517163</v>
      </c>
      <c r="Y56" s="278">
        <v>0.83928918236724848</v>
      </c>
      <c r="Z56" s="278">
        <v>0.84045184195291855</v>
      </c>
      <c r="AA56" s="278">
        <v>0.84156115409816146</v>
      </c>
      <c r="AB56" s="279">
        <v>0.8426139873351689</v>
      </c>
      <c r="AC56" s="277">
        <v>0.84360720324280858</v>
      </c>
      <c r="AD56" s="278">
        <v>0.84453765759265464</v>
      </c>
      <c r="AE56" s="278">
        <v>0.84540220065906724</v>
      </c>
      <c r="AF56" s="278">
        <v>0.84619767708028992</v>
      </c>
      <c r="AG56" s="278">
        <v>0.84692092551737486</v>
      </c>
      <c r="AH56" s="278">
        <v>0.84756877826476618</v>
      </c>
      <c r="AI56" s="278">
        <v>0.84813806090494748</v>
      </c>
      <c r="AJ56" s="278">
        <v>0.84862559205913846</v>
      </c>
      <c r="AK56" s="278">
        <v>0.84902818325973317</v>
      </c>
      <c r="AL56" s="279">
        <v>0.84934263895338413</v>
      </c>
      <c r="AM56" s="277">
        <v>0.85029753056440949</v>
      </c>
      <c r="AN56" s="278">
        <v>0.85080232985416471</v>
      </c>
      <c r="AO56" s="278">
        <v>0.85127734499226482</v>
      </c>
      <c r="AP56" s="278">
        <v>0.85172325016198003</v>
      </c>
      <c r="AQ56" s="278">
        <v>0.85214070332802216</v>
      </c>
      <c r="AR56" s="278">
        <v>0.85253034652749149</v>
      </c>
      <c r="AS56" s="278">
        <v>0.85289280616309016</v>
      </c>
      <c r="AT56" s="278">
        <v>0.85322869330072837</v>
      </c>
      <c r="AU56" s="278">
        <v>0.85353860397237635</v>
      </c>
      <c r="AV56" s="279">
        <v>0.85382311948417688</v>
      </c>
      <c r="AW56" s="277">
        <v>0.85408280672929737</v>
      </c>
      <c r="AX56" s="278">
        <v>0.85431821850467915</v>
      </c>
      <c r="AY56" s="278">
        <v>0.85452989383066114</v>
      </c>
      <c r="AZ56" s="278">
        <v>0.85471835827238996</v>
      </c>
      <c r="BA56" s="278">
        <v>0.85488412426191585</v>
      </c>
      <c r="BB56" s="278">
        <v>0.8550276914199243</v>
      </c>
      <c r="BC56" s="278">
        <v>0.85514954687611422</v>
      </c>
      <c r="BD56" s="278">
        <v>0.85525016558732414</v>
      </c>
      <c r="BE56" s="278">
        <v>0.85533001065260161</v>
      </c>
      <c r="BF56" s="279">
        <v>0.85538953362450798</v>
      </c>
      <c r="BG56" s="279">
        <f t="shared" si="0"/>
        <v>0.85538953362450798</v>
      </c>
      <c r="BH56" s="237"/>
    </row>
    <row r="57" spans="1:60" x14ac:dyDescent="0.2">
      <c r="A57" s="348">
        <v>13.5</v>
      </c>
      <c r="B57" s="277">
        <v>0.77380222042510838</v>
      </c>
      <c r="C57" s="278">
        <v>0.78431628043467816</v>
      </c>
      <c r="D57" s="278">
        <v>0.79087750268853707</v>
      </c>
      <c r="E57" s="278">
        <v>0.79541565598787478</v>
      </c>
      <c r="F57" s="278">
        <v>0.79883108278261794</v>
      </c>
      <c r="G57" s="278">
        <v>0.80158437880126465</v>
      </c>
      <c r="H57" s="278">
        <v>0.80392788582088637</v>
      </c>
      <c r="I57" s="278">
        <v>0.80600736548620111</v>
      </c>
      <c r="J57" s="279">
        <v>0.80791062578195694</v>
      </c>
      <c r="K57" s="277">
        <v>0.80969238803170529</v>
      </c>
      <c r="L57" s="278">
        <v>0.81138771030979295</v>
      </c>
      <c r="M57" s="278">
        <v>0.81301956395760722</v>
      </c>
      <c r="N57" s="278">
        <v>0.81460327289592993</v>
      </c>
      <c r="O57" s="278">
        <v>0.81614919879404768</v>
      </c>
      <c r="P57" s="278">
        <v>0.81766441029473358</v>
      </c>
      <c r="Q57" s="278">
        <v>0.81915374569570631</v>
      </c>
      <c r="R57" s="278">
        <v>0.82062050380537843</v>
      </c>
      <c r="S57" s="279">
        <v>0.82206631876650094</v>
      </c>
      <c r="T57" s="277">
        <v>0.82348971258946224</v>
      </c>
      <c r="U57" s="278">
        <v>0.82488804214042999</v>
      </c>
      <c r="V57" s="278">
        <v>0.82625822817085948</v>
      </c>
      <c r="W57" s="278">
        <v>0.82759685994382393</v>
      </c>
      <c r="X57" s="278">
        <v>0.82890027009042566</v>
      </c>
      <c r="Y57" s="278">
        <v>0.83016458890137457</v>
      </c>
      <c r="Z57" s="278">
        <v>0.83138578424828602</v>
      </c>
      <c r="AA57" s="278">
        <v>0.83255969135492047</v>
      </c>
      <c r="AB57" s="279">
        <v>0.83368203532604523</v>
      </c>
      <c r="AC57" s="277">
        <v>0.83474844845812246</v>
      </c>
      <c r="AD57" s="278">
        <v>0.83575448375452566</v>
      </c>
      <c r="AE57" s="278">
        <v>0.8366956256541136</v>
      </c>
      <c r="AF57" s="278">
        <v>0.83756729869445579</v>
      </c>
      <c r="AG57" s="278">
        <v>0.8383648746294623</v>
      </c>
      <c r="AH57" s="278">
        <v>0.83908367837866493</v>
      </c>
      <c r="AI57" s="278">
        <v>0.83971899308395359</v>
      </c>
      <c r="AJ57" s="278">
        <v>0.84026606447671748</v>
      </c>
      <c r="AK57" s="278">
        <v>0.84072010470579361</v>
      </c>
      <c r="AL57" s="279">
        <v>0.84107629573836729</v>
      </c>
      <c r="AM57" s="277">
        <v>0.84173651324846721</v>
      </c>
      <c r="AN57" s="278">
        <v>0.84227402539259177</v>
      </c>
      <c r="AO57" s="278">
        <v>0.84278344889551404</v>
      </c>
      <c r="AP57" s="278">
        <v>0.84326547172721178</v>
      </c>
      <c r="AQ57" s="278">
        <v>0.8437207599717893</v>
      </c>
      <c r="AR57" s="278">
        <v>0.84414995884941035</v>
      </c>
      <c r="AS57" s="278">
        <v>0.84455369364809108</v>
      </c>
      <c r="AT57" s="278">
        <v>0.84493257058005566</v>
      </c>
      <c r="AU57" s="278">
        <v>0.84528717757424043</v>
      </c>
      <c r="AV57" s="279">
        <v>0.84561808501409808</v>
      </c>
      <c r="AW57" s="277">
        <v>0.84592584642802326</v>
      </c>
      <c r="AX57" s="278">
        <v>0.84621099913826214</v>
      </c>
      <c r="AY57" s="278">
        <v>0.84647406487306953</v>
      </c>
      <c r="AZ57" s="278">
        <v>0.84671555034599466</v>
      </c>
      <c r="BA57" s="278">
        <v>0.84693594780550252</v>
      </c>
      <c r="BB57" s="278">
        <v>0.84713573555759503</v>
      </c>
      <c r="BC57" s="278">
        <v>0.84731537846368288</v>
      </c>
      <c r="BD57" s="278">
        <v>0.84747532841560291</v>
      </c>
      <c r="BE57" s="278">
        <v>0.84761602478943321</v>
      </c>
      <c r="BF57" s="279">
        <v>0.84773789487951579</v>
      </c>
      <c r="BG57" s="279">
        <f t="shared" si="0"/>
        <v>0.84773789487951579</v>
      </c>
      <c r="BH57" s="237"/>
    </row>
    <row r="58" spans="1:60" x14ac:dyDescent="0.2">
      <c r="A58" s="348">
        <v>14</v>
      </c>
      <c r="B58" s="277">
        <v>0.76184188621768767</v>
      </c>
      <c r="C58" s="278">
        <v>0.77219801154734746</v>
      </c>
      <c r="D58" s="278">
        <v>0.77902375713967587</v>
      </c>
      <c r="E58" s="278">
        <v>0.78395351766554033</v>
      </c>
      <c r="F58" s="278">
        <v>0.78777231515905599</v>
      </c>
      <c r="G58" s="278">
        <v>0.7908955995192819</v>
      </c>
      <c r="H58" s="278">
        <v>0.79356005897378734</v>
      </c>
      <c r="I58" s="278">
        <v>0.79590871624318038</v>
      </c>
      <c r="J58" s="279">
        <v>0.79803232912652933</v>
      </c>
      <c r="K58" s="277">
        <v>0.7999909632802058</v>
      </c>
      <c r="L58" s="278">
        <v>0.80182587707045361</v>
      </c>
      <c r="M58" s="278">
        <v>0.80356637902917438</v>
      </c>
      <c r="N58" s="278">
        <v>0.80523394236795853</v>
      </c>
      <c r="O58" s="278">
        <v>0.80684475810212364</v>
      </c>
      <c r="P58" s="278">
        <v>0.80841136639393874</v>
      </c>
      <c r="Q58" s="278">
        <v>0.80994372619984611</v>
      </c>
      <c r="R58" s="278">
        <v>0.81144993297894974</v>
      </c>
      <c r="S58" s="279">
        <v>0.81293551655655782</v>
      </c>
      <c r="T58" s="277">
        <v>0.81440018713867368</v>
      </c>
      <c r="U58" s="278">
        <v>0.81584163528071951</v>
      </c>
      <c r="V58" s="278">
        <v>0.81725690237258986</v>
      </c>
      <c r="W58" s="278">
        <v>0.81864251397767585</v>
      </c>
      <c r="X58" s="278">
        <v>0.81999457963270839</v>
      </c>
      <c r="Y58" s="278">
        <v>0.82130886865043184</v>
      </c>
      <c r="Z58" s="278">
        <v>0.82258086851558765</v>
      </c>
      <c r="AA58" s="278">
        <v>0.82380583049014888</v>
      </c>
      <c r="AB58" s="279">
        <v>0.82497880570324678</v>
      </c>
      <c r="AC58" s="277">
        <v>0.82609467407857218</v>
      </c>
      <c r="AD58" s="278">
        <v>0.82714816780886868</v>
      </c>
      <c r="AE58" s="278">
        <v>0.8281338906334017</v>
      </c>
      <c r="AF58" s="278">
        <v>0.82904633385058346</v>
      </c>
      <c r="AG58" s="278">
        <v>0.82987988976457128</v>
      </c>
      <c r="AH58" s="278">
        <v>0.83062886309468931</v>
      </c>
      <c r="AI58" s="278">
        <v>0.83128748075161674</v>
      </c>
      <c r="AJ58" s="278">
        <v>0.83184990029157901</v>
      </c>
      <c r="AK58" s="278">
        <v>0.83231021729046673</v>
      </c>
      <c r="AL58" s="279">
        <v>0.83266247182745778</v>
      </c>
      <c r="AM58" s="277">
        <v>0.83324446852434064</v>
      </c>
      <c r="AN58" s="278">
        <v>0.83380662217391166</v>
      </c>
      <c r="AO58" s="278">
        <v>0.83434219092960948</v>
      </c>
      <c r="AP58" s="278">
        <v>0.83485193467326535</v>
      </c>
      <c r="AQ58" s="278">
        <v>0.83533658065649052</v>
      </c>
      <c r="AR58" s="278">
        <v>0.83579682570016522</v>
      </c>
      <c r="AS58" s="278">
        <v>0.83623333816879108</v>
      </c>
      <c r="AT58" s="278">
        <v>0.83664675975130565</v>
      </c>
      <c r="AU58" s="278">
        <v>0.83703770707453096</v>
      </c>
      <c r="AV58" s="279">
        <v>0.83740677317103784</v>
      </c>
      <c r="AW58" s="277">
        <v>0.8377545288196887</v>
      </c>
      <c r="AX58" s="278">
        <v>0.83808152377422995</v>
      </c>
      <c r="AY58" s="278">
        <v>0.83838828789296671</v>
      </c>
      <c r="AZ58" s="278">
        <v>0.8386753321806214</v>
      </c>
      <c r="BA58" s="278">
        <v>0.83894314975187401</v>
      </c>
      <c r="BB58" s="278">
        <v>0.83919221672475997</v>
      </c>
      <c r="BC58" s="278">
        <v>0.83942299305101364</v>
      </c>
      <c r="BD58" s="278">
        <v>0.83963592328948411</v>
      </c>
      <c r="BE58" s="278">
        <v>0.83983143732801047</v>
      </c>
      <c r="BF58" s="279">
        <v>0.84000995105844933</v>
      </c>
      <c r="BG58" s="279">
        <f t="shared" si="0"/>
        <v>0.84000995105844933</v>
      </c>
      <c r="BH58" s="237"/>
    </row>
    <row r="59" spans="1:60" x14ac:dyDescent="0.2">
      <c r="A59" s="349">
        <v>14.5</v>
      </c>
      <c r="B59" s="290">
        <v>0.75172436957606081</v>
      </c>
      <c r="C59" s="291">
        <v>0.76194997128366249</v>
      </c>
      <c r="D59" s="291">
        <v>0.76850148579618194</v>
      </c>
      <c r="E59" s="291">
        <v>0.7731952310009691</v>
      </c>
      <c r="F59" s="291">
        <v>0.77685944703277288</v>
      </c>
      <c r="G59" s="291">
        <v>0.77990942219729242</v>
      </c>
      <c r="H59" s="291">
        <v>0.78256908652029367</v>
      </c>
      <c r="I59" s="291">
        <v>0.78496656132886555</v>
      </c>
      <c r="J59" s="292">
        <v>0.78717902420538155</v>
      </c>
      <c r="K59" s="290">
        <v>0.78925522997269071</v>
      </c>
      <c r="L59" s="291">
        <v>0.79122743906126558</v>
      </c>
      <c r="M59" s="291">
        <v>0.79311801960910921</v>
      </c>
      <c r="N59" s="291">
        <v>0.79494323783329335</v>
      </c>
      <c r="O59" s="291">
        <v>0.79671550227028454</v>
      </c>
      <c r="P59" s="291">
        <v>0.79844472785583609</v>
      </c>
      <c r="Q59" s="291">
        <v>0.80013918386588534</v>
      </c>
      <c r="R59" s="291">
        <v>0.80180603133104478</v>
      </c>
      <c r="S59" s="292">
        <v>0.80345002775005092</v>
      </c>
      <c r="T59" s="290">
        <v>0.80506880407556436</v>
      </c>
      <c r="U59" s="291">
        <v>0.80665790075521782</v>
      </c>
      <c r="V59" s="291">
        <v>0.80821251174907871</v>
      </c>
      <c r="W59" s="291">
        <v>0.80972756046212369</v>
      </c>
      <c r="X59" s="291">
        <v>0.81119775366902258</v>
      </c>
      <c r="Y59" s="291">
        <v>0.8126176205831358</v>
      </c>
      <c r="Z59" s="291">
        <v>0.81398154178093707</v>
      </c>
      <c r="AA59" s="291">
        <v>0.81528377112052597</v>
      </c>
      <c r="AB59" s="292">
        <v>0.81651845276672097</v>
      </c>
      <c r="AC59" s="290">
        <v>0.81767963475787842</v>
      </c>
      <c r="AD59" s="291">
        <v>0.81876128009775229</v>
      </c>
      <c r="AE59" s="291">
        <v>0.81975727605154425</v>
      </c>
      <c r="AF59" s="291">
        <v>0.82066144211870096</v>
      </c>
      <c r="AG59" s="291">
        <v>0.82146753701369379</v>
      </c>
      <c r="AH59" s="291">
        <v>0.82216926488859987</v>
      </c>
      <c r="AI59" s="291">
        <v>0.82276028096379494</v>
      </c>
      <c r="AJ59" s="291">
        <v>0.82323419668595277</v>
      </c>
      <c r="AK59" s="291">
        <v>0.82358458449956407</v>
      </c>
      <c r="AL59" s="292">
        <v>0.82380498229493071</v>
      </c>
      <c r="AM59" s="281">
        <v>0.82582387823420111</v>
      </c>
      <c r="AN59" s="282">
        <v>0.82639848901507051</v>
      </c>
      <c r="AO59" s="282">
        <v>0.82694162445234587</v>
      </c>
      <c r="AP59" s="282">
        <v>0.82745416948514727</v>
      </c>
      <c r="AQ59" s="282">
        <v>0.8279369743951478</v>
      </c>
      <c r="AR59" s="282">
        <v>0.82839085680477464</v>
      </c>
      <c r="AS59" s="282">
        <v>0.82881660350055386</v>
      </c>
      <c r="AT59" s="282">
        <v>0.8292149721041473</v>
      </c>
      <c r="AU59" s="282">
        <v>0.82958669260983109</v>
      </c>
      <c r="AV59" s="283">
        <v>0.82993246880404714</v>
      </c>
      <c r="AW59" s="281">
        <v>0.83025297958024591</v>
      </c>
      <c r="AX59" s="282">
        <v>0.83054888016019923</v>
      </c>
      <c r="AY59" s="282">
        <v>0.83082080323135188</v>
      </c>
      <c r="AZ59" s="282">
        <v>0.83106936000843756</v>
      </c>
      <c r="BA59" s="282">
        <v>0.83129514122647075</v>
      </c>
      <c r="BB59" s="282">
        <v>0.83149871807132469</v>
      </c>
      <c r="BC59" s="282">
        <v>0.83168064305331568</v>
      </c>
      <c r="BD59" s="282">
        <v>0.83184145082857519</v>
      </c>
      <c r="BE59" s="282">
        <v>0.8319816589724558</v>
      </c>
      <c r="BF59" s="283">
        <v>0.83210176870872121</v>
      </c>
      <c r="BG59" s="283">
        <f t="shared" si="0"/>
        <v>0.83210176870872121</v>
      </c>
      <c r="BH59" s="237"/>
    </row>
    <row r="60" spans="1:60" x14ac:dyDescent="0.2">
      <c r="A60" s="348">
        <v>15</v>
      </c>
      <c r="B60" s="287">
        <v>0.74014464367741073</v>
      </c>
      <c r="C60" s="288">
        <v>0.75109072950703593</v>
      </c>
      <c r="D60" s="288">
        <v>0.75826333943721591</v>
      </c>
      <c r="E60" s="288">
        <v>0.76346238130578092</v>
      </c>
      <c r="F60" s="288">
        <v>0.76752831063254068</v>
      </c>
      <c r="G60" s="288">
        <v>0.77089369395039709</v>
      </c>
      <c r="H60" s="288">
        <v>0.77379860448204996</v>
      </c>
      <c r="I60" s="288">
        <v>0.77638482554477106</v>
      </c>
      <c r="J60" s="289">
        <v>0.77874075213784977</v>
      </c>
      <c r="K60" s="287">
        <v>0.78092429351711423</v>
      </c>
      <c r="L60" s="288">
        <v>0.78297521340312237</v>
      </c>
      <c r="M60" s="288">
        <v>0.78492208748307668</v>
      </c>
      <c r="N60" s="288">
        <v>0.78678637869070012</v>
      </c>
      <c r="O60" s="288">
        <v>0.7885849033605653</v>
      </c>
      <c r="P60" s="288">
        <v>0.79033136633920775</v>
      </c>
      <c r="Q60" s="288">
        <v>0.79203734047166663</v>
      </c>
      <c r="R60" s="288">
        <v>0.79371290541590778</v>
      </c>
      <c r="S60" s="289">
        <v>0.79536518570676629</v>
      </c>
      <c r="T60" s="287">
        <v>0.79699294911775864</v>
      </c>
      <c r="U60" s="288">
        <v>0.79859241920668977</v>
      </c>
      <c r="V60" s="288">
        <v>0.80015930234437571</v>
      </c>
      <c r="W60" s="288">
        <v>0.8016888945688937</v>
      </c>
      <c r="X60" s="288">
        <v>0.80317616016990112</v>
      </c>
      <c r="Y60" s="288">
        <v>0.80461579053668542</v>
      </c>
      <c r="Z60" s="288">
        <v>0.80600224903347528</v>
      </c>
      <c r="AA60" s="288">
        <v>0.80732980584733305</v>
      </c>
      <c r="AB60" s="289">
        <v>0.80859256554348258</v>
      </c>
      <c r="AC60" s="287">
        <v>0.8097844892464775</v>
      </c>
      <c r="AD60" s="288">
        <v>0.81089941280815758</v>
      </c>
      <c r="AE60" s="288">
        <v>0.8119310619383584</v>
      </c>
      <c r="AF60" s="288">
        <v>0.81287306500565226</v>
      </c>
      <c r="AG60" s="288">
        <v>0.81371896402595378</v>
      </c>
      <c r="AH60" s="288">
        <v>0.81446222422197101</v>
      </c>
      <c r="AI60" s="288">
        <v>0.81509624243963574</v>
      </c>
      <c r="AJ60" s="288">
        <v>0.81561435463745047</v>
      </c>
      <c r="AK60" s="288">
        <v>0.81600984261340648</v>
      </c>
      <c r="AL60" s="289">
        <v>0.81627594009631765</v>
      </c>
      <c r="AM60" s="287">
        <v>0.81729865058549633</v>
      </c>
      <c r="AN60" s="288">
        <v>0.81790102087425531</v>
      </c>
      <c r="AO60" s="288">
        <v>0.81847334820820339</v>
      </c>
      <c r="AP60" s="288">
        <v>0.81901650812630433</v>
      </c>
      <c r="AQ60" s="288">
        <v>0.819531338644092</v>
      </c>
      <c r="AR60" s="288">
        <v>0.82001864270979663</v>
      </c>
      <c r="AS60" s="288">
        <v>0.82047919042109019</v>
      </c>
      <c r="AT60" s="288">
        <v>0.82091372103455551</v>
      </c>
      <c r="AU60" s="288">
        <v>0.82132294479462942</v>
      </c>
      <c r="AV60" s="289">
        <v>0.82170754460442486</v>
      </c>
      <c r="AW60" s="287">
        <v>0.82206817755735806</v>
      </c>
      <c r="AX60" s="288">
        <v>0.82240547634557937</v>
      </c>
      <c r="AY60" s="288">
        <v>0.82272005055891551</v>
      </c>
      <c r="AZ60" s="288">
        <v>0.82301248788602144</v>
      </c>
      <c r="BA60" s="288">
        <v>0.82328335522786289</v>
      </c>
      <c r="BB60" s="288">
        <v>0.82353319973228301</v>
      </c>
      <c r="BC60" s="288">
        <v>0.82376254975727892</v>
      </c>
      <c r="BD60" s="288">
        <v>0.82397191576964957</v>
      </c>
      <c r="BE60" s="288">
        <v>0.82416179118487687</v>
      </c>
      <c r="BF60" s="289">
        <v>0.82433265315341686</v>
      </c>
      <c r="BG60" s="289">
        <f t="shared" si="0"/>
        <v>0.82433265315341686</v>
      </c>
      <c r="BH60" s="237"/>
    </row>
    <row r="61" spans="1:60" x14ac:dyDescent="0.2">
      <c r="A61" s="348">
        <v>15.5</v>
      </c>
      <c r="B61" s="277">
        <v>0.7282497554126528</v>
      </c>
      <c r="C61" s="278">
        <v>0.73937652012834865</v>
      </c>
      <c r="D61" s="278">
        <v>0.7467958386463357</v>
      </c>
      <c r="E61" s="278">
        <v>0.75225196005148609</v>
      </c>
      <c r="F61" s="278">
        <v>0.75656521927021447</v>
      </c>
      <c r="G61" s="278">
        <v>0.76016131179667801</v>
      </c>
      <c r="H61" s="278">
        <v>0.76327870540992704</v>
      </c>
      <c r="I61" s="278">
        <v>0.76605970637662457</v>
      </c>
      <c r="J61" s="279">
        <v>0.76859405202677167</v>
      </c>
      <c r="K61" s="277">
        <v>0.77094124966886557</v>
      </c>
      <c r="L61" s="278">
        <v>0.77314267430307893</v>
      </c>
      <c r="M61" s="278">
        <v>0.77522842708581241</v>
      </c>
      <c r="N61" s="278">
        <v>0.77722137670741587</v>
      </c>
      <c r="O61" s="278">
        <v>0.77913962096883693</v>
      </c>
      <c r="P61" s="278">
        <v>0.780998029880828</v>
      </c>
      <c r="Q61" s="278">
        <v>0.78280923779631084</v>
      </c>
      <c r="R61" s="278">
        <v>0.78458429584016631</v>
      </c>
      <c r="S61" s="279">
        <v>0.7863312124294406</v>
      </c>
      <c r="T61" s="277">
        <v>0.78804952931309524</v>
      </c>
      <c r="U61" s="278">
        <v>0.78973617154589126</v>
      </c>
      <c r="V61" s="278">
        <v>0.79138749342332604</v>
      </c>
      <c r="W61" s="278">
        <v>0.79299939299873201</v>
      </c>
      <c r="X61" s="278">
        <v>0.79456739711066049</v>
      </c>
      <c r="Y61" s="278">
        <v>0.79608672563571015</v>
      </c>
      <c r="Z61" s="278">
        <v>0.79755234089399774</v>
      </c>
      <c r="AA61" s="278">
        <v>0.79895898629483908</v>
      </c>
      <c r="AB61" s="279">
        <v>0.80030121707851787</v>
      </c>
      <c r="AC61" s="277">
        <v>0.801573425174266</v>
      </c>
      <c r="AD61" s="278">
        <v>0.80276985962023883</v>
      </c>
      <c r="AE61" s="278">
        <v>0.80388464359194978</v>
      </c>
      <c r="AF61" s="278">
        <v>0.80491178880489855</v>
      </c>
      <c r="AG61" s="278">
        <v>0.80584520785766522</v>
      </c>
      <c r="AH61" s="278">
        <v>0.80667872493861492</v>
      </c>
      <c r="AI61" s="278">
        <v>0.80740608521567003</v>
      </c>
      <c r="AJ61" s="278">
        <v>0.80802096315279626</v>
      </c>
      <c r="AK61" s="278">
        <v>0.8085169699409106</v>
      </c>
      <c r="AL61" s="279">
        <v>0.80888766018930869</v>
      </c>
      <c r="AM61" s="277">
        <v>0.80968055453582544</v>
      </c>
      <c r="AN61" s="278">
        <v>0.81030786413468148</v>
      </c>
      <c r="AO61" s="278">
        <v>0.81090106583481503</v>
      </c>
      <c r="AP61" s="278">
        <v>0.81146112840046147</v>
      </c>
      <c r="AQ61" s="278">
        <v>0.81198898187588109</v>
      </c>
      <c r="AR61" s="278">
        <v>0.81248551989510265</v>
      </c>
      <c r="AS61" s="278">
        <v>0.81295160178323222</v>
      </c>
      <c r="AT61" s="278">
        <v>0.81338805447643869</v>
      </c>
      <c r="AU61" s="278">
        <v>0.81379567428319022</v>
      </c>
      <c r="AV61" s="279">
        <v>0.81417522850561486</v>
      </c>
      <c r="AW61" s="277">
        <v>0.81452745693694606</v>
      </c>
      <c r="AX61" s="278">
        <v>0.81485307324856171</v>
      </c>
      <c r="AY61" s="278">
        <v>0.81515276627819344</v>
      </c>
      <c r="AZ61" s="278">
        <v>0.81542720122923995</v>
      </c>
      <c r="BA61" s="278">
        <v>0.81567702078977744</v>
      </c>
      <c r="BB61" s="278">
        <v>0.81590284617875519</v>
      </c>
      <c r="BC61" s="278">
        <v>0.81610527812590772</v>
      </c>
      <c r="BD61" s="278">
        <v>0.81628489779113955</v>
      </c>
      <c r="BE61" s="278">
        <v>0.81644226762845462</v>
      </c>
      <c r="BF61" s="279">
        <v>0.81657793219894914</v>
      </c>
      <c r="BG61" s="279">
        <f t="shared" si="0"/>
        <v>0.81657793219894914</v>
      </c>
      <c r="BH61" s="237"/>
    </row>
    <row r="62" spans="1:60" x14ac:dyDescent="0.2">
      <c r="A62" s="348">
        <v>16</v>
      </c>
      <c r="B62" s="277">
        <v>0.71845985181658123</v>
      </c>
      <c r="C62" s="278">
        <v>0.72880547377079863</v>
      </c>
      <c r="D62" s="278">
        <v>0.73609921365308162</v>
      </c>
      <c r="E62" s="278">
        <v>0.74168008558724763</v>
      </c>
      <c r="F62" s="278">
        <v>0.74620425432033832</v>
      </c>
      <c r="G62" s="278">
        <v>0.75002788838042644</v>
      </c>
      <c r="H62" s="278">
        <v>0.75336024905019594</v>
      </c>
      <c r="I62" s="278">
        <v>0.75633249343445008</v>
      </c>
      <c r="J62" s="279">
        <v>0.75903146832805757</v>
      </c>
      <c r="K62" s="277">
        <v>0.7615175153141982</v>
      </c>
      <c r="L62" s="278">
        <v>0.76383440320498008</v>
      </c>
      <c r="M62" s="278">
        <v>0.76601513880139704</v>
      </c>
      <c r="N62" s="278">
        <v>0.76808550651774443</v>
      </c>
      <c r="O62" s="278">
        <v>0.77006630103055373</v>
      </c>
      <c r="P62" s="278">
        <v>0.77197477913488299</v>
      </c>
      <c r="Q62" s="278">
        <v>0.7738256296791588</v>
      </c>
      <c r="R62" s="278">
        <v>0.77563163736161034</v>
      </c>
      <c r="S62" s="279">
        <v>0.77740244126354907</v>
      </c>
      <c r="T62" s="277">
        <v>0.77913971973595297</v>
      </c>
      <c r="U62" s="278">
        <v>0.78084250149972878</v>
      </c>
      <c r="V62" s="278">
        <v>0.78250905006493243</v>
      </c>
      <c r="W62" s="278">
        <v>0.78413700473222991</v>
      </c>
      <c r="X62" s="278">
        <v>0.78572348887804733</v>
      </c>
      <c r="Y62" s="278">
        <v>0.78726519433365361</v>
      </c>
      <c r="Z62" s="278">
        <v>0.78875844804226292</v>
      </c>
      <c r="AA62" s="278">
        <v>0.79019926539933116</v>
      </c>
      <c r="AB62" s="279">
        <v>0.79158339345754802</v>
      </c>
      <c r="AC62" s="277">
        <v>0.79290634632415546</v>
      </c>
      <c r="AD62" s="278">
        <v>0.79416343447435156</v>
      </c>
      <c r="AE62" s="278">
        <v>0.79534978927209687</v>
      </c>
      <c r="AF62" s="278">
        <v>0.79646038367628225</v>
      </c>
      <c r="AG62" s="278">
        <v>0.79749004988058581</v>
      </c>
      <c r="AH62" s="278">
        <v>0.79843349446532452</v>
      </c>
      <c r="AI62" s="278">
        <v>0.79928531151241311</v>
      </c>
      <c r="AJ62" s="278">
        <v>0.80003999403850712</v>
      </c>
      <c r="AK62" s="278">
        <v>0.80069194402823352</v>
      </c>
      <c r="AL62" s="279">
        <v>0.80123548129314726</v>
      </c>
      <c r="AM62" s="277">
        <v>0.80156402255306858</v>
      </c>
      <c r="AN62" s="278">
        <v>0.80221771201159642</v>
      </c>
      <c r="AO62" s="278">
        <v>0.80283639680008123</v>
      </c>
      <c r="AP62" s="278">
        <v>0.80342111563428054</v>
      </c>
      <c r="AQ62" s="278">
        <v>0.80397286338792506</v>
      </c>
      <c r="AR62" s="278">
        <v>0.80449259381304727</v>
      </c>
      <c r="AS62" s="278">
        <v>0.80498122201579814</v>
      </c>
      <c r="AT62" s="278">
        <v>0.80543962671815861</v>
      </c>
      <c r="AU62" s="278">
        <v>0.80586865233112137</v>
      </c>
      <c r="AV62" s="279">
        <v>0.80626911086098907</v>
      </c>
      <c r="AW62" s="277">
        <v>0.80664178366723194</v>
      </c>
      <c r="AX62" s="278">
        <v>0.80698742308771676</v>
      </c>
      <c r="AY62" s="278">
        <v>0.80730675394491969</v>
      </c>
      <c r="AZ62" s="278">
        <v>0.80760047494493337</v>
      </c>
      <c r="BA62" s="278">
        <v>0.80786925997955084</v>
      </c>
      <c r="BB62" s="278">
        <v>0.80811375934042273</v>
      </c>
      <c r="BC62" s="278">
        <v>0.80833460085320452</v>
      </c>
      <c r="BD62" s="278">
        <v>0.80853239093868357</v>
      </c>
      <c r="BE62" s="278">
        <v>0.80870771560708798</v>
      </c>
      <c r="BF62" s="279">
        <v>0.808861141391095</v>
      </c>
      <c r="BG62" s="279">
        <f t="shared" si="0"/>
        <v>0.808861141391095</v>
      </c>
      <c r="BH62" s="237"/>
    </row>
    <row r="63" spans="1:60" x14ac:dyDescent="0.2">
      <c r="A63" s="348">
        <v>16.5</v>
      </c>
      <c r="B63" s="277">
        <v>0.70863544895221064</v>
      </c>
      <c r="C63" s="278">
        <v>0.71785009670093691</v>
      </c>
      <c r="D63" s="278">
        <v>0.72477648941273531</v>
      </c>
      <c r="E63" s="278">
        <v>0.73036440864418295</v>
      </c>
      <c r="F63" s="278">
        <v>0.73508424935182504</v>
      </c>
      <c r="G63" s="278">
        <v>0.73919633247844829</v>
      </c>
      <c r="H63" s="278">
        <v>0.74285770967270204</v>
      </c>
      <c r="I63" s="278">
        <v>0.74617001604668265</v>
      </c>
      <c r="J63" s="279">
        <v>0.74920299900894538</v>
      </c>
      <c r="K63" s="277">
        <v>0.75200697344512346</v>
      </c>
      <c r="L63" s="278">
        <v>0.75461982566176411</v>
      </c>
      <c r="M63" s="278">
        <v>0.75707115661240665</v>
      </c>
      <c r="N63" s="278">
        <v>0.75938484129578321</v>
      </c>
      <c r="O63" s="278">
        <v>0.76158067030636456</v>
      </c>
      <c r="P63" s="278">
        <v>0.76367543803115412</v>
      </c>
      <c r="Q63" s="278">
        <v>0.76568368547080157</v>
      </c>
      <c r="R63" s="278">
        <v>0.76761822076742325</v>
      </c>
      <c r="S63" s="279">
        <v>0.76948913598742641</v>
      </c>
      <c r="T63" s="277">
        <v>0.77129998611688666</v>
      </c>
      <c r="U63" s="278">
        <v>0.77305202470929801</v>
      </c>
      <c r="V63" s="278">
        <v>0.77474571830412053</v>
      </c>
      <c r="W63" s="278">
        <v>0.77638087446595172</v>
      </c>
      <c r="X63" s="278">
        <v>0.77795674302635587</v>
      </c>
      <c r="Y63" s="278">
        <v>0.77947209726447086</v>
      </c>
      <c r="Z63" s="278">
        <v>0.78092529984040904</v>
      </c>
      <c r="AA63" s="278">
        <v>0.78231435697655083</v>
      </c>
      <c r="AB63" s="279">
        <v>0.78363696346184786</v>
      </c>
      <c r="AC63" s="277">
        <v>0.78489054040266149</v>
      </c>
      <c r="AD63" s="278">
        <v>0.7860722671755026</v>
      </c>
      <c r="AE63" s="278">
        <v>0.78717910869616003</v>
      </c>
      <c r="AF63" s="278">
        <v>0.78820783886834656</v>
      </c>
      <c r="AG63" s="278">
        <v>0.78915506088745568</v>
      </c>
      <c r="AH63" s="278">
        <v>0.79001722493351167</v>
      </c>
      <c r="AI63" s="278">
        <v>0.79079064367951335</v>
      </c>
      <c r="AJ63" s="278">
        <v>0.79147150595828586</v>
      </c>
      <c r="AK63" s="278">
        <v>0.79205588886636291</v>
      </c>
      <c r="AL63" s="279">
        <v>0.79253976853276775</v>
      </c>
      <c r="AM63" s="277">
        <v>0.79329100010813014</v>
      </c>
      <c r="AN63" s="278">
        <v>0.79393841311678814</v>
      </c>
      <c r="AO63" s="278">
        <v>0.79455261846620606</v>
      </c>
      <c r="AP63" s="278">
        <v>0.79513482538631308</v>
      </c>
      <c r="AQ63" s="278">
        <v>0.79568617891393301</v>
      </c>
      <c r="AR63" s="278">
        <v>0.79620776463936938</v>
      </c>
      <c r="AS63" s="278">
        <v>0.79670061299502881</v>
      </c>
      <c r="AT63" s="278">
        <v>0.7971657031408419</v>
      </c>
      <c r="AU63" s="278">
        <v>0.7976039664934379</v>
      </c>
      <c r="AV63" s="279">
        <v>0.79801628993952634</v>
      </c>
      <c r="AW63" s="277">
        <v>0.7984035187684615</v>
      </c>
      <c r="AX63" s="278">
        <v>0.79876645935435442</v>
      </c>
      <c r="AY63" s="278">
        <v>0.79910588161417395</v>
      </c>
      <c r="AZ63" s="278">
        <v>0.79942252126497315</v>
      </c>
      <c r="BA63" s="278">
        <v>0.79971708190049995</v>
      </c>
      <c r="BB63" s="278">
        <v>0.79999023690504234</v>
      </c>
      <c r="BC63" s="278">
        <v>0.80024263122024331</v>
      </c>
      <c r="BD63" s="278">
        <v>0.80047488297880887</v>
      </c>
      <c r="BE63" s="278">
        <v>0.80068758501746462</v>
      </c>
      <c r="BF63" s="279">
        <v>0.80088130628015453</v>
      </c>
      <c r="BG63" s="279">
        <f t="shared" si="0"/>
        <v>0.80088130628015453</v>
      </c>
      <c r="BH63" s="237"/>
    </row>
    <row r="64" spans="1:60" x14ac:dyDescent="0.2">
      <c r="A64" s="349">
        <v>17</v>
      </c>
      <c r="B64" s="281">
        <v>0.69696450133452414</v>
      </c>
      <c r="C64" s="282">
        <v>0.70747717481668182</v>
      </c>
      <c r="D64" s="282">
        <v>0.71479917892005984</v>
      </c>
      <c r="E64" s="282">
        <v>0.72045009042988351</v>
      </c>
      <c r="F64" s="282">
        <v>0.72512644120802472</v>
      </c>
      <c r="G64" s="282">
        <v>0.72918137510572278</v>
      </c>
      <c r="H64" s="282">
        <v>0.73280864124593603</v>
      </c>
      <c r="I64" s="282">
        <v>0.7361217761134855</v>
      </c>
      <c r="J64" s="283">
        <v>0.7391912906021687</v>
      </c>
      <c r="K64" s="281">
        <v>0.74206337953778467</v>
      </c>
      <c r="L64" s="282">
        <v>0.74476987555528829</v>
      </c>
      <c r="M64" s="282">
        <v>0.74733379618426388</v>
      </c>
      <c r="N64" s="282">
        <v>0.74977255902000806</v>
      </c>
      <c r="O64" s="282">
        <v>0.7520999095634916</v>
      </c>
      <c r="P64" s="282">
        <v>0.75432711210901238</v>
      </c>
      <c r="Q64" s="282">
        <v>0.75646370522728057</v>
      </c>
      <c r="R64" s="282">
        <v>0.75851799276575949</v>
      </c>
      <c r="S64" s="283">
        <v>0.76049648304942463</v>
      </c>
      <c r="T64" s="281">
        <v>0.76240143159137741</v>
      </c>
      <c r="U64" s="282">
        <v>0.76423362841416176</v>
      </c>
      <c r="V64" s="282">
        <v>0.76599339518409804</v>
      </c>
      <c r="W64" s="282">
        <v>0.76768066906671584</v>
      </c>
      <c r="X64" s="282">
        <v>0.76929506537252668</v>
      </c>
      <c r="Y64" s="282">
        <v>0.77083592537665568</v>
      </c>
      <c r="Z64" s="282">
        <v>0.77230235360237021</v>
      </c>
      <c r="AA64" s="282">
        <v>0.77369324749390966</v>
      </c>
      <c r="AB64" s="283">
        <v>0.77500732150130736</v>
      </c>
      <c r="AC64" s="281">
        <v>0.77624312699459419</v>
      </c>
      <c r="AD64" s="282">
        <v>0.77739906901358591</v>
      </c>
      <c r="AE64" s="282">
        <v>0.77847342057677338</v>
      </c>
      <c r="AF64" s="282">
        <v>0.77946433507619894</v>
      </c>
      <c r="AG64" s="282">
        <v>0.7803698571469152</v>
      </c>
      <c r="AH64" s="282">
        <v>0.78118793230129835</v>
      </c>
      <c r="AI64" s="282">
        <v>0.78191641554786917</v>
      </c>
      <c r="AJ64" s="282">
        <v>0.782553079162979</v>
      </c>
      <c r="AK64" s="282">
        <v>0.78309561974614184</v>
      </c>
      <c r="AL64" s="283">
        <v>0.78354166466190212</v>
      </c>
      <c r="AM64" s="281">
        <v>0.78495129700572563</v>
      </c>
      <c r="AN64" s="282">
        <v>0.78563780609393308</v>
      </c>
      <c r="AO64" s="282">
        <v>0.78628844127825026</v>
      </c>
      <c r="AP64" s="282">
        <v>0.7869043972805877</v>
      </c>
      <c r="AQ64" s="282">
        <v>0.78748681093668482</v>
      </c>
      <c r="AR64" s="282">
        <v>0.78803676520978883</v>
      </c>
      <c r="AS64" s="282">
        <v>0.78855529282788095</v>
      </c>
      <c r="AT64" s="282">
        <v>0.78904337958971604</v>
      </c>
      <c r="AU64" s="282">
        <v>0.7895019673782846</v>
      </c>
      <c r="AV64" s="283">
        <v>0.78993195691483054</v>
      </c>
      <c r="AW64" s="281">
        <v>0.79033421028195983</v>
      </c>
      <c r="AX64" s="282">
        <v>0.79070955324054826</v>
      </c>
      <c r="AY64" s="282">
        <v>0.79105877736191588</v>
      </c>
      <c r="AZ64" s="282">
        <v>0.79138264199400887</v>
      </c>
      <c r="BA64" s="282">
        <v>0.79168187607799767</v>
      </c>
      <c r="BB64" s="282">
        <v>0.7919571798297258</v>
      </c>
      <c r="BC64" s="282">
        <v>0.79220922629873358</v>
      </c>
      <c r="BD64" s="282">
        <v>0.7924386628161213</v>
      </c>
      <c r="BE64" s="282">
        <v>0.79264611234125293</v>
      </c>
      <c r="BF64" s="283">
        <v>0.7928321747162006</v>
      </c>
      <c r="BG64" s="283">
        <f t="shared" si="0"/>
        <v>0.7928321747162006</v>
      </c>
      <c r="BH64" s="237"/>
    </row>
    <row r="65" spans="1:60" x14ac:dyDescent="0.2">
      <c r="A65" s="348">
        <v>17.5</v>
      </c>
      <c r="B65" s="284">
        <v>0.68725745719468434</v>
      </c>
      <c r="C65" s="285">
        <v>0.69777381970286256</v>
      </c>
      <c r="D65" s="285">
        <v>0.70507734473607042</v>
      </c>
      <c r="E65" s="285">
        <v>0.71071735836144445</v>
      </c>
      <c r="F65" s="285">
        <v>0.71539963766022219</v>
      </c>
      <c r="G65" s="285">
        <v>0.71947899896122447</v>
      </c>
      <c r="H65" s="285">
        <v>0.72314793291962687</v>
      </c>
      <c r="I65" s="285">
        <v>0.72651759491764945</v>
      </c>
      <c r="J65" s="286">
        <v>0.72965573231751713</v>
      </c>
      <c r="K65" s="284">
        <v>0.73260570211693954</v>
      </c>
      <c r="L65" s="285">
        <v>0.73539654957896239</v>
      </c>
      <c r="M65" s="285">
        <v>0.7380486001521116</v>
      </c>
      <c r="N65" s="285">
        <v>0.74057668460341075</v>
      </c>
      <c r="O65" s="285">
        <v>0.74299206216110603</v>
      </c>
      <c r="P65" s="285">
        <v>0.74530360124367379</v>
      </c>
      <c r="Q65" s="285">
        <v>0.74751852347869718</v>
      </c>
      <c r="R65" s="285">
        <v>0.74964288373568055</v>
      </c>
      <c r="S65" s="286">
        <v>0.75168154768854001</v>
      </c>
      <c r="T65" s="284">
        <v>0.75363738095332078</v>
      </c>
      <c r="U65" s="285">
        <v>0.75551240131886965</v>
      </c>
      <c r="V65" s="285">
        <v>0.75730822077527993</v>
      </c>
      <c r="W65" s="285">
        <v>0.7590261209392547</v>
      </c>
      <c r="X65" s="285">
        <v>0.76066710842729623</v>
      </c>
      <c r="Y65" s="285">
        <v>0.76223195638178731</v>
      </c>
      <c r="Z65" s="285">
        <v>0.76372123628820832</v>
      </c>
      <c r="AA65" s="285">
        <v>0.76513534288129947</v>
      </c>
      <c r="AB65" s="286">
        <v>0.76647451405630007</v>
      </c>
      <c r="AC65" s="284">
        <v>0.76773884711387907</v>
      </c>
      <c r="AD65" s="285">
        <v>0.76892831227101055</v>
      </c>
      <c r="AE65" s="285">
        <v>0.77004276409966088</v>
      </c>
      <c r="AF65" s="285">
        <v>0.77108195136864344</v>
      </c>
      <c r="AG65" s="285">
        <v>0.77204552563406004</v>
      </c>
      <c r="AH65" s="285">
        <v>0.7729330488322782</v>
      </c>
      <c r="AI65" s="285">
        <v>0.77374400006446509</v>
      </c>
      <c r="AJ65" s="285">
        <v>0.77447778171507975</v>
      </c>
      <c r="AK65" s="285">
        <v>0.7751337250130268</v>
      </c>
      <c r="AL65" s="286">
        <v>0.77571109511953018</v>
      </c>
      <c r="AM65" s="287">
        <v>0.77701826407404451</v>
      </c>
      <c r="AN65" s="288">
        <v>0.7777340172792756</v>
      </c>
      <c r="AO65" s="288">
        <v>0.77841079583282735</v>
      </c>
      <c r="AP65" s="288">
        <v>0.77904982552061608</v>
      </c>
      <c r="AQ65" s="288">
        <v>0.77965227748773935</v>
      </c>
      <c r="AR65" s="288">
        <v>0.78021927172562477</v>
      </c>
      <c r="AS65" s="288">
        <v>0.78075188025195608</v>
      </c>
      <c r="AT65" s="288">
        <v>0.78125113001922331</v>
      </c>
      <c r="AU65" s="288">
        <v>0.7817180055824785</v>
      </c>
      <c r="AV65" s="289">
        <v>0.78215345155253724</v>
      </c>
      <c r="AW65" s="287">
        <v>0.78255837485727098</v>
      </c>
      <c r="AX65" s="288">
        <v>0.78293364683061395</v>
      </c>
      <c r="AY65" s="288">
        <v>0.78328010514638924</v>
      </c>
      <c r="AZ65" s="288">
        <v>0.78359855561192415</v>
      </c>
      <c r="BA65" s="288">
        <v>0.78388977383459935</v>
      </c>
      <c r="BB65" s="288">
        <v>0.78415450677294274</v>
      </c>
      <c r="BC65" s="288">
        <v>0.78439347418253891</v>
      </c>
      <c r="BD65" s="288">
        <v>0.78460736996589553</v>
      </c>
      <c r="BE65" s="288">
        <v>0.78479686343439981</v>
      </c>
      <c r="BF65" s="289">
        <v>0.78496260048966593</v>
      </c>
      <c r="BG65" s="289">
        <f t="shared" si="0"/>
        <v>0.78496260048966593</v>
      </c>
      <c r="BH65" s="237"/>
    </row>
    <row r="66" spans="1:60" x14ac:dyDescent="0.2">
      <c r="A66" s="348">
        <v>18</v>
      </c>
      <c r="B66" s="277">
        <v>0.67645381050336018</v>
      </c>
      <c r="C66" s="278">
        <v>0.68711663625459196</v>
      </c>
      <c r="D66" s="278">
        <v>0.69478652675256136</v>
      </c>
      <c r="E66" s="278">
        <v>0.70080685522457675</v>
      </c>
      <c r="F66" s="278">
        <v>0.70582152698182565</v>
      </c>
      <c r="G66" s="278">
        <v>0.71017215407914902</v>
      </c>
      <c r="H66" s="278">
        <v>0.71405459416030914</v>
      </c>
      <c r="I66" s="278">
        <v>0.71758831706908088</v>
      </c>
      <c r="J66" s="279">
        <v>0.72085001387364633</v>
      </c>
      <c r="K66" s="277">
        <v>0.72389107505367034</v>
      </c>
      <c r="L66" s="278">
        <v>0.72674722089843891</v>
      </c>
      <c r="M66" s="278">
        <v>0.72944407088859964</v>
      </c>
      <c r="N66" s="278">
        <v>0.7320005004541702</v>
      </c>
      <c r="O66" s="278">
        <v>0.73443073815082294</v>
      </c>
      <c r="P66" s="278">
        <v>0.73674571809905198</v>
      </c>
      <c r="Q66" s="278">
        <v>0.73895397723274858</v>
      </c>
      <c r="R66" s="278">
        <v>0.74106226602639125</v>
      </c>
      <c r="S66" s="279">
        <v>0.74307622462471312</v>
      </c>
      <c r="T66" s="277">
        <v>0.74500144275963609</v>
      </c>
      <c r="U66" s="278">
        <v>0.7468429364717738</v>
      </c>
      <c r="V66" s="278">
        <v>0.74860506019792095</v>
      </c>
      <c r="W66" s="278">
        <v>0.75029162800918847</v>
      </c>
      <c r="X66" s="278">
        <v>0.75190600625003789</v>
      </c>
      <c r="Y66" s="278">
        <v>0.75345118541150335</v>
      </c>
      <c r="Z66" s="278">
        <v>0.75492983669828773</v>
      </c>
      <c r="AA66" s="278">
        <v>0.75634435715314752</v>
      </c>
      <c r="AB66" s="279">
        <v>0.7576969061115062</v>
      </c>
      <c r="AC66" s="277">
        <v>0.75898943500334326</v>
      </c>
      <c r="AD66" s="278">
        <v>0.76022371198823946</v>
      </c>
      <c r="AE66" s="278">
        <v>0.76140134253134606</v>
      </c>
      <c r="AF66" s="278">
        <v>0.76252378675562515</v>
      </c>
      <c r="AG66" s="278">
        <v>0.76359237420714177</v>
      </c>
      <c r="AH66" s="278">
        <v>0.76460831652389205</v>
      </c>
      <c r="AI66" s="278">
        <v>0.76557271838970919</v>
      </c>
      <c r="AJ66" s="278">
        <v>0.7664865870728883</v>
      </c>
      <c r="AK66" s="278">
        <v>0.76735084078697868</v>
      </c>
      <c r="AL66" s="279">
        <v>0.76816631606357044</v>
      </c>
      <c r="AM66" s="277">
        <v>0.76886561408881005</v>
      </c>
      <c r="AN66" s="278">
        <v>0.76960636252719195</v>
      </c>
      <c r="AO66" s="278">
        <v>0.77030764604793878</v>
      </c>
      <c r="AP66" s="278">
        <v>0.77097069463781254</v>
      </c>
      <c r="AQ66" s="278">
        <v>0.7715966836037027</v>
      </c>
      <c r="AR66" s="278">
        <v>0.77218673709106256</v>
      </c>
      <c r="AS66" s="278">
        <v>0.7727419312866346</v>
      </c>
      <c r="AT66" s="278">
        <v>0.7732632973431447</v>
      </c>
      <c r="AU66" s="278">
        <v>0.77375182405798781</v>
      </c>
      <c r="AV66" s="279">
        <v>0.77420846033330493</v>
      </c>
      <c r="AW66" s="277">
        <v>0.77463411744099453</v>
      </c>
      <c r="AX66" s="278">
        <v>0.77502967111302479</v>
      </c>
      <c r="AY66" s="278">
        <v>0.77539596347471507</v>
      </c>
      <c r="AZ66" s="278">
        <v>0.7757338048364194</v>
      </c>
      <c r="BA66" s="278">
        <v>0.776043975357122</v>
      </c>
      <c r="BB66" s="278">
        <v>0.77632722659183806</v>
      </c>
      <c r="BC66" s="278">
        <v>0.77658428293333059</v>
      </c>
      <c r="BD66" s="278">
        <v>0.77681584295744466</v>
      </c>
      <c r="BE66" s="278">
        <v>0.77702258068035457</v>
      </c>
      <c r="BF66" s="279">
        <v>0.77720514673511443</v>
      </c>
      <c r="BG66" s="279">
        <f t="shared" si="0"/>
        <v>0.77720514673511443</v>
      </c>
      <c r="BH66" s="237"/>
    </row>
    <row r="67" spans="1:60" x14ac:dyDescent="0.2">
      <c r="A67" s="348">
        <v>18.5</v>
      </c>
      <c r="B67" s="277">
        <v>0.66674924375679467</v>
      </c>
      <c r="C67" s="278">
        <v>0.67714462578667955</v>
      </c>
      <c r="D67" s="278">
        <v>0.68478591658775168</v>
      </c>
      <c r="E67" s="278">
        <v>0.69087938355194145</v>
      </c>
      <c r="F67" s="278">
        <v>0.69601140743840806</v>
      </c>
      <c r="G67" s="278">
        <v>0.7004976515300283</v>
      </c>
      <c r="H67" s="278">
        <v>0.7045216661237923</v>
      </c>
      <c r="I67" s="278">
        <v>0.70819683200856565</v>
      </c>
      <c r="J67" s="279">
        <v>0.71159666113318099</v>
      </c>
      <c r="K67" s="277">
        <v>0.71477072015283183</v>
      </c>
      <c r="L67" s="278">
        <v>0.71775350384106962</v>
      </c>
      <c r="M67" s="278">
        <v>0.72056962884187081</v>
      </c>
      <c r="N67" s="278">
        <v>0.72323700408939307</v>
      </c>
      <c r="O67" s="278">
        <v>0.72576883812138793</v>
      </c>
      <c r="P67" s="278">
        <v>0.72817495159001477</v>
      </c>
      <c r="Q67" s="278">
        <v>0.73046266049928033</v>
      </c>
      <c r="R67" s="278">
        <v>0.73263738618008867</v>
      </c>
      <c r="S67" s="279">
        <v>0.73470393300365344</v>
      </c>
      <c r="T67" s="277">
        <v>0.73666935754030949</v>
      </c>
      <c r="U67" s="278">
        <v>0.73854068830904762</v>
      </c>
      <c r="V67" s="278">
        <v>0.74032425094408039</v>
      </c>
      <c r="W67" s="278">
        <v>0.74202579475287089</v>
      </c>
      <c r="X67" s="278">
        <v>0.74365059029357194</v>
      </c>
      <c r="Y67" s="278">
        <v>0.74520350567701543</v>
      </c>
      <c r="Z67" s="278">
        <v>0.74668906701942361</v>
      </c>
      <c r="AA67" s="278">
        <v>0.74811150692545714</v>
      </c>
      <c r="AB67" s="279">
        <v>0.74947480381496634</v>
      </c>
      <c r="AC67" s="277">
        <v>0.75078271416082987</v>
      </c>
      <c r="AD67" s="278">
        <v>0.75203879917609884</v>
      </c>
      <c r="AE67" s="278">
        <v>0.75324644710845101</v>
      </c>
      <c r="AF67" s="278">
        <v>0.75440889202340689</v>
      </c>
      <c r="AG67" s="278">
        <v>0.7555292297543259</v>
      </c>
      <c r="AH67" s="278">
        <v>0.75661043154588281</v>
      </c>
      <c r="AI67" s="278">
        <v>0.75765535580405119</v>
      </c>
      <c r="AJ67" s="278">
        <v>0.75866675827937269</v>
      </c>
      <c r="AK67" s="278">
        <v>0.75964730094424293</v>
      </c>
      <c r="AL67" s="279">
        <v>0.7605995597739249</v>
      </c>
      <c r="AM67" s="277">
        <v>0.76108109515151112</v>
      </c>
      <c r="AN67" s="278">
        <v>0.7618344897733289</v>
      </c>
      <c r="AO67" s="278">
        <v>0.76254609343964075</v>
      </c>
      <c r="AP67" s="278">
        <v>0.76321720603245469</v>
      </c>
      <c r="AQ67" s="278">
        <v>0.76384907063629359</v>
      </c>
      <c r="AR67" s="278">
        <v>0.76444287709594372</v>
      </c>
      <c r="AS67" s="278">
        <v>0.7649997652648437</v>
      </c>
      <c r="AT67" s="278">
        <v>0.7655208279800102</v>
      </c>
      <c r="AU67" s="278">
        <v>0.76600711379411179</v>
      </c>
      <c r="AV67" s="279">
        <v>0.76645962949097735</v>
      </c>
      <c r="AW67" s="277">
        <v>0.76687934240719691</v>
      </c>
      <c r="AX67" s="278">
        <v>0.76726718257947824</v>
      </c>
      <c r="AY67" s="278">
        <v>0.76762404473489454</v>
      </c>
      <c r="AZ67" s="278">
        <v>0.76795079013902157</v>
      </c>
      <c r="BA67" s="278">
        <v>0.7682482483151527</v>
      </c>
      <c r="BB67" s="278">
        <v>0.76851721864623401</v>
      </c>
      <c r="BC67" s="278">
        <v>0.76875847186984891</v>
      </c>
      <c r="BD67" s="278">
        <v>0.76897275147541733</v>
      </c>
      <c r="BE67" s="278">
        <v>0.76916077501180879</v>
      </c>
      <c r="BF67" s="279">
        <v>0.76932323531270175</v>
      </c>
      <c r="BG67" s="279">
        <f t="shared" si="0"/>
        <v>0.76932323531270175</v>
      </c>
      <c r="BH67" s="237"/>
    </row>
    <row r="68" spans="1:60" x14ac:dyDescent="0.2">
      <c r="A68" s="348">
        <v>19</v>
      </c>
      <c r="B68" s="277">
        <v>0.65713618008064145</v>
      </c>
      <c r="C68" s="278">
        <v>0.66704977197969373</v>
      </c>
      <c r="D68" s="278">
        <v>0.67462977492592646</v>
      </c>
      <c r="E68" s="278">
        <v>0.68084026700371147</v>
      </c>
      <c r="F68" s="278">
        <v>0.6861635536051498</v>
      </c>
      <c r="G68" s="278">
        <v>0.69086738276048432</v>
      </c>
      <c r="H68" s="278">
        <v>0.69511235251333525</v>
      </c>
      <c r="I68" s="278">
        <v>0.69900066623199852</v>
      </c>
      <c r="J68" s="279">
        <v>0.70260041441413323</v>
      </c>
      <c r="K68" s="277">
        <v>0.70595859183486687</v>
      </c>
      <c r="L68" s="278">
        <v>0.70910850926627511</v>
      </c>
      <c r="M68" s="278">
        <v>0.71207423206926557</v>
      </c>
      <c r="N68" s="278">
        <v>0.7148733553205544</v>
      </c>
      <c r="O68" s="278">
        <v>0.71751880488600839</v>
      </c>
      <c r="P68" s="278">
        <v>0.7200200452219806</v>
      </c>
      <c r="Q68" s="278">
        <v>0.7223839131491081</v>
      </c>
      <c r="R68" s="278">
        <v>0.72461520851217653</v>
      </c>
      <c r="S68" s="279">
        <v>0.72671853796594299</v>
      </c>
      <c r="T68" s="277">
        <v>0.72870291014690058</v>
      </c>
      <c r="U68" s="278">
        <v>0.73057777858041695</v>
      </c>
      <c r="V68" s="278">
        <v>0.73235180797288568</v>
      </c>
      <c r="W68" s="278">
        <v>0.73403300840502173</v>
      </c>
      <c r="X68" s="278">
        <v>0.73562884068387036</v>
      </c>
      <c r="Y68" s="278">
        <v>0.7371463001043308</v>
      </c>
      <c r="Z68" s="278">
        <v>0.73859198382023161</v>
      </c>
      <c r="AA68" s="278">
        <v>0.73997214561071922</v>
      </c>
      <c r="AB68" s="279">
        <v>0.74129274083672247</v>
      </c>
      <c r="AC68" s="277">
        <v>0.74255946367754322</v>
      </c>
      <c r="AD68" s="278">
        <v>0.74377777822953062</v>
      </c>
      <c r="AE68" s="278">
        <v>0.74495294467776096</v>
      </c>
      <c r="AF68" s="278">
        <v>0.74609004147740576</v>
      </c>
      <c r="AG68" s="278">
        <v>0.7471939842765104</v>
      </c>
      <c r="AH68" s="278">
        <v>0.7482695421570551</v>
      </c>
      <c r="AI68" s="278">
        <v>0.74932135165307323</v>
      </c>
      <c r="AJ68" s="278">
        <v>0.75035392891362074</v>
      </c>
      <c r="AK68" s="278">
        <v>0.75137168030774404</v>
      </c>
      <c r="AL68" s="279">
        <v>0.75237891171321936</v>
      </c>
      <c r="AM68" s="277">
        <v>0.75288250217557606</v>
      </c>
      <c r="AN68" s="278">
        <v>0.75363658298536296</v>
      </c>
      <c r="AO68" s="278">
        <v>0.75434983922414878</v>
      </c>
      <c r="AP68" s="278">
        <v>0.75502365464586041</v>
      </c>
      <c r="AQ68" s="278">
        <v>0.75565934582928229</v>
      </c>
      <c r="AR68" s="278">
        <v>0.75625816678523716</v>
      </c>
      <c r="AS68" s="278">
        <v>0.75682131314171108</v>
      </c>
      <c r="AT68" s="278">
        <v>0.75734992595606265</v>
      </c>
      <c r="AU68" s="278">
        <v>0.75784509519647691</v>
      </c>
      <c r="AV68" s="279">
        <v>0.75830786292903674</v>
      </c>
      <c r="AW68" s="277">
        <v>0.75873922624191936</v>
      </c>
      <c r="AX68" s="278">
        <v>0.75914013993411067</v>
      </c>
      <c r="AY68" s="278">
        <v>0.75951151899256741</v>
      </c>
      <c r="AZ68" s="278">
        <v>0.75985424087880504</v>
      </c>
      <c r="BA68" s="278">
        <v>0.76016914764334087</v>
      </c>
      <c r="BB68" s="278">
        <v>0.76045704788428514</v>
      </c>
      <c r="BC68" s="278">
        <v>0.76071871856447826</v>
      </c>
      <c r="BD68" s="278">
        <v>0.76095490669997323</v>
      </c>
      <c r="BE68" s="278">
        <v>0.76116633093125363</v>
      </c>
      <c r="BF68" s="279">
        <v>0.76135368298735551</v>
      </c>
      <c r="BG68" s="279">
        <f t="shared" si="0"/>
        <v>0.76135368298735551</v>
      </c>
      <c r="BH68" s="237"/>
    </row>
    <row r="69" spans="1:60" x14ac:dyDescent="0.2">
      <c r="A69" s="349">
        <v>19.5</v>
      </c>
      <c r="B69" s="290">
        <v>0.64729811362810474</v>
      </c>
      <c r="C69" s="291">
        <v>0.65659976575580925</v>
      </c>
      <c r="D69" s="291">
        <v>0.66419591508463238</v>
      </c>
      <c r="E69" s="291">
        <v>0.6706424849719349</v>
      </c>
      <c r="F69" s="291">
        <v>0.67626245179555267</v>
      </c>
      <c r="G69" s="291">
        <v>0.68125936960053302</v>
      </c>
      <c r="H69" s="291">
        <v>0.68576907611432836</v>
      </c>
      <c r="I69" s="291">
        <v>0.68988604802712339</v>
      </c>
      <c r="J69" s="292">
        <v>0.69367801141591257</v>
      </c>
      <c r="K69" s="290">
        <v>0.69719458728584638</v>
      </c>
      <c r="L69" s="291">
        <v>0.70047268177128519</v>
      </c>
      <c r="M69" s="291">
        <v>0.7035399936869694</v>
      </c>
      <c r="N69" s="291">
        <v>0.70641738000418108</v>
      </c>
      <c r="O69" s="291">
        <v>0.70912050016642825</v>
      </c>
      <c r="P69" s="291">
        <v>0.71166098921559229</v>
      </c>
      <c r="Q69" s="291">
        <v>0.71404731385867537</v>
      </c>
      <c r="R69" s="291">
        <v>0.71628540964743115</v>
      </c>
      <c r="S69" s="292">
        <v>0.71838108821027269</v>
      </c>
      <c r="T69" s="290">
        <v>0.72034622559790673</v>
      </c>
      <c r="U69" s="291">
        <v>0.72219334675486113</v>
      </c>
      <c r="V69" s="291">
        <v>0.72393392709623816</v>
      </c>
      <c r="W69" s="291">
        <v>0.72557856324391801</v>
      </c>
      <c r="X69" s="291">
        <v>0.72713711031907258</v>
      </c>
      <c r="Y69" s="291">
        <v>0.72861879337340008</v>
      </c>
      <c r="Z69" s="291">
        <v>0.73003229860433727</v>
      </c>
      <c r="AA69" s="291">
        <v>0.73138584860908795</v>
      </c>
      <c r="AB69" s="292">
        <v>0.73268726492067415</v>
      </c>
      <c r="AC69" s="290">
        <v>0.7339440203239681</v>
      </c>
      <c r="AD69" s="291">
        <v>0.73516328289424959</v>
      </c>
      <c r="AE69" s="291">
        <v>0.73635195328249092</v>
      </c>
      <c r="AF69" s="291">
        <v>0.73751669645328699</v>
      </c>
      <c r="AG69" s="291">
        <v>0.73866396883697716</v>
      </c>
      <c r="AH69" s="291">
        <v>0.73980004166821844</v>
      </c>
      <c r="AI69" s="291">
        <v>0.7409310211354897</v>
      </c>
      <c r="AJ69" s="291">
        <v>0.74206286584972847</v>
      </c>
      <c r="AK69" s="291">
        <v>0.74320140204817253</v>
      </c>
      <c r="AL69" s="292">
        <v>0.74435233687598024</v>
      </c>
      <c r="AM69" s="281">
        <v>0.74448918964240973</v>
      </c>
      <c r="AN69" s="282">
        <v>0.7452525324906103</v>
      </c>
      <c r="AO69" s="282">
        <v>0.74597680129950528</v>
      </c>
      <c r="AP69" s="282">
        <v>0.74666344126901996</v>
      </c>
      <c r="AQ69" s="282">
        <v>0.74731382047986239</v>
      </c>
      <c r="AR69" s="282">
        <v>0.74792923558180413</v>
      </c>
      <c r="AS69" s="282">
        <v>0.74851091693865823</v>
      </c>
      <c r="AT69" s="282">
        <v>0.74906003329385973</v>
      </c>
      <c r="AU69" s="282">
        <v>0.74957769601162783</v>
      </c>
      <c r="AV69" s="283">
        <v>0.75006496294122638</v>
      </c>
      <c r="AW69" s="281">
        <v>0.7505228419455181</v>
      </c>
      <c r="AX69" s="282">
        <v>0.75095229412967679</v>
      </c>
      <c r="AY69" s="282">
        <v>0.75135423680137425</v>
      </c>
      <c r="AZ69" s="282">
        <v>0.7517295461898752</v>
      </c>
      <c r="BA69" s="282">
        <v>0.75207905994815727</v>
      </c>
      <c r="BB69" s="282">
        <v>0.75240357945930303</v>
      </c>
      <c r="BC69" s="282">
        <v>0.75270387196595512</v>
      </c>
      <c r="BD69" s="282">
        <v>0.75298067253947165</v>
      </c>
      <c r="BE69" s="282">
        <v>0.75323468590358267</v>
      </c>
      <c r="BF69" s="283">
        <v>0.75346658812571088</v>
      </c>
      <c r="BG69" s="283">
        <f t="shared" si="0"/>
        <v>0.75346658812571088</v>
      </c>
      <c r="BH69" s="237"/>
    </row>
    <row r="70" spans="1:60" x14ac:dyDescent="0.2">
      <c r="A70" s="348">
        <v>20</v>
      </c>
      <c r="B70" s="287">
        <v>0.63866061273400709</v>
      </c>
      <c r="C70" s="288">
        <v>0.64776762654395614</v>
      </c>
      <c r="D70" s="288">
        <v>0.65503048344533532</v>
      </c>
      <c r="E70" s="288">
        <v>0.66117900523004025</v>
      </c>
      <c r="F70" s="288">
        <v>0.66658219316141321</v>
      </c>
      <c r="G70" s="288">
        <v>0.67144777867121341</v>
      </c>
      <c r="H70" s="288">
        <v>0.67590219508181437</v>
      </c>
      <c r="I70" s="288">
        <v>0.68002693825181793</v>
      </c>
      <c r="J70" s="289">
        <v>0.68387677464603924</v>
      </c>
      <c r="K70" s="287">
        <v>0.68748958856272435</v>
      </c>
      <c r="L70" s="288">
        <v>0.69089205486605743</v>
      </c>
      <c r="M70" s="288">
        <v>0.69410308475988347</v>
      </c>
      <c r="N70" s="288">
        <v>0.69713601567522809</v>
      </c>
      <c r="O70" s="288">
        <v>0.70000005848518798</v>
      </c>
      <c r="P70" s="288">
        <v>0.70270128710971647</v>
      </c>
      <c r="Q70" s="288">
        <v>0.70524333581842646</v>
      </c>
      <c r="R70" s="288">
        <v>0.70762790378405827</v>
      </c>
      <c r="S70" s="289">
        <v>0.70985747184696113</v>
      </c>
      <c r="T70" s="287">
        <v>0.71194267091289209</v>
      </c>
      <c r="U70" s="288">
        <v>0.71389556087939976</v>
      </c>
      <c r="V70" s="288">
        <v>0.71572745438354624</v>
      </c>
      <c r="W70" s="288">
        <v>0.71744903573440122</v>
      </c>
      <c r="X70" s="288">
        <v>0.71907045556771954</v>
      </c>
      <c r="Y70" s="288">
        <v>0.72060140707143772</v>
      </c>
      <c r="Z70" s="288">
        <v>0.72205118802871615</v>
      </c>
      <c r="AA70" s="288">
        <v>0.72342875180911792</v>
      </c>
      <c r="AB70" s="289">
        <v>0.7247427496480745</v>
      </c>
      <c r="AC70" s="287">
        <v>0.7260015659865694</v>
      </c>
      <c r="AD70" s="288">
        <v>0.72721334822874406</v>
      </c>
      <c r="AE70" s="288">
        <v>0.72838603196926299</v>
      </c>
      <c r="AF70" s="288">
        <v>0.7295273625136538</v>
      </c>
      <c r="AG70" s="288">
        <v>0.73064491334207804</v>
      </c>
      <c r="AH70" s="288">
        <v>0.73174610203499835</v>
      </c>
      <c r="AI70" s="288">
        <v>0.73283820407745104</v>
      </c>
      <c r="AJ70" s="288">
        <v>0.73392836487939517</v>
      </c>
      <c r="AK70" s="288">
        <v>0.73502361028742313</v>
      </c>
      <c r="AL70" s="289">
        <v>0.73613085581388882</v>
      </c>
      <c r="AM70" s="287">
        <v>0.73672894599174399</v>
      </c>
      <c r="AN70" s="288">
        <v>0.7375030719879061</v>
      </c>
      <c r="AO70" s="288">
        <v>0.73823431873385192</v>
      </c>
      <c r="AP70" s="288">
        <v>0.7389242141771275</v>
      </c>
      <c r="AQ70" s="288">
        <v>0.73957420925343287</v>
      </c>
      <c r="AR70" s="288">
        <v>0.74018568324847311</v>
      </c>
      <c r="AS70" s="288">
        <v>0.74075994867352624</v>
      </c>
      <c r="AT70" s="288">
        <v>0.74129825570955166</v>
      </c>
      <c r="AU70" s="288">
        <v>0.74180179626725395</v>
      </c>
      <c r="AV70" s="289">
        <v>0.74227170770426942</v>
      </c>
      <c r="AW70" s="287">
        <v>0.74270907623536431</v>
      </c>
      <c r="AX70" s="288">
        <v>0.74311494006701928</v>
      </c>
      <c r="AY70" s="288">
        <v>0.74349029228396479</v>
      </c>
      <c r="AZ70" s="288">
        <v>0.74383608351190289</v>
      </c>
      <c r="BA70" s="288">
        <v>0.74415322437785048</v>
      </c>
      <c r="BB70" s="288">
        <v>0.74444258778706618</v>
      </c>
      <c r="BC70" s="288">
        <v>0.74470501103340925</v>
      </c>
      <c r="BD70" s="288">
        <v>0.74494129775813878</v>
      </c>
      <c r="BE70" s="288">
        <v>0.74515221977053403</v>
      </c>
      <c r="BF70" s="289">
        <v>0.74533851874232793</v>
      </c>
      <c r="BG70" s="289">
        <f t="shared" si="0"/>
        <v>0.74533851874232793</v>
      </c>
      <c r="BH70" s="237"/>
    </row>
    <row r="71" spans="1:60" x14ac:dyDescent="0.2">
      <c r="A71" s="348">
        <v>21</v>
      </c>
      <c r="B71" s="277">
        <v>0.61897728275706709</v>
      </c>
      <c r="C71" s="278">
        <v>0.62836569101877326</v>
      </c>
      <c r="D71" s="278">
        <v>0.63569614789388473</v>
      </c>
      <c r="E71" s="278">
        <v>0.64188426345080851</v>
      </c>
      <c r="F71" s="278">
        <v>0.64735640427887398</v>
      </c>
      <c r="G71" s="278">
        <v>0.65233380386200457</v>
      </c>
      <c r="H71" s="278">
        <v>0.65694089669642741</v>
      </c>
      <c r="I71" s="278">
        <v>0.66125202853895337</v>
      </c>
      <c r="J71" s="279">
        <v>0.66531359182701677</v>
      </c>
      <c r="K71" s="277">
        <v>0.6691553430520677</v>
      </c>
      <c r="L71" s="278">
        <v>0.67279656697758339</v>
      </c>
      <c r="M71" s="278">
        <v>0.67624962132438637</v>
      </c>
      <c r="N71" s="278">
        <v>0.67952207467044701</v>
      </c>
      <c r="O71" s="278">
        <v>0.68261805215420124</v>
      </c>
      <c r="P71" s="278">
        <v>0.68553911605519835</v>
      </c>
      <c r="Q71" s="278">
        <v>0.6882848628971252</v>
      </c>
      <c r="R71" s="278">
        <v>0.6908533418285413</v>
      </c>
      <c r="S71" s="279">
        <v>0.69324420977118761</v>
      </c>
      <c r="T71" s="277">
        <v>0.69546759018884807</v>
      </c>
      <c r="U71" s="278">
        <v>0.69753580327080578</v>
      </c>
      <c r="V71" s="278">
        <v>0.69946063779714562</v>
      </c>
      <c r="W71" s="278">
        <v>0.70125343118604355</v>
      </c>
      <c r="X71" s="278">
        <v>0.70292513194272055</v>
      </c>
      <c r="Y71" s="278">
        <v>0.70448634914496944</v>
      </c>
      <c r="Z71" s="278">
        <v>0.70594739221604108</v>
      </c>
      <c r="AA71" s="278">
        <v>0.70731830330484124</v>
      </c>
      <c r="AB71" s="279">
        <v>0.7086088839562994</v>
      </c>
      <c r="AC71" s="277">
        <v>0.70982871731154717</v>
      </c>
      <c r="AD71" s="278">
        <v>0.71098718676432082</v>
      </c>
      <c r="AE71" s="278">
        <v>0.71209349177540449</v>
      </c>
      <c r="AF71" s="278">
        <v>0.713156661383613</v>
      </c>
      <c r="AG71" s="278">
        <v>0.71418556583149095</v>
      </c>
      <c r="AH71" s="278">
        <v>0.71518892663411582</v>
      </c>
      <c r="AI71" s="278">
        <v>0.71617532535163864</v>
      </c>
      <c r="AJ71" s="278">
        <v>0.71715321127442178</v>
      </c>
      <c r="AK71" s="278">
        <v>0.71813090818972303</v>
      </c>
      <c r="AL71" s="279">
        <v>0.71911662036772872</v>
      </c>
      <c r="AM71" s="277">
        <v>0.720454280424626</v>
      </c>
      <c r="AN71" s="278">
        <v>0.72123451056036636</v>
      </c>
      <c r="AO71" s="278">
        <v>0.72197059000740205</v>
      </c>
      <c r="AP71" s="278">
        <v>0.72266417129035887</v>
      </c>
      <c r="AQ71" s="278">
        <v>0.72331682001691977</v>
      </c>
      <c r="AR71" s="278">
        <v>0.72393002110899984</v>
      </c>
      <c r="AS71" s="278">
        <v>0.72450518446070966</v>
      </c>
      <c r="AT71" s="278">
        <v>0.72504365008769001</v>
      </c>
      <c r="AU71" s="278">
        <v>0.72554669282379358</v>
      </c>
      <c r="AV71" s="279">
        <v>0.72601552661379243</v>
      </c>
      <c r="AW71" s="277">
        <v>0.72645130844461037</v>
      </c>
      <c r="AX71" s="278">
        <v>0.72685514195227541</v>
      </c>
      <c r="AY71" s="278">
        <v>0.72722808073727785</v>
      </c>
      <c r="AZ71" s="278">
        <v>0.72757113141711238</v>
      </c>
      <c r="BA71" s="278">
        <v>0.72788525644143631</v>
      </c>
      <c r="BB71" s="278">
        <v>0.72817137669235932</v>
      </c>
      <c r="BC71" s="278">
        <v>0.72843037388987175</v>
      </c>
      <c r="BD71" s="278">
        <v>0.72866309282019659</v>
      </c>
      <c r="BE71" s="278">
        <v>0.72887034340296197</v>
      </c>
      <c r="BF71" s="279">
        <v>0.72905290261138445</v>
      </c>
      <c r="BG71" s="279">
        <f t="shared" si="0"/>
        <v>0.72905290261138445</v>
      </c>
      <c r="BH71" s="237"/>
    </row>
    <row r="72" spans="1:60" x14ac:dyDescent="0.2">
      <c r="A72" s="348">
        <v>22</v>
      </c>
      <c r="B72" s="277">
        <v>0.60041676191107451</v>
      </c>
      <c r="C72" s="278">
        <v>0.60990032129311855</v>
      </c>
      <c r="D72" s="278">
        <v>0.61743113973932673</v>
      </c>
      <c r="E72" s="278">
        <v>0.62380150179592564</v>
      </c>
      <c r="F72" s="278">
        <v>0.62940901349686962</v>
      </c>
      <c r="G72" s="278">
        <v>0.63447532306214072</v>
      </c>
      <c r="H72" s="278">
        <v>0.63913366759040502</v>
      </c>
      <c r="I72" s="278">
        <v>0.64346859034709036</v>
      </c>
      <c r="J72" s="279">
        <v>0.64753577391029637</v>
      </c>
      <c r="K72" s="277">
        <v>0.65137273231189707</v>
      </c>
      <c r="L72" s="278">
        <v>0.65500495000155168</v>
      </c>
      <c r="M72" s="278">
        <v>0.65844959842479589</v>
      </c>
      <c r="N72" s="278">
        <v>0.66171789051110286</v>
      </c>
      <c r="O72" s="278">
        <v>0.66481663214564835</v>
      </c>
      <c r="P72" s="278">
        <v>0.66774928037675163</v>
      </c>
      <c r="Q72" s="278">
        <v>0.67051668750462468</v>
      </c>
      <c r="R72" s="278">
        <v>0.67311763863914742</v>
      </c>
      <c r="S72" s="279">
        <v>0.67555224772381728</v>
      </c>
      <c r="T72" s="277">
        <v>0.67783133597958667</v>
      </c>
      <c r="U72" s="278">
        <v>0.67996780125899292</v>
      </c>
      <c r="V72" s="278">
        <v>0.68197379644207345</v>
      </c>
      <c r="W72" s="278">
        <v>0.68386085002169095</v>
      </c>
      <c r="X72" s="278">
        <v>0.68563996164845575</v>
      </c>
      <c r="Y72" s="278">
        <v>0.6873216787421188</v>
      </c>
      <c r="Z72" s="278">
        <v>0.68891615858802369</v>
      </c>
      <c r="AA72" s="278">
        <v>0.69043321916456735</v>
      </c>
      <c r="AB72" s="279">
        <v>0.69188238111979461</v>
      </c>
      <c r="AC72" s="277">
        <v>0.69327290272198183</v>
      </c>
      <c r="AD72" s="278">
        <v>0.69461380917793225</v>
      </c>
      <c r="AE72" s="278">
        <v>0.69591391739530784</v>
      </c>
      <c r="AF72" s="278">
        <v>0.69718185702880131</v>
      </c>
      <c r="AG72" s="278">
        <v>0.69842608847173027</v>
      </c>
      <c r="AH72" s="278">
        <v>0.69965491831888105</v>
      </c>
      <c r="AI72" s="278">
        <v>0.70087651272204154</v>
      </c>
      <c r="AJ72" s="278">
        <v>0.70209890897860627</v>
      </c>
      <c r="AK72" s="278">
        <v>0.70333002563019587</v>
      </c>
      <c r="AL72" s="279">
        <v>0.70457767129812054</v>
      </c>
      <c r="AM72" s="277">
        <v>0.70496171520524797</v>
      </c>
      <c r="AN72" s="278">
        <v>0.70577287093578589</v>
      </c>
      <c r="AO72" s="278">
        <v>0.70653373713296785</v>
      </c>
      <c r="AP72" s="278">
        <v>0.70724600148915218</v>
      </c>
      <c r="AQ72" s="278">
        <v>0.7079112739662069</v>
      </c>
      <c r="AR72" s="278">
        <v>0.70853109177645057</v>
      </c>
      <c r="AS72" s="278">
        <v>0.70910692393985697</v>
      </c>
      <c r="AT72" s="278">
        <v>0.70964017546342717</v>
      </c>
      <c r="AU72" s="278">
        <v>0.71013219118252768</v>
      </c>
      <c r="AV72" s="279">
        <v>0.71058425929882951</v>
      </c>
      <c r="AW72" s="277">
        <v>0.71099761464515054</v>
      </c>
      <c r="AX72" s="278">
        <v>0.71137344170378769</v>
      </c>
      <c r="AY72" s="278">
        <v>0.71171287740176192</v>
      </c>
      <c r="AZ72" s="278">
        <v>0.71201701370369008</v>
      </c>
      <c r="BA72" s="278">
        <v>0.71228690002064776</v>
      </c>
      <c r="BB72" s="278">
        <v>0.71252354545135888</v>
      </c>
      <c r="BC72" s="278">
        <v>0.71272792087029835</v>
      </c>
      <c r="BD72" s="278">
        <v>0.71290096087573818</v>
      </c>
      <c r="BE72" s="278">
        <v>0.71304356560943549</v>
      </c>
      <c r="BF72" s="279">
        <v>0.713156602458483</v>
      </c>
      <c r="BG72" s="279">
        <f t="shared" si="0"/>
        <v>0.713156602458483</v>
      </c>
      <c r="BH72" s="237"/>
    </row>
    <row r="73" spans="1:60" x14ac:dyDescent="0.2">
      <c r="A73" s="348">
        <v>23</v>
      </c>
      <c r="B73" s="277">
        <v>0.58268936129900528</v>
      </c>
      <c r="C73" s="278">
        <v>0.59205081405330584</v>
      </c>
      <c r="D73" s="278">
        <v>0.59937212504568038</v>
      </c>
      <c r="E73" s="278">
        <v>0.60554034794426914</v>
      </c>
      <c r="F73" s="278">
        <v>0.61098254242525907</v>
      </c>
      <c r="G73" s="278">
        <v>0.61592711378027831</v>
      </c>
      <c r="H73" s="278">
        <v>0.62050593366081608</v>
      </c>
      <c r="I73" s="278">
        <v>0.62479947330069319</v>
      </c>
      <c r="J73" s="279">
        <v>0.62885872908579643</v>
      </c>
      <c r="K73" s="277">
        <v>0.63271671278223485</v>
      </c>
      <c r="L73" s="278">
        <v>0.6363948632834826</v>
      </c>
      <c r="M73" s="278">
        <v>0.63990682063124271</v>
      </c>
      <c r="N73" s="278">
        <v>0.64326075274697792</v>
      </c>
      <c r="O73" s="278">
        <v>0.64646084969175222</v>
      </c>
      <c r="P73" s="278">
        <v>0.64950831893623395</v>
      </c>
      <c r="Q73" s="278">
        <v>0.65240207040060771</v>
      </c>
      <c r="R73" s="278">
        <v>0.65513920219677235</v>
      </c>
      <c r="S73" s="279">
        <v>0.65771824461200912</v>
      </c>
      <c r="T73" s="277">
        <v>0.6601481815929785</v>
      </c>
      <c r="U73" s="278">
        <v>0.66244012092461457</v>
      </c>
      <c r="V73" s="278">
        <v>0.66460455677236885</v>
      </c>
      <c r="W73" s="278">
        <v>0.666651469555257</v>
      </c>
      <c r="X73" s="278">
        <v>0.66859040423353866</v>
      </c>
      <c r="Y73" s="278">
        <v>0.67043053252186835</v>
      </c>
      <c r="Z73" s="278">
        <v>0.67218070294748777</v>
      </c>
      <c r="AA73" s="278">
        <v>0.67384948158669089</v>
      </c>
      <c r="AB73" s="279">
        <v>0.67544518555863275</v>
      </c>
      <c r="AC73" s="277">
        <v>0.67697591082369157</v>
      </c>
      <c r="AD73" s="278">
        <v>0.67844955545296726</v>
      </c>
      <c r="AE73" s="278">
        <v>0.67987383925935219</v>
      </c>
      <c r="AF73" s="278">
        <v>0.68125632047763318</v>
      </c>
      <c r="AG73" s="278">
        <v>0.68260441003009542</v>
      </c>
      <c r="AH73" s="278">
        <v>0.68392538380047274</v>
      </c>
      <c r="AI73" s="278">
        <v>0.68522639325266821</v>
      </c>
      <c r="AJ73" s="278">
        <v>0.68651447466425775</v>
      </c>
      <c r="AK73" s="278">
        <v>0.68779655719328225</v>
      </c>
      <c r="AL73" s="279">
        <v>0.68907946995650049</v>
      </c>
      <c r="AM73" s="277">
        <v>0.68935215563745711</v>
      </c>
      <c r="AN73" s="278">
        <v>0.69019029688939237</v>
      </c>
      <c r="AO73" s="278">
        <v>0.6909714233139389</v>
      </c>
      <c r="AP73" s="278">
        <v>0.69169730432454368</v>
      </c>
      <c r="AQ73" s="278">
        <v>0.69236963828027875</v>
      </c>
      <c r="AR73" s="278">
        <v>0.6929900563721676</v>
      </c>
      <c r="AS73" s="278">
        <v>0.69356012622666652</v>
      </c>
      <c r="AT73" s="278">
        <v>0.69408135525335601</v>
      </c>
      <c r="AU73" s="278">
        <v>0.69455519376053387</v>
      </c>
      <c r="AV73" s="279">
        <v>0.69498303785953175</v>
      </c>
      <c r="AW73" s="277">
        <v>0.6953662321761912</v>
      </c>
      <c r="AX73" s="278">
        <v>0.69570607238585203</v>
      </c>
      <c r="AY73" s="278">
        <v>0.69600380758645686</v>
      </c>
      <c r="AZ73" s="278">
        <v>0.6962606425228528</v>
      </c>
      <c r="BA73" s="278">
        <v>0.69647773967402915</v>
      </c>
      <c r="BB73" s="278">
        <v>0.69665622121388859</v>
      </c>
      <c r="BC73" s="278">
        <v>0.69679717085513371</v>
      </c>
      <c r="BD73" s="278">
        <v>0.69690163558494056</v>
      </c>
      <c r="BE73" s="278">
        <v>0.69697062730031856</v>
      </c>
      <c r="BF73" s="279">
        <v>0.69700512435034134</v>
      </c>
      <c r="BG73" s="279">
        <f t="shared" si="0"/>
        <v>0.69700512435034134</v>
      </c>
      <c r="BH73" s="237"/>
    </row>
    <row r="74" spans="1:60" x14ac:dyDescent="0.2">
      <c r="A74" s="349">
        <v>24</v>
      </c>
      <c r="B74" s="281">
        <v>0.56579797375647456</v>
      </c>
      <c r="C74" s="282">
        <v>0.57514682669929296</v>
      </c>
      <c r="D74" s="282">
        <v>0.58237601237809722</v>
      </c>
      <c r="E74" s="282">
        <v>0.58845303541367922</v>
      </c>
      <c r="F74" s="282">
        <v>0.59382725427883609</v>
      </c>
      <c r="G74" s="282">
        <v>0.59873051236990704</v>
      </c>
      <c r="H74" s="282">
        <v>0.60329208467990381</v>
      </c>
      <c r="I74" s="282">
        <v>0.60758829173564033</v>
      </c>
      <c r="J74" s="283">
        <v>0.61166600496465939</v>
      </c>
      <c r="K74" s="281">
        <v>0.61555464760160572</v>
      </c>
      <c r="L74" s="282">
        <v>0.61927271521469252</v>
      </c>
      <c r="M74" s="282">
        <v>0.62283151257209857</v>
      </c>
      <c r="N74" s="282">
        <v>0.62623739795344036</v>
      </c>
      <c r="O74" s="282">
        <v>0.62949318894196671</v>
      </c>
      <c r="P74" s="282">
        <v>0.63259907741580079</v>
      </c>
      <c r="Q74" s="282">
        <v>0.63555324654209444</v>
      </c>
      <c r="R74" s="282">
        <v>0.63835230072391036</v>
      </c>
      <c r="S74" s="283">
        <v>0.64099420770407944</v>
      </c>
      <c r="T74" s="281">
        <v>0.64348650910962824</v>
      </c>
      <c r="U74" s="282">
        <v>0.64583872524118302</v>
      </c>
      <c r="V74" s="282">
        <v>0.64805985039459857</v>
      </c>
      <c r="W74" s="282">
        <v>0.65015843413514596</v>
      </c>
      <c r="X74" s="282">
        <v>0.65214264458197724</v>
      </c>
      <c r="Y74" s="282">
        <v>0.65402031850238751</v>
      </c>
      <c r="Z74" s="282">
        <v>0.65579900156625714</v>
      </c>
      <c r="AA74" s="282">
        <v>0.65748598114013124</v>
      </c>
      <c r="AB74" s="283">
        <v>0.65908831333858853</v>
      </c>
      <c r="AC74" s="281">
        <v>0.66061284559204325</v>
      </c>
      <c r="AD74" s="282">
        <v>0.66206623566759293</v>
      </c>
      <c r="AE74" s="282">
        <v>0.66345496784928137</v>
      </c>
      <c r="AF74" s="282">
        <v>0.6647853668175292</v>
      </c>
      <c r="AG74" s="282">
        <v>0.666063609645278</v>
      </c>
      <c r="AH74" s="282">
        <v>0.66729573623766536</v>
      </c>
      <c r="AI74" s="282">
        <v>0.66848765847385028</v>
      </c>
      <c r="AJ74" s="282">
        <v>0.66964516825776121</v>
      </c>
      <c r="AK74" s="282">
        <v>0.67077394464471862</v>
      </c>
      <c r="AL74" s="283">
        <v>0.67187956017992934</v>
      </c>
      <c r="AM74" s="281">
        <v>0.67268668176743351</v>
      </c>
      <c r="AN74" s="282">
        <v>0.67352763976119667</v>
      </c>
      <c r="AO74" s="282">
        <v>0.67431312209991645</v>
      </c>
      <c r="AP74" s="282">
        <v>0.67504493101303686</v>
      </c>
      <c r="AQ74" s="282">
        <v>0.67572479101427141</v>
      </c>
      <c r="AR74" s="282">
        <v>0.67635435351725748</v>
      </c>
      <c r="AS74" s="282">
        <v>0.67693520108732319</v>
      </c>
      <c r="AT74" s="282">
        <v>0.67746885136624413</v>
      </c>
      <c r="AU74" s="282">
        <v>0.67795676070217747</v>
      </c>
      <c r="AV74" s="283">
        <v>0.67840032751299872</v>
      </c>
      <c r="AW74" s="281">
        <v>0.67880089540791977</v>
      </c>
      <c r="AX74" s="282">
        <v>0.67915975608936563</v>
      </c>
      <c r="AY74" s="282">
        <v>0.67947815205463913</v>
      </c>
      <c r="AZ74" s="282">
        <v>0.67975727911474559</v>
      </c>
      <c r="BA74" s="282">
        <v>0.67999828874590729</v>
      </c>
      <c r="BB74" s="282">
        <v>0.68020229028768275</v>
      </c>
      <c r="BC74" s="282">
        <v>0.68037035300018511</v>
      </c>
      <c r="BD74" s="282">
        <v>0.68050350799165726</v>
      </c>
      <c r="BE74" s="282">
        <v>0.68060275002657311</v>
      </c>
      <c r="BF74" s="283">
        <v>0.68066903922345956</v>
      </c>
      <c r="BG74" s="283">
        <f t="shared" si="0"/>
        <v>0.68066903922345956</v>
      </c>
      <c r="BH74" s="237"/>
    </row>
    <row r="75" spans="1:60" x14ac:dyDescent="0.2">
      <c r="A75" s="348">
        <v>25</v>
      </c>
      <c r="B75" s="284">
        <v>0.54878993506537921</v>
      </c>
      <c r="C75" s="285">
        <v>0.55815356533166804</v>
      </c>
      <c r="D75" s="285">
        <v>0.56525296133644221</v>
      </c>
      <c r="E75" s="285">
        <v>0.57117753494173795</v>
      </c>
      <c r="F75" s="285">
        <v>0.57641701635809872</v>
      </c>
      <c r="G75" s="285">
        <v>0.58121490987519087</v>
      </c>
      <c r="H75" s="285">
        <v>0.58570164097927202</v>
      </c>
      <c r="I75" s="285">
        <v>0.58995098731032258</v>
      </c>
      <c r="J75" s="286">
        <v>0.59400625261135509</v>
      </c>
      <c r="K75" s="284">
        <v>0.59789331294609793</v>
      </c>
      <c r="L75" s="285">
        <v>0.60162751848989571</v>
      </c>
      <c r="M75" s="285">
        <v>0.60521753533246303</v>
      </c>
      <c r="N75" s="285">
        <v>0.60866758198909521</v>
      </c>
      <c r="O75" s="285">
        <v>0.61197878536921446</v>
      </c>
      <c r="P75" s="285">
        <v>0.61515003454368078</v>
      </c>
      <c r="Q75" s="285">
        <v>0.61817853795846867</v>
      </c>
      <c r="R75" s="285">
        <v>0.62106019990807793</v>
      </c>
      <c r="S75" s="286">
        <v>0.62379219406750386</v>
      </c>
      <c r="T75" s="284">
        <v>0.62638016153811193</v>
      </c>
      <c r="U75" s="285">
        <v>0.62883154250459705</v>
      </c>
      <c r="V75" s="285">
        <v>0.63115336819765255</v>
      </c>
      <c r="W75" s="285">
        <v>0.63335232194059876</v>
      </c>
      <c r="X75" s="285">
        <v>0.6354347857500855</v>
      </c>
      <c r="Y75" s="285">
        <v>0.63740687667789198</v>
      </c>
      <c r="Z75" s="285">
        <v>0.63927447572702578</v>
      </c>
      <c r="AA75" s="285">
        <v>0.64104325129193085</v>
      </c>
      <c r="AB75" s="286">
        <v>0.64271867848678355</v>
      </c>
      <c r="AC75" s="284">
        <v>0.64430605533131913</v>
      </c>
      <c r="AD75" s="285">
        <v>0.64581051649402843</v>
      </c>
      <c r="AE75" s="285">
        <v>0.64723704510569391</v>
      </c>
      <c r="AF75" s="285">
        <v>0.64859048302493216</v>
      </c>
      <c r="AG75" s="285">
        <v>0.64987553984392099</v>
      </c>
      <c r="AH75" s="285">
        <v>0.65109680085503341</v>
      </c>
      <c r="AI75" s="285">
        <v>0.65225873414983082</v>
      </c>
      <c r="AJ75" s="285">
        <v>0.65336569698538971</v>
      </c>
      <c r="AK75" s="285">
        <v>0.65442194152561783</v>
      </c>
      <c r="AL75" s="286">
        <v>0.65543162004449607</v>
      </c>
      <c r="AM75" s="287">
        <v>0.65650082217206651</v>
      </c>
      <c r="AN75" s="288">
        <v>0.65735587315622657</v>
      </c>
      <c r="AO75" s="288">
        <v>0.65815330728173649</v>
      </c>
      <c r="AP75" s="288">
        <v>0.65889496429411254</v>
      </c>
      <c r="AQ75" s="288">
        <v>0.65958260728104479</v>
      </c>
      <c r="AR75" s="288">
        <v>0.66021792704330007</v>
      </c>
      <c r="AS75" s="288">
        <v>0.66080254613532929</v>
      </c>
      <c r="AT75" s="288">
        <v>0.66133802260779762</v>
      </c>
      <c r="AU75" s="288">
        <v>0.6618258534802558</v>
      </c>
      <c r="AV75" s="289">
        <v>0.66226747796881047</v>
      </c>
      <c r="AW75" s="287">
        <v>0.66266428049077786</v>
      </c>
      <c r="AX75" s="288">
        <v>0.66301759346583378</v>
      </c>
      <c r="AY75" s="288">
        <v>0.6633286999310517</v>
      </c>
      <c r="AZ75" s="288">
        <v>0.66359883598538549</v>
      </c>
      <c r="BA75" s="288">
        <v>0.66382919307754173</v>
      </c>
      <c r="BB75" s="288">
        <v>0.66402092014978764</v>
      </c>
      <c r="BC75" s="288">
        <v>0.66417512564901959</v>
      </c>
      <c r="BD75" s="288">
        <v>0.66429287941530968</v>
      </c>
      <c r="BE75" s="288">
        <v>0.66437521445721459</v>
      </c>
      <c r="BF75" s="289">
        <v>0.66442312862226727</v>
      </c>
      <c r="BG75" s="289">
        <f t="shared" si="0"/>
        <v>0.66442312862226727</v>
      </c>
      <c r="BH75" s="237"/>
    </row>
    <row r="76" spans="1:60" x14ac:dyDescent="0.2">
      <c r="A76" s="348">
        <v>26</v>
      </c>
      <c r="B76" s="277">
        <v>0.53169394696204131</v>
      </c>
      <c r="C76" s="278">
        <v>0.54165077511453652</v>
      </c>
      <c r="D76" s="278">
        <v>0.54858408014706928</v>
      </c>
      <c r="E76" s="278">
        <v>0.55414245023909625</v>
      </c>
      <c r="F76" s="278">
        <v>0.5590166873850908</v>
      </c>
      <c r="G76" s="278">
        <v>0.5635194810153572</v>
      </c>
      <c r="H76" s="278">
        <v>0.56779904550332316</v>
      </c>
      <c r="I76" s="278">
        <v>0.57192676792675667</v>
      </c>
      <c r="J76" s="279">
        <v>0.57593618035437899</v>
      </c>
      <c r="K76" s="277">
        <v>0.5798413917754095</v>
      </c>
      <c r="L76" s="278">
        <v>0.58364623228103518</v>
      </c>
      <c r="M76" s="278">
        <v>0.58734896043230289</v>
      </c>
      <c r="N76" s="278">
        <v>0.59094475580856032</v>
      </c>
      <c r="O76" s="278">
        <v>0.59442706637777332</v>
      </c>
      <c r="P76" s="278">
        <v>0.59778834713360507</v>
      </c>
      <c r="Q76" s="278">
        <v>0.60102046828420519</v>
      </c>
      <c r="R76" s="278">
        <v>0.60411494140644395</v>
      </c>
      <c r="S76" s="279">
        <v>0.60706505187735293</v>
      </c>
      <c r="T76" s="277">
        <v>0.60987202370338522</v>
      </c>
      <c r="U76" s="278">
        <v>0.61253915237638212</v>
      </c>
      <c r="V76" s="278">
        <v>0.61506981216520407</v>
      </c>
      <c r="W76" s="278">
        <v>0.61746744340324755</v>
      </c>
      <c r="X76" s="278">
        <v>0.61973553677501358</v>
      </c>
      <c r="Y76" s="278">
        <v>0.62187761709866352</v>
      </c>
      <c r="Z76" s="278">
        <v>0.62389722791642177</v>
      </c>
      <c r="AA76" s="278">
        <v>0.62579791752198</v>
      </c>
      <c r="AB76" s="279">
        <v>0.62758322666570232</v>
      </c>
      <c r="AC76" s="277">
        <v>0.62925667796310669</v>
      </c>
      <c r="AD76" s="278">
        <v>0.6308217669184828</v>
      </c>
      <c r="AE76" s="278">
        <v>0.63228195442114776</v>
      </c>
      <c r="AF76" s="278">
        <v>0.63364066055158963</v>
      </c>
      <c r="AG76" s="278">
        <v>0.63490125953354704</v>
      </c>
      <c r="AH76" s="278">
        <v>0.63606707567688603</v>
      </c>
      <c r="AI76" s="278">
        <v>0.63714138016985666</v>
      </c>
      <c r="AJ76" s="278">
        <v>0.63812738859471796</v>
      </c>
      <c r="AK76" s="278">
        <v>0.63902825905621508</v>
      </c>
      <c r="AL76" s="279">
        <v>0.63984709082700764</v>
      </c>
      <c r="AM76" s="277">
        <v>0.64161365251306113</v>
      </c>
      <c r="AN76" s="278">
        <v>0.64246697348588711</v>
      </c>
      <c r="AO76" s="278">
        <v>0.64325367043601267</v>
      </c>
      <c r="AP76" s="278">
        <v>0.64397568599710087</v>
      </c>
      <c r="AQ76" s="278">
        <v>0.64463489691837339</v>
      </c>
      <c r="AR76" s="278">
        <v>0.64523311682274542</v>
      </c>
      <c r="AS76" s="278">
        <v>0.64577209883200171</v>
      </c>
      <c r="AT76" s="278">
        <v>0.64625353806578456</v>
      </c>
      <c r="AU76" s="278">
        <v>0.64667907402077651</v>
      </c>
      <c r="AV76" s="279">
        <v>0.64705029283609572</v>
      </c>
      <c r="AW76" s="277">
        <v>0.6473687294506405</v>
      </c>
      <c r="AX76" s="278">
        <v>0.64763586965782249</v>
      </c>
      <c r="AY76" s="278">
        <v>0.6478531520628954</v>
      </c>
      <c r="AZ76" s="278">
        <v>0.64802196994781835</v>
      </c>
      <c r="BA76" s="278">
        <v>0.64814367304838028</v>
      </c>
      <c r="BB76" s="278">
        <v>0.64821956924805924</v>
      </c>
      <c r="BC76" s="278">
        <v>0.64825092619292268</v>
      </c>
      <c r="BD76" s="278">
        <v>0.64823897283158771</v>
      </c>
      <c r="BE76" s="278">
        <v>0.64818490088414149</v>
      </c>
      <c r="BF76" s="279">
        <v>0.64808986624366227</v>
      </c>
      <c r="BG76" s="279">
        <f t="shared" si="0"/>
        <v>0.64808986624366227</v>
      </c>
      <c r="BH76" s="237"/>
    </row>
    <row r="77" spans="1:60" x14ac:dyDescent="0.2">
      <c r="A77" s="348">
        <v>27</v>
      </c>
      <c r="B77" s="277">
        <v>0.51632513045930017</v>
      </c>
      <c r="C77" s="278">
        <v>0.52521948075483316</v>
      </c>
      <c r="D77" s="278">
        <v>0.53185068047532469</v>
      </c>
      <c r="E77" s="278">
        <v>0.53739343094112579</v>
      </c>
      <c r="F77" s="278">
        <v>0.54234921005689796</v>
      </c>
      <c r="G77" s="278">
        <v>0.54695234984374885</v>
      </c>
      <c r="H77" s="278">
        <v>0.5513194600454443</v>
      </c>
      <c r="I77" s="278">
        <v>0.55551098415167821</v>
      </c>
      <c r="J77" s="279">
        <v>0.55955881370879434</v>
      </c>
      <c r="K77" s="277">
        <v>0.56347952910976873</v>
      </c>
      <c r="L77" s="278">
        <v>0.56728109744294453</v>
      </c>
      <c r="M77" s="278">
        <v>0.57096641368831003</v>
      </c>
      <c r="N77" s="278">
        <v>0.57453524474736961</v>
      </c>
      <c r="O77" s="278">
        <v>0.57798533277783193</v>
      </c>
      <c r="P77" s="278">
        <v>0.58131304106421633</v>
      </c>
      <c r="Q77" s="278">
        <v>0.58451374382055377</v>
      </c>
      <c r="R77" s="278">
        <v>0.58758206911500299</v>
      </c>
      <c r="S77" s="279">
        <v>0.590513851740191</v>
      </c>
      <c r="T77" s="277">
        <v>0.59331169416804574</v>
      </c>
      <c r="U77" s="278">
        <v>0.59597976002320119</v>
      </c>
      <c r="V77" s="278">
        <v>0.59852202797708132</v>
      </c>
      <c r="W77" s="278">
        <v>0.60094231271235099</v>
      </c>
      <c r="X77" s="278">
        <v>0.60324427926585034</v>
      </c>
      <c r="Y77" s="278">
        <v>0.60543145332305004</v>
      </c>
      <c r="Z77" s="278">
        <v>0.60750722903476351</v>
      </c>
      <c r="AA77" s="278">
        <v>0.60947487531609323</v>
      </c>
      <c r="AB77" s="279">
        <v>0.61133754121295314</v>
      </c>
      <c r="AC77" s="277">
        <v>0.61309826069064743</v>
      </c>
      <c r="AD77" s="278">
        <v>0.61475995705662179</v>
      </c>
      <c r="AE77" s="278">
        <v>0.6163254471417926</v>
      </c>
      <c r="AF77" s="278">
        <v>0.61779744531121072</v>
      </c>
      <c r="AG77" s="278">
        <v>0.61917856734234678</v>
      </c>
      <c r="AH77" s="278">
        <v>0.62047133419002032</v>
      </c>
      <c r="AI77" s="278">
        <v>0.62167817564593408</v>
      </c>
      <c r="AJ77" s="278">
        <v>0.62280143389474074</v>
      </c>
      <c r="AK77" s="278">
        <v>0.62384336696561993</v>
      </c>
      <c r="AL77" s="279">
        <v>0.62480615207718726</v>
      </c>
      <c r="AM77" s="277">
        <v>0.62582833450424979</v>
      </c>
      <c r="AN77" s="278">
        <v>0.62668269193951665</v>
      </c>
      <c r="AO77" s="278">
        <v>0.62746929942231766</v>
      </c>
      <c r="AP77" s="278">
        <v>0.62819015569950409</v>
      </c>
      <c r="AQ77" s="278">
        <v>0.6288471912637984</v>
      </c>
      <c r="AR77" s="278">
        <v>0.62944227120975926</v>
      </c>
      <c r="AS77" s="278">
        <v>0.62997719795593166</v>
      </c>
      <c r="AT77" s="278">
        <v>0.63045371383895776</v>
      </c>
      <c r="AU77" s="278">
        <v>0.63087350358530081</v>
      </c>
      <c r="AV77" s="279">
        <v>0.63123819666614511</v>
      </c>
      <c r="AW77" s="277">
        <v>0.63154936954088814</v>
      </c>
      <c r="AX77" s="278">
        <v>0.63180854779450679</v>
      </c>
      <c r="AY77" s="278">
        <v>0.63201720817390794</v>
      </c>
      <c r="AZ77" s="278">
        <v>0.63217678052821924</v>
      </c>
      <c r="BA77" s="278">
        <v>0.63228864965776033</v>
      </c>
      <c r="BB77" s="278">
        <v>0.63235415707628384</v>
      </c>
      <c r="BC77" s="278">
        <v>0.63237460269086132</v>
      </c>
      <c r="BD77" s="278">
        <v>0.63235124640359419</v>
      </c>
      <c r="BE77" s="278">
        <v>0.63228530963915197</v>
      </c>
      <c r="BF77" s="279">
        <v>0.63217797680193633</v>
      </c>
      <c r="BG77" s="279">
        <f t="shared" si="0"/>
        <v>0.63217797680193633</v>
      </c>
      <c r="BH77" s="237"/>
    </row>
    <row r="78" spans="1:60" x14ac:dyDescent="0.2">
      <c r="A78" s="348">
        <v>28</v>
      </c>
      <c r="B78" s="277">
        <v>0.50201795613916256</v>
      </c>
      <c r="C78" s="278">
        <v>0.51004304317774685</v>
      </c>
      <c r="D78" s="278">
        <v>0.51630269938631024</v>
      </c>
      <c r="E78" s="278">
        <v>0.52170741264856624</v>
      </c>
      <c r="F78" s="278">
        <v>0.52663886631725154</v>
      </c>
      <c r="G78" s="278">
        <v>0.53127279006526895</v>
      </c>
      <c r="H78" s="278">
        <v>0.53569563647540064</v>
      </c>
      <c r="I78" s="278">
        <v>0.53995186405660167</v>
      </c>
      <c r="J78" s="279">
        <v>0.54406482020237534</v>
      </c>
      <c r="K78" s="277">
        <v>0.54804660441319542</v>
      </c>
      <c r="L78" s="278">
        <v>0.55190298567021112</v>
      </c>
      <c r="M78" s="278">
        <v>0.55563596725162478</v>
      </c>
      <c r="N78" s="278">
        <v>0.55924517822099984</v>
      </c>
      <c r="O78" s="278">
        <v>0.56272865629180946</v>
      </c>
      <c r="P78" s="278">
        <v>0.56608330438749133</v>
      </c>
      <c r="Q78" s="278">
        <v>0.56930516723510893</v>
      </c>
      <c r="R78" s="278">
        <v>0.57238960619896051</v>
      </c>
      <c r="S78" s="279">
        <v>0.57533316057228956</v>
      </c>
      <c r="T78" s="277">
        <v>0.57813893223100854</v>
      </c>
      <c r="U78" s="278">
        <v>0.58081151703982548</v>
      </c>
      <c r="V78" s="278">
        <v>0.58335530133237312</v>
      </c>
      <c r="W78" s="278">
        <v>0.5857744787833874</v>
      </c>
      <c r="X78" s="278">
        <v>0.58807306319392716</v>
      </c>
      <c r="Y78" s="278">
        <v>0.59025489878533499</v>
      </c>
      <c r="Z78" s="278">
        <v>0.59232366894780952</v>
      </c>
      <c r="AA78" s="278">
        <v>0.59428290400321748</v>
      </c>
      <c r="AB78" s="279">
        <v>0.59613598831141479</v>
      </c>
      <c r="AC78" s="277">
        <v>0.59788616691197882</v>
      </c>
      <c r="AD78" s="278">
        <v>0.59953655181168197</v>
      </c>
      <c r="AE78" s="278">
        <v>0.60109012798003669</v>
      </c>
      <c r="AF78" s="278">
        <v>0.60254975908750275</v>
      </c>
      <c r="AG78" s="278">
        <v>0.6039181930053048</v>
      </c>
      <c r="AH78" s="278">
        <v>0.60519806707741097</v>
      </c>
      <c r="AI78" s="278">
        <v>0.60639191317105745</v>
      </c>
      <c r="AJ78" s="278">
        <v>0.60750216251043931</v>
      </c>
      <c r="AK78" s="278">
        <v>0.60853115029776539</v>
      </c>
      <c r="AL78" s="279">
        <v>0.60948112012612377</v>
      </c>
      <c r="AM78" s="277">
        <v>0.61039935941858325</v>
      </c>
      <c r="AN78" s="278">
        <v>0.61122371715324209</v>
      </c>
      <c r="AO78" s="278">
        <v>0.61197972237520748</v>
      </c>
      <c r="AP78" s="278">
        <v>0.61266946163630343</v>
      </c>
      <c r="AQ78" s="278">
        <v>0.61329494718188904</v>
      </c>
      <c r="AR78" s="278">
        <v>0.61385812023243824</v>
      </c>
      <c r="AS78" s="278">
        <v>0.6143608540994292</v>
      </c>
      <c r="AT78" s="278">
        <v>0.61480495714353356</v>
      </c>
      <c r="AU78" s="278">
        <v>0.61519217558294037</v>
      </c>
      <c r="AV78" s="279">
        <v>0.61552419615943654</v>
      </c>
      <c r="AW78" s="277">
        <v>0.61580264866964551</v>
      </c>
      <c r="AX78" s="278">
        <v>0.61602910836852476</v>
      </c>
      <c r="AY78" s="278">
        <v>0.61620509825197189</v>
      </c>
      <c r="AZ78" s="278">
        <v>0.61633209122506094</v>
      </c>
      <c r="BA78" s="278">
        <v>0.61641151216214762</v>
      </c>
      <c r="BB78" s="278">
        <v>0.61644473986476367</v>
      </c>
      <c r="BC78" s="278">
        <v>0.61643310892292513</v>
      </c>
      <c r="BD78" s="278">
        <v>0.61637791148518661</v>
      </c>
      <c r="BE78" s="278">
        <v>0.61628039894246744</v>
      </c>
      <c r="BF78" s="279">
        <v>0.61614178353043869</v>
      </c>
      <c r="BG78" s="279">
        <f t="shared" si="0"/>
        <v>0.61614178353043869</v>
      </c>
      <c r="BH78" s="237"/>
    </row>
    <row r="79" spans="1:60" x14ac:dyDescent="0.2">
      <c r="A79" s="348">
        <v>29</v>
      </c>
      <c r="B79" s="277">
        <v>0.48658777434526534</v>
      </c>
      <c r="C79" s="278">
        <v>0.49514905549310545</v>
      </c>
      <c r="D79" s="278">
        <v>0.50141257314312238</v>
      </c>
      <c r="E79" s="278">
        <v>0.50665078687641374</v>
      </c>
      <c r="F79" s="278">
        <v>0.5113836455357873</v>
      </c>
      <c r="G79" s="278">
        <v>0.51583991885635705</v>
      </c>
      <c r="H79" s="278">
        <v>0.52012424658049805</v>
      </c>
      <c r="I79" s="278">
        <v>0.52428452160603722</v>
      </c>
      <c r="J79" s="279">
        <v>0.52834133338700384</v>
      </c>
      <c r="K79" s="277">
        <v>0.53230163255119123</v>
      </c>
      <c r="L79" s="278">
        <v>0.53616536755080868</v>
      </c>
      <c r="M79" s="278">
        <v>0.53992881814924076</v>
      </c>
      <c r="N79" s="278">
        <v>0.54358630960686172</v>
      </c>
      <c r="O79" s="278">
        <v>0.54713110683233468</v>
      </c>
      <c r="P79" s="278">
        <v>0.55055588319686244</v>
      </c>
      <c r="Q79" s="278">
        <v>0.55385296523037386</v>
      </c>
      <c r="R79" s="278">
        <v>0.5570144583810237</v>
      </c>
      <c r="S79" s="279">
        <v>0.56003421839004131</v>
      </c>
      <c r="T79" s="277">
        <v>0.562913685276898</v>
      </c>
      <c r="U79" s="278">
        <v>0.56565629628909597</v>
      </c>
      <c r="V79" s="278">
        <v>0.56826557814618051</v>
      </c>
      <c r="W79" s="278">
        <v>0.57074512520643672</v>
      </c>
      <c r="X79" s="278">
        <v>0.57309857838523037</v>
      </c>
      <c r="Y79" s="278">
        <v>0.5753296059628904</v>
      </c>
      <c r="Z79" s="278">
        <v>0.577441886718986</v>
      </c>
      <c r="AA79" s="278">
        <v>0.5794390954553571</v>
      </c>
      <c r="AB79" s="279">
        <v>0.58132489078033656</v>
      </c>
      <c r="AC79" s="277">
        <v>0.58310290494009487</v>
      </c>
      <c r="AD79" s="278">
        <v>0.5847767354537059</v>
      </c>
      <c r="AE79" s="278">
        <v>0.5863499383095675</v>
      </c>
      <c r="AF79" s="278">
        <v>0.58782602249714433</v>
      </c>
      <c r="AG79" s="278">
        <v>0.58920844567091568</v>
      </c>
      <c r="AH79" s="278">
        <v>0.5905006107681795</v>
      </c>
      <c r="AI79" s="278">
        <v>0.59170586342653475</v>
      </c>
      <c r="AJ79" s="278">
        <v>0.59282749006906055</v>
      </c>
      <c r="AK79" s="278">
        <v>0.59386871654508</v>
      </c>
      <c r="AL79" s="279">
        <v>0.59483270723171866</v>
      </c>
      <c r="AM79" s="277">
        <v>0.59583745695615598</v>
      </c>
      <c r="AN79" s="278">
        <v>0.59664673131129387</v>
      </c>
      <c r="AO79" s="278">
        <v>0.59738038391802539</v>
      </c>
      <c r="AP79" s="278">
        <v>0.59804053324423978</v>
      </c>
      <c r="AQ79" s="278">
        <v>0.59862923854885874</v>
      </c>
      <c r="AR79" s="278">
        <v>0.59914850131182074</v>
      </c>
      <c r="AS79" s="278">
        <v>0.59960026670412059</v>
      </c>
      <c r="AT79" s="278">
        <v>0.59998642508117239</v>
      </c>
      <c r="AU79" s="278">
        <v>0.60030881348591969</v>
      </c>
      <c r="AV79" s="279">
        <v>0.60056921715066813</v>
      </c>
      <c r="AW79" s="277">
        <v>0.60076937098882521</v>
      </c>
      <c r="AX79" s="278">
        <v>0.60091096106949404</v>
      </c>
      <c r="AY79" s="278">
        <v>0.60099562606935863</v>
      </c>
      <c r="AZ79" s="278">
        <v>0.60102495869754358</v>
      </c>
      <c r="BA79" s="278">
        <v>0.6010005070901322</v>
      </c>
      <c r="BB79" s="278">
        <v>0.6009237761718712</v>
      </c>
      <c r="BC79" s="278">
        <v>0.60079622898329732</v>
      </c>
      <c r="BD79" s="278">
        <v>0.60061928797205899</v>
      </c>
      <c r="BE79" s="278">
        <v>0.60039433624769956</v>
      </c>
      <c r="BF79" s="279">
        <v>0.60012271879954115</v>
      </c>
      <c r="BG79" s="279">
        <f t="shared" si="0"/>
        <v>0.60012271879954115</v>
      </c>
      <c r="BH79" s="237"/>
    </row>
    <row r="80" spans="1:60" ht="13.5" thickBot="1" x14ac:dyDescent="0.25">
      <c r="A80" s="350">
        <v>30</v>
      </c>
      <c r="B80" s="294">
        <v>0.47171498130579304</v>
      </c>
      <c r="C80" s="295">
        <v>0.48027442164396889</v>
      </c>
      <c r="D80" s="295">
        <v>0.48668612192668109</v>
      </c>
      <c r="E80" s="295">
        <v>0.49209973615109653</v>
      </c>
      <c r="F80" s="295">
        <v>0.49699436475391673</v>
      </c>
      <c r="G80" s="295">
        <v>0.50158659528865535</v>
      </c>
      <c r="H80" s="295">
        <v>0.50597931040980137</v>
      </c>
      <c r="I80" s="295">
        <v>0.51022229681077824</v>
      </c>
      <c r="J80" s="296">
        <v>0.51433905972308314</v>
      </c>
      <c r="K80" s="294">
        <v>0.5183394658008833</v>
      </c>
      <c r="L80" s="295">
        <v>0.5222260092991492</v>
      </c>
      <c r="M80" s="295">
        <v>0.52599704357872001</v>
      </c>
      <c r="N80" s="295">
        <v>0.52964850186093027</v>
      </c>
      <c r="O80" s="295">
        <v>0.53317483804608223</v>
      </c>
      <c r="P80" s="295">
        <v>0.53656955295241027</v>
      </c>
      <c r="Q80" s="295">
        <v>0.53982549502672905</v>
      </c>
      <c r="R80" s="295">
        <v>0.54293503616779282</v>
      </c>
      <c r="S80" s="296">
        <v>0.54589251804571781</v>
      </c>
      <c r="T80" s="294">
        <v>0.54870143697036722</v>
      </c>
      <c r="U80" s="295">
        <v>0.5513676210517835</v>
      </c>
      <c r="V80" s="295">
        <v>0.55389691468534996</v>
      </c>
      <c r="W80" s="295">
        <v>0.55629517210847501</v>
      </c>
      <c r="X80" s="295">
        <v>0.55856824854118969</v>
      </c>
      <c r="Y80" s="295">
        <v>0.56072199063750738</v>
      </c>
      <c r="Z80" s="295">
        <v>0.56276222717493751</v>
      </c>
      <c r="AA80" s="295">
        <v>0.56469476044712275</v>
      </c>
      <c r="AB80" s="296">
        <v>0.56652535855959041</v>
      </c>
      <c r="AC80" s="294">
        <v>0.56825974867990692</v>
      </c>
      <c r="AD80" s="295">
        <v>0.56990361121323474</v>
      </c>
      <c r="AE80" s="295">
        <v>0.57146257483411034</v>
      </c>
      <c r="AF80" s="295">
        <v>0.57294221228826536</v>
      </c>
      <c r="AG80" s="295">
        <v>0.57434803687444846</v>
      </c>
      <c r="AH80" s="295">
        <v>0.57568549951940928</v>
      </c>
      <c r="AI80" s="295">
        <v>0.57695998636600687</v>
      </c>
      <c r="AJ80" s="295">
        <v>0.57817681680263122</v>
      </c>
      <c r="AK80" s="295">
        <v>0.57934124187068214</v>
      </c>
      <c r="AL80" s="296">
        <v>0.58045844299506244</v>
      </c>
      <c r="AM80" s="294">
        <v>0.58097111033457927</v>
      </c>
      <c r="AN80" s="295">
        <v>0.58174457984511652</v>
      </c>
      <c r="AO80" s="295">
        <v>0.58244074552417779</v>
      </c>
      <c r="AP80" s="295">
        <v>0.58306174827151802</v>
      </c>
      <c r="AQ80" s="295">
        <v>0.58360967277101594</v>
      </c>
      <c r="AR80" s="295">
        <v>0.58408654853159536</v>
      </c>
      <c r="AS80" s="295">
        <v>0.58449435100920755</v>
      </c>
      <c r="AT80" s="295">
        <v>0.58483500278858525</v>
      </c>
      <c r="AU80" s="295">
        <v>0.58511037480717099</v>
      </c>
      <c r="AV80" s="296">
        <v>0.58532228760669602</v>
      </c>
      <c r="AW80" s="294">
        <v>0.58547251260045896</v>
      </c>
      <c r="AX80" s="295">
        <v>0.5855627733465314</v>
      </c>
      <c r="AY80" s="295">
        <v>0.58559474681891222</v>
      </c>
      <c r="AZ80" s="295">
        <v>0.58557006467015504</v>
      </c>
      <c r="BA80" s="295">
        <v>0.58549031448027145</v>
      </c>
      <c r="BB80" s="295">
        <v>0.58535704098773811</v>
      </c>
      <c r="BC80" s="295">
        <v>0.58517174729935872</v>
      </c>
      <c r="BD80" s="295">
        <v>0.5849358960763974</v>
      </c>
      <c r="BE80" s="295">
        <v>0.58465091069508135</v>
      </c>
      <c r="BF80" s="296">
        <v>0.58431817638002537</v>
      </c>
      <c r="BG80" s="296">
        <f t="shared" si="0"/>
        <v>0.58431817638002537</v>
      </c>
      <c r="BH80" s="237"/>
    </row>
    <row r="81" spans="1:60" ht="14.25" thickTop="1" thickBot="1" x14ac:dyDescent="0.25">
      <c r="A81" s="350">
        <f>A80+0.001</f>
        <v>30.001000000000001</v>
      </c>
      <c r="B81" s="294">
        <f>B80</f>
        <v>0.47171498130579304</v>
      </c>
      <c r="C81" s="295">
        <f t="shared" ref="C81:BF81" si="1">C80</f>
        <v>0.48027442164396889</v>
      </c>
      <c r="D81" s="295">
        <f t="shared" si="1"/>
        <v>0.48668612192668109</v>
      </c>
      <c r="E81" s="295">
        <f t="shared" si="1"/>
        <v>0.49209973615109653</v>
      </c>
      <c r="F81" s="295">
        <f t="shared" si="1"/>
        <v>0.49699436475391673</v>
      </c>
      <c r="G81" s="295">
        <f t="shared" si="1"/>
        <v>0.50158659528865535</v>
      </c>
      <c r="H81" s="295">
        <f t="shared" si="1"/>
        <v>0.50597931040980137</v>
      </c>
      <c r="I81" s="295">
        <f t="shared" si="1"/>
        <v>0.51022229681077824</v>
      </c>
      <c r="J81" s="296">
        <f t="shared" si="1"/>
        <v>0.51433905972308314</v>
      </c>
      <c r="K81" s="294">
        <f t="shared" si="1"/>
        <v>0.5183394658008833</v>
      </c>
      <c r="L81" s="295">
        <f t="shared" si="1"/>
        <v>0.5222260092991492</v>
      </c>
      <c r="M81" s="295">
        <f t="shared" si="1"/>
        <v>0.52599704357872001</v>
      </c>
      <c r="N81" s="295">
        <f t="shared" si="1"/>
        <v>0.52964850186093027</v>
      </c>
      <c r="O81" s="295">
        <f t="shared" si="1"/>
        <v>0.53317483804608223</v>
      </c>
      <c r="P81" s="295">
        <f t="shared" si="1"/>
        <v>0.53656955295241027</v>
      </c>
      <c r="Q81" s="295">
        <f t="shared" si="1"/>
        <v>0.53982549502672905</v>
      </c>
      <c r="R81" s="295">
        <f t="shared" si="1"/>
        <v>0.54293503616779282</v>
      </c>
      <c r="S81" s="296">
        <f t="shared" si="1"/>
        <v>0.54589251804571781</v>
      </c>
      <c r="T81" s="294">
        <f t="shared" si="1"/>
        <v>0.54870143697036722</v>
      </c>
      <c r="U81" s="295">
        <f t="shared" si="1"/>
        <v>0.5513676210517835</v>
      </c>
      <c r="V81" s="295">
        <f t="shared" si="1"/>
        <v>0.55389691468534996</v>
      </c>
      <c r="W81" s="295">
        <f t="shared" si="1"/>
        <v>0.55629517210847501</v>
      </c>
      <c r="X81" s="295">
        <f t="shared" si="1"/>
        <v>0.55856824854118969</v>
      </c>
      <c r="Y81" s="295">
        <f t="shared" si="1"/>
        <v>0.56072199063750738</v>
      </c>
      <c r="Z81" s="295">
        <f t="shared" si="1"/>
        <v>0.56276222717493751</v>
      </c>
      <c r="AA81" s="295">
        <f t="shared" si="1"/>
        <v>0.56469476044712275</v>
      </c>
      <c r="AB81" s="296">
        <f t="shared" si="1"/>
        <v>0.56652535855959041</v>
      </c>
      <c r="AC81" s="294">
        <f t="shared" si="1"/>
        <v>0.56825974867990692</v>
      </c>
      <c r="AD81" s="295">
        <f t="shared" si="1"/>
        <v>0.56990361121323474</v>
      </c>
      <c r="AE81" s="295">
        <f t="shared" si="1"/>
        <v>0.57146257483411034</v>
      </c>
      <c r="AF81" s="295">
        <f t="shared" si="1"/>
        <v>0.57294221228826536</v>
      </c>
      <c r="AG81" s="295">
        <f t="shared" si="1"/>
        <v>0.57434803687444846</v>
      </c>
      <c r="AH81" s="295">
        <f t="shared" si="1"/>
        <v>0.57568549951940928</v>
      </c>
      <c r="AI81" s="295">
        <f t="shared" si="1"/>
        <v>0.57695998636600687</v>
      </c>
      <c r="AJ81" s="295">
        <f t="shared" si="1"/>
        <v>0.57817681680263122</v>
      </c>
      <c r="AK81" s="295">
        <f t="shared" si="1"/>
        <v>0.57934124187068214</v>
      </c>
      <c r="AL81" s="296">
        <f t="shared" si="1"/>
        <v>0.58045844299506244</v>
      </c>
      <c r="AM81" s="294">
        <f t="shared" si="1"/>
        <v>0.58097111033457927</v>
      </c>
      <c r="AN81" s="295">
        <f t="shared" si="1"/>
        <v>0.58174457984511652</v>
      </c>
      <c r="AO81" s="295">
        <f t="shared" si="1"/>
        <v>0.58244074552417779</v>
      </c>
      <c r="AP81" s="295">
        <f t="shared" si="1"/>
        <v>0.58306174827151802</v>
      </c>
      <c r="AQ81" s="295">
        <f t="shared" si="1"/>
        <v>0.58360967277101594</v>
      </c>
      <c r="AR81" s="295">
        <f t="shared" si="1"/>
        <v>0.58408654853159536</v>
      </c>
      <c r="AS81" s="295">
        <f t="shared" si="1"/>
        <v>0.58449435100920755</v>
      </c>
      <c r="AT81" s="295">
        <f t="shared" si="1"/>
        <v>0.58483500278858525</v>
      </c>
      <c r="AU81" s="295">
        <f t="shared" si="1"/>
        <v>0.58511037480717099</v>
      </c>
      <c r="AV81" s="296">
        <f t="shared" si="1"/>
        <v>0.58532228760669602</v>
      </c>
      <c r="AW81" s="294">
        <f t="shared" si="1"/>
        <v>0.58547251260045896</v>
      </c>
      <c r="AX81" s="295">
        <f t="shared" si="1"/>
        <v>0.5855627733465314</v>
      </c>
      <c r="AY81" s="295">
        <f t="shared" si="1"/>
        <v>0.58559474681891222</v>
      </c>
      <c r="AZ81" s="295">
        <f t="shared" si="1"/>
        <v>0.58557006467015504</v>
      </c>
      <c r="BA81" s="295">
        <f t="shared" si="1"/>
        <v>0.58549031448027145</v>
      </c>
      <c r="BB81" s="295">
        <f t="shared" si="1"/>
        <v>0.58535704098773811</v>
      </c>
      <c r="BC81" s="295">
        <f t="shared" si="1"/>
        <v>0.58517174729935872</v>
      </c>
      <c r="BD81" s="295">
        <f t="shared" si="1"/>
        <v>0.5849358960763974</v>
      </c>
      <c r="BE81" s="295">
        <f t="shared" si="1"/>
        <v>0.58465091069508135</v>
      </c>
      <c r="BF81" s="296">
        <f t="shared" si="1"/>
        <v>0.58431817638002537</v>
      </c>
      <c r="BG81" s="296">
        <f>BF80</f>
        <v>0.58431817638002537</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3" t="s">
        <v>9</v>
      </c>
      <c r="B84" s="694"/>
      <c r="C84" s="694"/>
      <c r="D84" s="694"/>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328"/>
      <c r="B85" s="696" t="s">
        <v>28</v>
      </c>
      <c r="C85" s="697"/>
      <c r="D85" s="697"/>
      <c r="E85" s="697"/>
      <c r="F85" s="697"/>
      <c r="G85" s="697"/>
      <c r="H85" s="697"/>
      <c r="I85" s="697"/>
      <c r="J85" s="697"/>
      <c r="K85" s="328"/>
      <c r="L85" s="328"/>
      <c r="M85" s="328"/>
      <c r="N85" s="328"/>
      <c r="O85" s="328"/>
      <c r="P85" s="328"/>
      <c r="Q85" s="328"/>
      <c r="R85" s="328"/>
      <c r="S85" s="328"/>
      <c r="T85" s="328"/>
      <c r="U85" s="328"/>
      <c r="V85" s="328"/>
      <c r="W85" s="328"/>
      <c r="X85" s="328"/>
      <c r="Y85" s="328"/>
      <c r="Z85" s="328"/>
      <c r="AA85" s="328"/>
      <c r="AB85" s="328"/>
      <c r="AC85" s="328"/>
      <c r="AD85" s="328"/>
      <c r="AE85" s="328"/>
      <c r="AF85" s="328"/>
      <c r="AG85" s="328"/>
      <c r="AH85" s="328"/>
      <c r="AI85" s="328"/>
      <c r="AJ85" s="328"/>
      <c r="AK85" s="328"/>
      <c r="AL85" s="328"/>
      <c r="AM85" s="328"/>
      <c r="AN85" s="299"/>
    </row>
    <row r="86" spans="1:60" ht="14.25" thickTop="1" thickBot="1" x14ac:dyDescent="0.25">
      <c r="A86" s="351"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52">
        <v>4</v>
      </c>
      <c r="B87" s="304">
        <v>0.92652179319730066</v>
      </c>
      <c r="C87" s="304">
        <v>0.9360954637782728</v>
      </c>
      <c r="D87" s="304">
        <v>0.94323313069373182</v>
      </c>
      <c r="E87" s="304">
        <v>0.94902008747945221</v>
      </c>
      <c r="F87" s="304">
        <v>0.95287606618157084</v>
      </c>
      <c r="G87" s="304">
        <v>0.95602081507139691</v>
      </c>
      <c r="H87" s="304">
        <v>0.95927762891620438</v>
      </c>
      <c r="I87" s="304">
        <v>0.96189953148114615</v>
      </c>
      <c r="J87" s="305">
        <v>0.96393954469291065</v>
      </c>
      <c r="K87" s="304">
        <v>0.96588625330844491</v>
      </c>
      <c r="L87" s="304">
        <v>0.96807238749446123</v>
      </c>
      <c r="M87" s="304">
        <v>0.96910033699453513</v>
      </c>
      <c r="N87" s="304">
        <v>0.97087311257125386</v>
      </c>
      <c r="O87" s="304">
        <v>0.97201955484442493</v>
      </c>
      <c r="P87" s="304">
        <v>0.97291565384083367</v>
      </c>
      <c r="Q87" s="304">
        <v>0.97412096193881792</v>
      </c>
      <c r="R87" s="304">
        <v>0.97514733088065908</v>
      </c>
      <c r="S87" s="305">
        <v>0.97592077535232824</v>
      </c>
      <c r="T87" s="304">
        <v>0.97695429807194756</v>
      </c>
      <c r="U87" s="304">
        <v>0.97785102307373495</v>
      </c>
      <c r="V87" s="304">
        <v>0.97885151758320266</v>
      </c>
      <c r="W87" s="304">
        <v>0.97960190039502248</v>
      </c>
      <c r="X87" s="304">
        <v>0.97992922738303179</v>
      </c>
      <c r="Y87" s="304">
        <v>0.98091274276540807</v>
      </c>
      <c r="Z87" s="304">
        <v>0.98191005526934938</v>
      </c>
      <c r="AA87" s="304">
        <v>0.98293809021469136</v>
      </c>
      <c r="AB87" s="305">
        <v>0.98323523786628042</v>
      </c>
      <c r="AC87" s="304">
        <v>0.98389411913515779</v>
      </c>
      <c r="AD87" s="304">
        <v>0.98489227904707366</v>
      </c>
      <c r="AE87" s="304">
        <v>0.98504735681027755</v>
      </c>
      <c r="AF87" s="304">
        <v>0.98586723301721835</v>
      </c>
      <c r="AG87" s="304">
        <v>0.98638728718389823</v>
      </c>
      <c r="AH87" s="304">
        <v>0.98702803064162714</v>
      </c>
      <c r="AI87" s="304">
        <v>0.98776564768492414</v>
      </c>
      <c r="AJ87" s="304">
        <v>0.98797767091728994</v>
      </c>
      <c r="AK87" s="304">
        <v>0.9890467972700403</v>
      </c>
      <c r="AL87" s="305">
        <v>0.98923039013431635</v>
      </c>
      <c r="AM87" s="305">
        <f>AL87</f>
        <v>0.98923039013431635</v>
      </c>
      <c r="AN87" s="299"/>
    </row>
    <row r="88" spans="1:60" x14ac:dyDescent="0.2">
      <c r="A88" s="353">
        <v>5</v>
      </c>
      <c r="B88" s="307">
        <v>0.93393961779248935</v>
      </c>
      <c r="C88" s="307">
        <v>0.9447993207131351</v>
      </c>
      <c r="D88" s="307">
        <v>0.9529112209713213</v>
      </c>
      <c r="E88" s="307">
        <v>0.95899999999999996</v>
      </c>
      <c r="F88" s="307">
        <v>0.96436296802163335</v>
      </c>
      <c r="G88" s="307">
        <v>0.96841119992901092</v>
      </c>
      <c r="H88" s="307">
        <v>0.97212324385240811</v>
      </c>
      <c r="I88" s="307">
        <v>0.97498811612477831</v>
      </c>
      <c r="J88" s="308">
        <v>0.97699999999999998</v>
      </c>
      <c r="K88" s="307">
        <v>0.97954314957591204</v>
      </c>
      <c r="L88" s="307">
        <v>0.98176959282529952</v>
      </c>
      <c r="M88" s="307">
        <v>0.98334946858902084</v>
      </c>
      <c r="N88" s="307">
        <v>0.98503096299857518</v>
      </c>
      <c r="O88" s="307">
        <v>0.98599999999999999</v>
      </c>
      <c r="P88" s="307">
        <v>0.98799999999999999</v>
      </c>
      <c r="Q88" s="307">
        <v>0.98883428677346219</v>
      </c>
      <c r="R88" s="307">
        <v>0.98989236608649667</v>
      </c>
      <c r="S88" s="308">
        <v>0.99102698019773172</v>
      </c>
      <c r="T88" s="307">
        <v>0.99199570829531969</v>
      </c>
      <c r="U88" s="307">
        <v>0.99301222847895687</v>
      </c>
      <c r="V88" s="307">
        <v>0.9941486281502907</v>
      </c>
      <c r="W88" s="307">
        <v>0.99461330157356798</v>
      </c>
      <c r="X88" s="307">
        <v>0.99563985473177097</v>
      </c>
      <c r="Y88" s="307">
        <v>0.9965888486315011</v>
      </c>
      <c r="Z88" s="307">
        <v>0.997</v>
      </c>
      <c r="AA88" s="307">
        <v>0.998</v>
      </c>
      <c r="AB88" s="308">
        <v>0.99868090884289284</v>
      </c>
      <c r="AC88" s="307">
        <v>0.99953353377826293</v>
      </c>
      <c r="AD88" s="307">
        <v>1</v>
      </c>
      <c r="AE88" s="307">
        <v>1.0009552918400106</v>
      </c>
      <c r="AF88" s="307">
        <v>1.002</v>
      </c>
      <c r="AG88" s="307">
        <v>1.002402143774096</v>
      </c>
      <c r="AH88" s="307">
        <v>1.0029387424926508</v>
      </c>
      <c r="AI88" s="307">
        <v>1.0029999999999999</v>
      </c>
      <c r="AJ88" s="307">
        <v>1.0039406692412653</v>
      </c>
      <c r="AK88" s="307">
        <v>1.004</v>
      </c>
      <c r="AL88" s="308">
        <v>1.0052854246278509</v>
      </c>
      <c r="AM88" s="308">
        <f t="shared" ref="AM88:AM123" si="2">AL88</f>
        <v>1.0052854246278509</v>
      </c>
      <c r="AN88" s="299"/>
    </row>
    <row r="89" spans="1:60" x14ac:dyDescent="0.2">
      <c r="A89" s="352">
        <v>6</v>
      </c>
      <c r="B89" s="304">
        <v>0.93906047232052425</v>
      </c>
      <c r="C89" s="304">
        <v>0.95085103861100739</v>
      </c>
      <c r="D89" s="304">
        <v>0.96043256296979551</v>
      </c>
      <c r="E89" s="304">
        <v>0.96701049410148487</v>
      </c>
      <c r="F89" s="304">
        <v>0.97280641746592689</v>
      </c>
      <c r="G89" s="304">
        <v>0.97711182933910357</v>
      </c>
      <c r="H89" s="304">
        <v>0.9810027481609459</v>
      </c>
      <c r="I89" s="304">
        <v>0.98430687967672204</v>
      </c>
      <c r="J89" s="305">
        <v>0.98693696277017051</v>
      </c>
      <c r="K89" s="304">
        <v>0.98938566690590091</v>
      </c>
      <c r="L89" s="304">
        <v>0.99171256610319747</v>
      </c>
      <c r="M89" s="304">
        <v>0.99343793340429543</v>
      </c>
      <c r="N89" s="304">
        <v>0.99537244256597546</v>
      </c>
      <c r="O89" s="304">
        <v>0.99711669576832629</v>
      </c>
      <c r="P89" s="304">
        <v>0.99818008635419586</v>
      </c>
      <c r="Q89" s="304">
        <v>0.99968899509073483</v>
      </c>
      <c r="R89" s="304">
        <v>1.000901769648525</v>
      </c>
      <c r="S89" s="305">
        <v>1.0022219220180197</v>
      </c>
      <c r="T89" s="304">
        <v>1.0031587499240688</v>
      </c>
      <c r="U89" s="304">
        <v>1.0043092038752275</v>
      </c>
      <c r="V89" s="304">
        <v>1.0049999999999999</v>
      </c>
      <c r="W89" s="304">
        <v>1.0062511729025592</v>
      </c>
      <c r="X89" s="304">
        <v>1.0072903363404753</v>
      </c>
      <c r="Y89" s="304">
        <v>1.0082984804763828</v>
      </c>
      <c r="Z89" s="304">
        <v>1.0093296177106992</v>
      </c>
      <c r="AA89" s="304">
        <v>1.0102348968915023</v>
      </c>
      <c r="AB89" s="305">
        <v>1.010507335639188</v>
      </c>
      <c r="AC89" s="304">
        <v>1.0113114956596385</v>
      </c>
      <c r="AD89" s="304">
        <v>1.0123064053604911</v>
      </c>
      <c r="AE89" s="304">
        <v>1.0128951599133655</v>
      </c>
      <c r="AF89" s="304">
        <v>1.0132574815398414</v>
      </c>
      <c r="AG89" s="304">
        <v>1.0141242120272123</v>
      </c>
      <c r="AH89" s="304">
        <v>1.0149345879145499</v>
      </c>
      <c r="AI89" s="304">
        <v>1.0149999999999999</v>
      </c>
      <c r="AJ89" s="304">
        <v>1.0159824881980786</v>
      </c>
      <c r="AK89" s="304">
        <v>1.016875225894557</v>
      </c>
      <c r="AL89" s="305">
        <v>1.0173333103179742</v>
      </c>
      <c r="AM89" s="305">
        <f t="shared" si="2"/>
        <v>1.0173333103179742</v>
      </c>
      <c r="AN89" s="299"/>
    </row>
    <row r="90" spans="1:60" x14ac:dyDescent="0.2">
      <c r="A90" s="352">
        <v>7</v>
      </c>
      <c r="B90" s="304">
        <v>0.94278358533118356</v>
      </c>
      <c r="C90" s="304">
        <v>0.95599999999999996</v>
      </c>
      <c r="D90" s="304">
        <v>0.96473600478992183</v>
      </c>
      <c r="E90" s="304">
        <v>0.97299999999999998</v>
      </c>
      <c r="F90" s="304">
        <v>0.97899999999999998</v>
      </c>
      <c r="G90" s="304">
        <v>0.98353529569283726</v>
      </c>
      <c r="H90" s="304">
        <v>0.98776034269581969</v>
      </c>
      <c r="I90" s="304">
        <v>0.99127631940794003</v>
      </c>
      <c r="J90" s="305">
        <v>0.99399999999999999</v>
      </c>
      <c r="K90" s="304">
        <v>0.99682870202799612</v>
      </c>
      <c r="L90" s="304">
        <v>0.99927957845611426</v>
      </c>
      <c r="M90" s="304">
        <v>1.001462510373786</v>
      </c>
      <c r="N90" s="304">
        <v>1.0032876299110502</v>
      </c>
      <c r="O90" s="304">
        <v>1.0052198079450472</v>
      </c>
      <c r="P90" s="304">
        <v>1.0069999999999999</v>
      </c>
      <c r="Q90" s="304">
        <v>1.0080689925579669</v>
      </c>
      <c r="R90" s="304">
        <v>1.0096143364750869</v>
      </c>
      <c r="S90" s="305">
        <v>1.0108964065913311</v>
      </c>
      <c r="T90" s="304">
        <v>1.0118253940943005</v>
      </c>
      <c r="U90" s="304">
        <v>1.0131068276180248</v>
      </c>
      <c r="V90" s="304">
        <v>1.0143809712359659</v>
      </c>
      <c r="W90" s="304">
        <v>1.0150405671841178</v>
      </c>
      <c r="X90" s="304">
        <v>1.0163321540978099</v>
      </c>
      <c r="Y90" s="304">
        <v>1.0174369210745282</v>
      </c>
      <c r="Z90" s="304">
        <v>1.0184505417862317</v>
      </c>
      <c r="AA90" s="304">
        <v>1.0193728146793568</v>
      </c>
      <c r="AB90" s="305">
        <v>1.02</v>
      </c>
      <c r="AC90" s="304">
        <v>1.0205690980880904</v>
      </c>
      <c r="AD90" s="304">
        <v>1.0209999999999999</v>
      </c>
      <c r="AE90" s="304">
        <v>1.02225619672623</v>
      </c>
      <c r="AF90" s="304">
        <v>1.0226000003397078</v>
      </c>
      <c r="AG90" s="304">
        <v>1.0235500797487318</v>
      </c>
      <c r="AH90" s="304">
        <v>1.0243746579894284</v>
      </c>
      <c r="AI90" s="304">
        <v>1.0251384418616998</v>
      </c>
      <c r="AJ90" s="304">
        <v>1.026</v>
      </c>
      <c r="AK90" s="304">
        <v>1.0263237037730142</v>
      </c>
      <c r="AL90" s="305">
        <v>1.0271911845608324</v>
      </c>
      <c r="AM90" s="305">
        <f t="shared" si="2"/>
        <v>1.0271911845608324</v>
      </c>
      <c r="AN90" s="299"/>
    </row>
    <row r="91" spans="1:60" x14ac:dyDescent="0.2">
      <c r="A91" s="352">
        <v>8</v>
      </c>
      <c r="B91" s="304">
        <v>0.94559416790439488</v>
      </c>
      <c r="C91" s="304">
        <v>0.95863848991257694</v>
      </c>
      <c r="D91" s="304">
        <v>0.96920513262053243</v>
      </c>
      <c r="E91" s="304">
        <v>0.97660250747074884</v>
      </c>
      <c r="F91" s="304">
        <v>0.98336119865156268</v>
      </c>
      <c r="G91" s="304">
        <v>0.98845351219638378</v>
      </c>
      <c r="H91" s="304">
        <v>0.99294836783973839</v>
      </c>
      <c r="I91" s="304">
        <v>0.99667830319983552</v>
      </c>
      <c r="J91" s="305">
        <v>0.99997981088695331</v>
      </c>
      <c r="K91" s="304">
        <v>1.0026566461231772</v>
      </c>
      <c r="L91" s="304">
        <v>1.0052382829437183</v>
      </c>
      <c r="M91" s="304">
        <v>1.0077256946800017</v>
      </c>
      <c r="N91" s="304">
        <v>1.0095535169714587</v>
      </c>
      <c r="O91" s="304">
        <v>1.0116343547617055</v>
      </c>
      <c r="P91" s="304">
        <v>1.0130637522178869</v>
      </c>
      <c r="Q91" s="304">
        <v>1.0147533610616621</v>
      </c>
      <c r="R91" s="304">
        <v>1.0165455556663527</v>
      </c>
      <c r="S91" s="305">
        <v>1.0178366274804809</v>
      </c>
      <c r="T91" s="304">
        <v>1.0187757305980569</v>
      </c>
      <c r="U91" s="304">
        <v>1.0201788021253302</v>
      </c>
      <c r="V91" s="304">
        <v>1.022</v>
      </c>
      <c r="W91" s="304">
        <v>1.0226800371778735</v>
      </c>
      <c r="X91" s="304">
        <v>1.0235834102393577</v>
      </c>
      <c r="Y91" s="304">
        <v>1.0247966541311304</v>
      </c>
      <c r="Z91" s="304">
        <v>1.0257898199100215</v>
      </c>
      <c r="AA91" s="304">
        <v>1.0267488295103055</v>
      </c>
      <c r="AB91" s="305">
        <v>1.0273596117165149</v>
      </c>
      <c r="AC91" s="304">
        <v>1.0280723263249105</v>
      </c>
      <c r="AD91" s="304">
        <v>1.029066105925887</v>
      </c>
      <c r="AE91" s="304">
        <v>1.0298288830663469</v>
      </c>
      <c r="AF91" s="304">
        <v>1.0302094311096661</v>
      </c>
      <c r="AG91" s="304">
        <v>1.0311558962294831</v>
      </c>
      <c r="AH91" s="304">
        <v>1.0320352667749473</v>
      </c>
      <c r="AI91" s="304">
        <v>1.032806720887516</v>
      </c>
      <c r="AJ91" s="304">
        <v>1.0331708815965537</v>
      </c>
      <c r="AK91" s="304">
        <v>1.0340061355630465</v>
      </c>
      <c r="AL91" s="305">
        <v>1.0343720969141539</v>
      </c>
      <c r="AM91" s="305">
        <f t="shared" si="2"/>
        <v>1.0343720969141539</v>
      </c>
      <c r="AN91" s="299"/>
    </row>
    <row r="92" spans="1:60" x14ac:dyDescent="0.2">
      <c r="A92" s="352">
        <v>9</v>
      </c>
      <c r="B92" s="304">
        <v>0.94777773760482764</v>
      </c>
      <c r="C92" s="304">
        <v>0.9612615045232582</v>
      </c>
      <c r="D92" s="304">
        <v>0.97199999999999998</v>
      </c>
      <c r="E92" s="304">
        <v>0.97986147942039037</v>
      </c>
      <c r="F92" s="304">
        <v>0.98647621177170552</v>
      </c>
      <c r="G92" s="304">
        <v>0.99232563398685403</v>
      </c>
      <c r="H92" s="304">
        <v>0.99705103845373022</v>
      </c>
      <c r="I92" s="304">
        <v>1.000981112944163</v>
      </c>
      <c r="J92" s="305">
        <v>1.004</v>
      </c>
      <c r="K92" s="304">
        <v>1.0073424697145295</v>
      </c>
      <c r="L92" s="304">
        <v>1.010053592200955</v>
      </c>
      <c r="M92" s="304">
        <v>1.012</v>
      </c>
      <c r="N92" s="304">
        <v>1.0146422233020311</v>
      </c>
      <c r="O92" s="304">
        <v>1.016845001726512</v>
      </c>
      <c r="P92" s="304">
        <v>1.0189999999999999</v>
      </c>
      <c r="Q92" s="304">
        <v>1.0209999999999999</v>
      </c>
      <c r="R92" s="304">
        <v>1.0220769038427042</v>
      </c>
      <c r="S92" s="305">
        <v>1.0235251934017913</v>
      </c>
      <c r="T92" s="304">
        <v>1.0249999999999999</v>
      </c>
      <c r="U92" s="304">
        <v>1.0260013164285675</v>
      </c>
      <c r="V92" s="304">
        <v>1.028</v>
      </c>
      <c r="W92" s="304">
        <v>1.0280791345698963</v>
      </c>
      <c r="X92" s="304">
        <v>1.0295450140862976</v>
      </c>
      <c r="Y92" s="304">
        <v>1.0308662643721858</v>
      </c>
      <c r="Z92" s="304">
        <v>1.0318412426132253</v>
      </c>
      <c r="AA92" s="304">
        <v>1.032846521624829</v>
      </c>
      <c r="AB92" s="305">
        <v>1.034</v>
      </c>
      <c r="AC92" s="304">
        <v>1.0342958490007772</v>
      </c>
      <c r="AD92" s="304">
        <v>1.0352927469428219</v>
      </c>
      <c r="AE92" s="304">
        <v>1.0361014123917192</v>
      </c>
      <c r="AF92" s="304">
        <v>1.0365470284173803</v>
      </c>
      <c r="AG92" s="304">
        <v>1.0375099379668384</v>
      </c>
      <c r="AH92" s="304">
        <v>1.0383975219555466</v>
      </c>
      <c r="AI92" s="304">
        <v>1.0391783882664039</v>
      </c>
      <c r="AJ92" s="304">
        <v>1.0395772788905129</v>
      </c>
      <c r="AK92" s="304">
        <v>1.040397626007574</v>
      </c>
      <c r="AL92" s="305">
        <v>1.0414713163612836</v>
      </c>
      <c r="AM92" s="305">
        <f t="shared" si="2"/>
        <v>1.0414713163612836</v>
      </c>
      <c r="AN92" s="299"/>
    </row>
    <row r="93" spans="1:60" x14ac:dyDescent="0.2">
      <c r="A93" s="353">
        <v>10</v>
      </c>
      <c r="B93" s="307">
        <v>0.94951338458680568</v>
      </c>
      <c r="C93" s="307">
        <v>0.96335503282996759</v>
      </c>
      <c r="D93" s="307">
        <v>0.97414085772654602</v>
      </c>
      <c r="E93" s="307">
        <v>0.98299999999999998</v>
      </c>
      <c r="F93" s="307">
        <v>0.98926748621433302</v>
      </c>
      <c r="G93" s="307">
        <v>0.99544243430462631</v>
      </c>
      <c r="H93" s="307">
        <v>0.99969975451545301</v>
      </c>
      <c r="I93" s="307">
        <v>1.0044832641396839</v>
      </c>
      <c r="J93" s="308">
        <v>1.0074645517233456</v>
      </c>
      <c r="K93" s="307">
        <v>1.0111896143516186</v>
      </c>
      <c r="L93" s="307">
        <v>1.01402502233092</v>
      </c>
      <c r="M93" s="307">
        <v>1.0161409579243172</v>
      </c>
      <c r="N93" s="307">
        <v>1.0188588473440778</v>
      </c>
      <c r="O93" s="307">
        <v>1.0211646593971437</v>
      </c>
      <c r="P93" s="307">
        <v>1.0229550817794426</v>
      </c>
      <c r="Q93" s="307">
        <v>1.0247744620219499</v>
      </c>
      <c r="R93" s="307">
        <v>1.0261784948634189</v>
      </c>
      <c r="S93" s="308">
        <v>1.0282769221259154</v>
      </c>
      <c r="T93" s="307">
        <v>1.0292741321367163</v>
      </c>
      <c r="U93" s="307">
        <v>1.0308857713651804</v>
      </c>
      <c r="V93" s="307">
        <v>1.0322535521689913</v>
      </c>
      <c r="W93" s="307">
        <v>1.034</v>
      </c>
      <c r="X93" s="307">
        <v>1.0345429786345608</v>
      </c>
      <c r="Y93" s="307">
        <v>1.0359657499662351</v>
      </c>
      <c r="Z93" s="307">
        <v>1.0369271587657745</v>
      </c>
      <c r="AA93" s="307">
        <v>1.0379825840486092</v>
      </c>
      <c r="AB93" s="308">
        <v>1.0386527645362285</v>
      </c>
      <c r="AC93" s="307">
        <v>1.0395520211391491</v>
      </c>
      <c r="AD93" s="307">
        <v>1.0405545365435753</v>
      </c>
      <c r="AE93" s="307">
        <v>1.041394058048418</v>
      </c>
      <c r="AF93" s="307">
        <v>1.0419179854276361</v>
      </c>
      <c r="AG93" s="307">
        <v>1.0430373973709921</v>
      </c>
      <c r="AH93" s="307">
        <v>1.0437780459567803</v>
      </c>
      <c r="AI93" s="307">
        <v>1.0445702312573857</v>
      </c>
      <c r="AJ93" s="307">
        <v>1.0450025992098</v>
      </c>
      <c r="AK93" s="307">
        <v>1.0458113353106013</v>
      </c>
      <c r="AL93" s="308">
        <v>1.0467348766045268</v>
      </c>
      <c r="AM93" s="308">
        <f t="shared" si="2"/>
        <v>1.0467348766045268</v>
      </c>
      <c r="AN93" s="299"/>
    </row>
    <row r="94" spans="1:60" x14ac:dyDescent="0.2">
      <c r="A94" s="352">
        <v>11</v>
      </c>
      <c r="B94" s="304">
        <v>0.95091910107341271</v>
      </c>
      <c r="C94" s="304">
        <v>0.96505652849907531</v>
      </c>
      <c r="D94" s="304">
        <v>0.97562127417258049</v>
      </c>
      <c r="E94" s="304">
        <v>0.98461938960718487</v>
      </c>
      <c r="F94" s="304">
        <v>0.99169374759921414</v>
      </c>
      <c r="G94" s="304">
        <v>0.99799716359780355</v>
      </c>
      <c r="H94" s="304">
        <v>1.00315670759155</v>
      </c>
      <c r="I94" s="304">
        <v>1.0073844241687939</v>
      </c>
      <c r="J94" s="305">
        <v>1.0109999999999999</v>
      </c>
      <c r="K94" s="304">
        <v>1.0144022915879478</v>
      </c>
      <c r="L94" s="304">
        <v>1.0173549460095905</v>
      </c>
      <c r="M94" s="304">
        <v>1.0202425622193243</v>
      </c>
      <c r="N94" s="304">
        <v>1.0229999999999999</v>
      </c>
      <c r="O94" s="304">
        <v>1.0248051790677597</v>
      </c>
      <c r="P94" s="304">
        <v>1.0267582465610319</v>
      </c>
      <c r="Q94" s="304">
        <v>1.0286320979741805</v>
      </c>
      <c r="R94" s="304">
        <v>1.030712424163172</v>
      </c>
      <c r="S94" s="305">
        <v>1.0323070174397706</v>
      </c>
      <c r="T94" s="304">
        <v>1.0333468349756085</v>
      </c>
      <c r="U94" s="304">
        <v>1.0350455371130252</v>
      </c>
      <c r="V94" s="304">
        <v>1.0364350486993201</v>
      </c>
      <c r="W94" s="304">
        <v>1.038</v>
      </c>
      <c r="X94" s="304">
        <v>1.0387997081886919</v>
      </c>
      <c r="Y94" s="304">
        <v>1.0403146789527991</v>
      </c>
      <c r="Z94" s="304">
        <v>1.0412680930596061</v>
      </c>
      <c r="AA94" s="304">
        <v>1.0423743154978902</v>
      </c>
      <c r="AB94" s="305">
        <v>1.0425164424286046</v>
      </c>
      <c r="AC94" s="304">
        <v>1.0440561112693101</v>
      </c>
      <c r="AD94" s="304">
        <v>1.0450665591828858</v>
      </c>
      <c r="AE94" s="304">
        <v>1.0459269294662221</v>
      </c>
      <c r="AF94" s="304">
        <v>1.0465336863390096</v>
      </c>
      <c r="AG94" s="304">
        <v>1.0475215052279454</v>
      </c>
      <c r="AH94" s="304">
        <v>1.04839507215296</v>
      </c>
      <c r="AI94" s="304">
        <v>1.0492004431189921</v>
      </c>
      <c r="AJ94" s="304">
        <v>1.0496651163318418</v>
      </c>
      <c r="AK94" s="304">
        <v>1.0509999999999999</v>
      </c>
      <c r="AL94" s="305">
        <v>1.051635635402844</v>
      </c>
      <c r="AM94" s="305">
        <f t="shared" si="2"/>
        <v>1.051635635402844</v>
      </c>
      <c r="AN94" s="299"/>
    </row>
    <row r="95" spans="1:60" x14ac:dyDescent="0.2">
      <c r="A95" s="352">
        <v>12</v>
      </c>
      <c r="B95" s="304">
        <v>0.95207572055461853</v>
      </c>
      <c r="C95" s="304">
        <v>0.96646053604155024</v>
      </c>
      <c r="D95" s="304">
        <v>0.97757989549068547</v>
      </c>
      <c r="E95" s="304">
        <v>0.98699999999999999</v>
      </c>
      <c r="F95" s="304">
        <v>0.99368376647661649</v>
      </c>
      <c r="G95" s="304">
        <v>1.000123289242395</v>
      </c>
      <c r="H95" s="304">
        <v>1.0049925606165926</v>
      </c>
      <c r="I95" s="304">
        <v>1.0089999999999999</v>
      </c>
      <c r="J95" s="305">
        <v>1.0134929623248874</v>
      </c>
      <c r="K95" s="304">
        <v>1.0171232625528102</v>
      </c>
      <c r="L95" s="304">
        <v>1.020185379766732</v>
      </c>
      <c r="M95" s="304">
        <v>1.0230271055691638</v>
      </c>
      <c r="N95" s="304">
        <v>1.026</v>
      </c>
      <c r="O95" s="304">
        <v>1.0279155172346068</v>
      </c>
      <c r="P95" s="304">
        <v>1.0300171171199386</v>
      </c>
      <c r="Q95" s="304">
        <v>1.0319408561186931</v>
      </c>
      <c r="R95" s="304">
        <v>1.0339790521655099</v>
      </c>
      <c r="S95" s="305">
        <v>1.0357681665239404</v>
      </c>
      <c r="T95" s="304">
        <v>1.0368571465804597</v>
      </c>
      <c r="U95" s="304">
        <v>1.0386323412938521</v>
      </c>
      <c r="V95" s="304">
        <v>1.0400420280736487</v>
      </c>
      <c r="W95" s="304">
        <v>1.0415009680809257</v>
      </c>
      <c r="X95" s="304">
        <v>1.0429999999999999</v>
      </c>
      <c r="Y95" s="304">
        <v>1.0440693877304974</v>
      </c>
      <c r="Z95" s="304">
        <v>1.0450206372946336</v>
      </c>
      <c r="AA95" s="304">
        <v>1.046176445367575</v>
      </c>
      <c r="AB95" s="305">
        <v>1.0470597581203813</v>
      </c>
      <c r="AC95" s="304">
        <v>1.0479620285533195</v>
      </c>
      <c r="AD95" s="304">
        <v>1.0489824990823589</v>
      </c>
      <c r="AE95" s="304">
        <v>1.049856992291915</v>
      </c>
      <c r="AF95" s="304">
        <v>1.0505459580074181</v>
      </c>
      <c r="AG95" s="304">
        <v>1.052</v>
      </c>
      <c r="AH95" s="304">
        <v>1.0524046484577867</v>
      </c>
      <c r="AI95" s="304">
        <v>1.0532249458106591</v>
      </c>
      <c r="AJ95" s="304">
        <v>1.0537208323217591</v>
      </c>
      <c r="AK95" s="304">
        <v>1.054</v>
      </c>
      <c r="AL95" s="305">
        <v>1.0557106870170956</v>
      </c>
      <c r="AM95" s="305">
        <f t="shared" si="2"/>
        <v>1.0557106870170956</v>
      </c>
      <c r="AN95" s="299"/>
    </row>
    <row r="96" spans="1:60" x14ac:dyDescent="0.2">
      <c r="A96" s="352">
        <v>13</v>
      </c>
      <c r="B96" s="304">
        <v>0.95304040888762942</v>
      </c>
      <c r="C96" s="304">
        <v>0.96699999999999997</v>
      </c>
      <c r="D96" s="304">
        <v>0.97899999999999998</v>
      </c>
      <c r="E96" s="304">
        <v>0.98789690438916544</v>
      </c>
      <c r="F96" s="304">
        <v>0.99529110514183217</v>
      </c>
      <c r="G96" s="304">
        <v>1.0009999999999999</v>
      </c>
      <c r="H96" s="304">
        <v>1.0074397634825674</v>
      </c>
      <c r="I96" s="304">
        <v>1.0109999999999999</v>
      </c>
      <c r="J96" s="305">
        <v>1.0163360524430736</v>
      </c>
      <c r="K96" s="304">
        <v>1.0194554755220231</v>
      </c>
      <c r="L96" s="304">
        <v>1.0226191124779371</v>
      </c>
      <c r="M96" s="304">
        <v>1.0249999999999999</v>
      </c>
      <c r="N96" s="304">
        <v>1.0280587684773566</v>
      </c>
      <c r="O96" s="304">
        <v>1.0306036875463811</v>
      </c>
      <c r="P96" s="304">
        <v>1.032839546604903</v>
      </c>
      <c r="Q96" s="304">
        <v>1.0348096803000477</v>
      </c>
      <c r="R96" s="304">
        <v>1.037058114126963</v>
      </c>
      <c r="S96" s="305">
        <v>1.0387720374724394</v>
      </c>
      <c r="T96" s="304">
        <v>1.03991541822517</v>
      </c>
      <c r="U96" s="304">
        <v>1.0417573905598247</v>
      </c>
      <c r="V96" s="304">
        <v>1.0431865735043957</v>
      </c>
      <c r="W96" s="304">
        <v>1.0449999999999999</v>
      </c>
      <c r="X96" s="304">
        <v>1.0456769933017842</v>
      </c>
      <c r="Y96" s="304">
        <v>1.0473445984209218</v>
      </c>
      <c r="Z96" s="304">
        <v>1.0482994144078956</v>
      </c>
      <c r="AA96" s="304">
        <v>1.0489999999999999</v>
      </c>
      <c r="AB96" s="305">
        <v>1.0497760736186619</v>
      </c>
      <c r="AC96" s="304">
        <v>1.0513831550255011</v>
      </c>
      <c r="AD96" s="304">
        <v>1.0524155112538953</v>
      </c>
      <c r="AE96" s="304">
        <v>1.0532996047185739</v>
      </c>
      <c r="AF96" s="304">
        <v>1.0540671249498688</v>
      </c>
      <c r="AG96" s="304">
        <v>1.0550867483852269</v>
      </c>
      <c r="AH96" s="304">
        <v>1.0559217477736809</v>
      </c>
      <c r="AI96" s="304">
        <v>1.056</v>
      </c>
      <c r="AJ96" s="304">
        <v>1.0572846393933151</v>
      </c>
      <c r="AK96" s="304">
        <v>1.0580612379924805</v>
      </c>
      <c r="AL96" s="305">
        <v>1.0592858215660019</v>
      </c>
      <c r="AM96" s="305">
        <f t="shared" si="2"/>
        <v>1.0592858215660019</v>
      </c>
      <c r="AN96" s="299"/>
    </row>
    <row r="97" spans="1:40" x14ac:dyDescent="0.2">
      <c r="A97" s="352">
        <v>14</v>
      </c>
      <c r="B97" s="304">
        <v>0.95385467563202109</v>
      </c>
      <c r="C97" s="304">
        <v>0.96862636821262182</v>
      </c>
      <c r="D97" s="304">
        <v>0.97957751848251207</v>
      </c>
      <c r="E97" s="304">
        <v>0.99</v>
      </c>
      <c r="F97" s="304">
        <v>0.99669269303344976</v>
      </c>
      <c r="G97" s="304">
        <v>1.0034446397199293</v>
      </c>
      <c r="H97" s="304">
        <v>1.0091265989797431</v>
      </c>
      <c r="I97" s="304">
        <v>1.0136862051018363</v>
      </c>
      <c r="J97" s="305">
        <v>1.0182612105566184</v>
      </c>
      <c r="K97" s="304">
        <v>1.022</v>
      </c>
      <c r="L97" s="304">
        <v>1.0247324779396578</v>
      </c>
      <c r="M97" s="304">
        <v>1.0279615595992015</v>
      </c>
      <c r="N97" s="304">
        <v>1.0309999999999999</v>
      </c>
      <c r="O97" s="304">
        <v>1.032950049701882</v>
      </c>
      <c r="P97" s="304">
        <v>1.035306266245287</v>
      </c>
      <c r="Q97" s="304">
        <v>1.038</v>
      </c>
      <c r="R97" s="304">
        <v>1.0396387250917947</v>
      </c>
      <c r="S97" s="305">
        <v>1.0414023849501606</v>
      </c>
      <c r="T97" s="304">
        <v>1.042604380363793</v>
      </c>
      <c r="U97" s="304">
        <v>1.0445042676634855</v>
      </c>
      <c r="V97" s="304">
        <v>1.0459528205806963</v>
      </c>
      <c r="W97" s="304">
        <v>1.0467472389777392</v>
      </c>
      <c r="X97" s="304">
        <v>1.0489999999999999</v>
      </c>
      <c r="Y97" s="304">
        <v>1.0502266329846364</v>
      </c>
      <c r="Z97" s="304">
        <v>1.0511904728001438</v>
      </c>
      <c r="AA97" s="304">
        <v>1.0524380232072761</v>
      </c>
      <c r="AB97" s="305">
        <v>1.0527734933282882</v>
      </c>
      <c r="AC97" s="304">
        <v>1.0544051203740787</v>
      </c>
      <c r="AD97" s="304">
        <v>1.0554510124107834</v>
      </c>
      <c r="AE97" s="304">
        <v>1.0563416955204361</v>
      </c>
      <c r="AF97" s="304">
        <v>1.057182355096004</v>
      </c>
      <c r="AG97" s="304">
        <v>1.0582195375138801</v>
      </c>
      <c r="AH97" s="304">
        <v>1.0590332136973182</v>
      </c>
      <c r="AI97" s="304">
        <v>1.0598879544782522</v>
      </c>
      <c r="AJ97" s="304">
        <v>1.0604432900114096</v>
      </c>
      <c r="AK97" s="304">
        <v>1.0612074928581297</v>
      </c>
      <c r="AL97" s="305">
        <v>1.062449979150464</v>
      </c>
      <c r="AM97" s="305">
        <f t="shared" si="2"/>
        <v>1.062449979150464</v>
      </c>
      <c r="AN97" s="299"/>
    </row>
    <row r="98" spans="1:40" x14ac:dyDescent="0.2">
      <c r="A98" s="353">
        <v>15</v>
      </c>
      <c r="B98" s="307">
        <v>0.95454934092278076</v>
      </c>
      <c r="C98" s="307">
        <v>0.97</v>
      </c>
      <c r="D98" s="307">
        <v>0.98145288973750089</v>
      </c>
      <c r="E98" s="307">
        <v>0.99099999999999999</v>
      </c>
      <c r="F98" s="307">
        <v>0.99864235154574343</v>
      </c>
      <c r="G98" s="307">
        <v>1.0047614562975555</v>
      </c>
      <c r="H98" s="307">
        <v>1.0107119748815794</v>
      </c>
      <c r="I98" s="307">
        <v>1.016</v>
      </c>
      <c r="J98" s="308">
        <v>1.0197953244922304</v>
      </c>
      <c r="K98" s="307">
        <v>1.024</v>
      </c>
      <c r="L98" s="307">
        <v>1.0265834090800641</v>
      </c>
      <c r="M98" s="307">
        <v>1.030012485937408</v>
      </c>
      <c r="N98" s="307">
        <v>1.0329999999999999</v>
      </c>
      <c r="O98" s="307">
        <v>1.0350157003712779</v>
      </c>
      <c r="P98" s="307">
        <v>1.0374790136631002</v>
      </c>
      <c r="Q98" s="307">
        <v>1.0395343485963771</v>
      </c>
      <c r="R98" s="307">
        <v>1.0418279038833158</v>
      </c>
      <c r="S98" s="308">
        <v>1.0437233808986199</v>
      </c>
      <c r="T98" s="307">
        <v>1.0449873974965767</v>
      </c>
      <c r="U98" s="307">
        <v>1.0469371422169285</v>
      </c>
      <c r="V98" s="307">
        <v>1.0489999999999999</v>
      </c>
      <c r="W98" s="307">
        <v>1.0500343426767083</v>
      </c>
      <c r="X98" s="307">
        <v>1.0510036875289432</v>
      </c>
      <c r="Y98" s="307">
        <v>1.0527818343177451</v>
      </c>
      <c r="Z98" s="307">
        <v>1.0537598034441751</v>
      </c>
      <c r="AA98" s="307">
        <v>1.0550486188971546</v>
      </c>
      <c r="AB98" s="308">
        <v>1.056179893778878</v>
      </c>
      <c r="AC98" s="307">
        <v>1.0570939677267261</v>
      </c>
      <c r="AD98" s="307">
        <v>1.0581548525852797</v>
      </c>
      <c r="AE98" s="307">
        <v>1.0590501705185835</v>
      </c>
      <c r="AF98" s="307">
        <v>1.059957579903086</v>
      </c>
      <c r="AG98" s="307">
        <v>1.0610202841876377</v>
      </c>
      <c r="AH98" s="307">
        <v>1.0618060358163821</v>
      </c>
      <c r="AI98" s="307">
        <v>1.0626799775241391</v>
      </c>
      <c r="AJ98" s="307">
        <v>1.0632636836818232</v>
      </c>
      <c r="AK98" s="307">
        <v>1.0640141122897346</v>
      </c>
      <c r="AL98" s="308">
        <v>1.0652716350438005</v>
      </c>
      <c r="AM98" s="308">
        <f t="shared" si="2"/>
        <v>1.0652716350438005</v>
      </c>
      <c r="AN98" s="299"/>
    </row>
    <row r="99" spans="1:40" x14ac:dyDescent="0.2">
      <c r="A99" s="352">
        <v>16</v>
      </c>
      <c r="B99" s="304">
        <v>0.95514772825951144</v>
      </c>
      <c r="C99" s="304">
        <v>0.97020346231360943</v>
      </c>
      <c r="D99" s="304">
        <v>0.98199999999999998</v>
      </c>
      <c r="E99" s="304">
        <v>0.99122981822006984</v>
      </c>
      <c r="F99" s="304">
        <v>0.99894755097308574</v>
      </c>
      <c r="G99" s="304">
        <v>1.0059060134210762</v>
      </c>
      <c r="H99" s="304">
        <v>1.0118617521616187</v>
      </c>
      <c r="I99" s="304">
        <v>1.0165983624212693</v>
      </c>
      <c r="J99" s="305">
        <v>1.0214148606022024</v>
      </c>
      <c r="K99" s="304">
        <v>1.0247938990721959</v>
      </c>
      <c r="L99" s="304">
        <v>1.0282167000767619</v>
      </c>
      <c r="M99" s="304">
        <v>1.0309999999999999</v>
      </c>
      <c r="N99" s="304">
        <v>1.0341222641342676</v>
      </c>
      <c r="O99" s="304">
        <v>1.0368479622707758</v>
      </c>
      <c r="P99" s="304">
        <v>1.0394058755234894</v>
      </c>
      <c r="Q99" s="304">
        <v>1.0415009995515898</v>
      </c>
      <c r="R99" s="304">
        <v>1.0439401009974381</v>
      </c>
      <c r="S99" s="305">
        <v>1.0457850990798836</v>
      </c>
      <c r="T99" s="304">
        <v>1.04711389926918</v>
      </c>
      <c r="U99" s="304">
        <v>1.0491061843291223</v>
      </c>
      <c r="V99" s="304">
        <v>1.0505943604583294</v>
      </c>
      <c r="W99" s="304">
        <v>1.052</v>
      </c>
      <c r="X99" s="304">
        <v>1.054</v>
      </c>
      <c r="Y99" s="304">
        <v>1.055062123826801</v>
      </c>
      <c r="Z99" s="304">
        <v>1.0560589491790298</v>
      </c>
      <c r="AA99" s="304">
        <v>1.0573857384395884</v>
      </c>
      <c r="AB99" s="305">
        <v>1.0589999999999999</v>
      </c>
      <c r="AC99" s="304">
        <v>1.0595015583126772</v>
      </c>
      <c r="AD99" s="304">
        <v>1.0605787209218125</v>
      </c>
      <c r="AE99" s="304">
        <v>1.0620000000000001</v>
      </c>
      <c r="AF99" s="304">
        <v>1.0629999999999999</v>
      </c>
      <c r="AG99" s="304">
        <v>1.0635192222024761</v>
      </c>
      <c r="AH99" s="304">
        <v>1.064292827053487</v>
      </c>
      <c r="AI99" s="304">
        <v>1.0651870949998086</v>
      </c>
      <c r="AJ99" s="304">
        <v>1.0657983494454926</v>
      </c>
      <c r="AK99" s="304">
        <v>1.0665335257388111</v>
      </c>
      <c r="AL99" s="305">
        <v>1.0678044720929225</v>
      </c>
      <c r="AM99" s="305">
        <f t="shared" si="2"/>
        <v>1.0678044720929225</v>
      </c>
      <c r="AN99" s="299"/>
    </row>
    <row r="100" spans="1:40" x14ac:dyDescent="0.2">
      <c r="A100" s="352">
        <v>17</v>
      </c>
      <c r="B100" s="304">
        <v>0.95566778110066886</v>
      </c>
      <c r="C100" s="304">
        <v>0.97083742679453755</v>
      </c>
      <c r="D100" s="304">
        <v>0.98299999999999998</v>
      </c>
      <c r="E100" s="304">
        <v>0.99206823501446784</v>
      </c>
      <c r="F100" s="304">
        <v>0.99986590795583719</v>
      </c>
      <c r="G100" s="304">
        <v>1.006909013339927</v>
      </c>
      <c r="H100" s="304">
        <v>1.0129825863065924</v>
      </c>
      <c r="I100" s="304">
        <v>1.0177989538217733</v>
      </c>
      <c r="J100" s="305">
        <v>1.022</v>
      </c>
      <c r="K100" s="304">
        <v>1.0261722264231208</v>
      </c>
      <c r="L100" s="304">
        <v>1.0296675497217471</v>
      </c>
      <c r="M100" s="304">
        <v>1.0331615528280649</v>
      </c>
      <c r="N100" s="304">
        <v>1.035705550893341</v>
      </c>
      <c r="O100" s="304">
        <v>1.0389999999999999</v>
      </c>
      <c r="P100" s="304">
        <v>1.0411249060322714</v>
      </c>
      <c r="Q100" s="304">
        <v>1.0432584001193104</v>
      </c>
      <c r="R100" s="304">
        <v>1.0449999999999999</v>
      </c>
      <c r="S100" s="305">
        <v>1.0469999999999999</v>
      </c>
      <c r="T100" s="304">
        <v>1.049023062385446</v>
      </c>
      <c r="U100" s="304">
        <v>1.0510512421280991</v>
      </c>
      <c r="V100" s="304">
        <v>1.0525600185681339</v>
      </c>
      <c r="W100" s="304">
        <v>1.054</v>
      </c>
      <c r="X100" s="304">
        <v>1.056</v>
      </c>
      <c r="Y100" s="304">
        <v>1.0571087800976451</v>
      </c>
      <c r="Z100" s="304">
        <v>1.0581288110953884</v>
      </c>
      <c r="AA100" s="304">
        <v>1.0594902740441907</v>
      </c>
      <c r="AB100" s="305">
        <v>1.0609999999999999</v>
      </c>
      <c r="AC100" s="304">
        <v>1.061669256336228</v>
      </c>
      <c r="AD100" s="304">
        <v>1.0627638296002442</v>
      </c>
      <c r="AE100" s="304">
        <v>1.0636653275543215</v>
      </c>
      <c r="AF100" s="304">
        <v>1.0646854542320954</v>
      </c>
      <c r="AG100" s="304">
        <v>1.0657793350085421</v>
      </c>
      <c r="AH100" s="304">
        <v>1.0660000000000001</v>
      </c>
      <c r="AI100" s="304">
        <v>1.0674511486519784</v>
      </c>
      <c r="AJ100" s="304">
        <v>1.0680891824522161</v>
      </c>
      <c r="AK100" s="304">
        <v>1.068807601128734</v>
      </c>
      <c r="AL100" s="305">
        <v>1.0700912418803594</v>
      </c>
      <c r="AM100" s="305">
        <f t="shared" si="2"/>
        <v>1.0700912418803594</v>
      </c>
      <c r="AN100" s="299"/>
    </row>
    <row r="101" spans="1:40" x14ac:dyDescent="0.2">
      <c r="A101" s="352">
        <v>18</v>
      </c>
      <c r="B101" s="304">
        <v>0.95612350379939459</v>
      </c>
      <c r="C101" s="304">
        <v>0.971392203473468</v>
      </c>
      <c r="D101" s="304">
        <v>0.98399999999999999</v>
      </c>
      <c r="E101" s="304">
        <v>0.99280929099440185</v>
      </c>
      <c r="F101" s="304">
        <v>1.0006766325001231</v>
      </c>
      <c r="G101" s="304">
        <v>1.0077945785144955</v>
      </c>
      <c r="H101" s="304">
        <v>1.0139746195639479</v>
      </c>
      <c r="I101" s="304">
        <v>1.018866171353167</v>
      </c>
      <c r="J101" s="305">
        <v>1.0229999999999999</v>
      </c>
      <c r="K101" s="304">
        <v>1.0274023926458811</v>
      </c>
      <c r="L101" s="304">
        <v>1.0309640104311253</v>
      </c>
      <c r="M101" s="304">
        <v>1.034</v>
      </c>
      <c r="N101" s="304">
        <v>1.0371250536941037</v>
      </c>
      <c r="O101" s="304">
        <v>1.0399538052613819</v>
      </c>
      <c r="P101" s="304">
        <v>1.0426666418786605</v>
      </c>
      <c r="Q101" s="304">
        <v>1.0448373289876269</v>
      </c>
      <c r="R101" s="304">
        <v>1.0473768921999125</v>
      </c>
      <c r="S101" s="305">
        <v>1.0492816973579977</v>
      </c>
      <c r="T101" s="304">
        <v>1.0507463720316974</v>
      </c>
      <c r="U101" s="304">
        <v>1.0528044050717262</v>
      </c>
      <c r="V101" s="304">
        <v>1.0543344245056305</v>
      </c>
      <c r="W101" s="304">
        <v>1.056</v>
      </c>
      <c r="X101" s="304">
        <v>1.0570814297404232</v>
      </c>
      <c r="Y101" s="304">
        <v>1.0589550749343306</v>
      </c>
      <c r="Z101" s="304">
        <v>1.0600022990047169</v>
      </c>
      <c r="AA101" s="304">
        <v>1.0613951952426923</v>
      </c>
      <c r="AB101" s="305">
        <v>1.0619320253809998</v>
      </c>
      <c r="AC101" s="304">
        <v>1.0636305064151319</v>
      </c>
      <c r="AD101" s="304">
        <v>1.0647434894910617</v>
      </c>
      <c r="AE101" s="304">
        <v>1.0656474501075712</v>
      </c>
      <c r="AF101" s="304">
        <v>1.0667134011532391</v>
      </c>
      <c r="AG101" s="304">
        <v>1.0678270521207476</v>
      </c>
      <c r="AH101" s="304">
        <v>1.0685681704993226</v>
      </c>
      <c r="AI101" s="304">
        <v>1.069</v>
      </c>
      <c r="AJ101" s="304">
        <v>1.0701700567135859</v>
      </c>
      <c r="AK101" s="304">
        <v>1.0708702300221653</v>
      </c>
      <c r="AL101" s="305">
        <v>1.0721664613323325</v>
      </c>
      <c r="AM101" s="305">
        <f t="shared" si="2"/>
        <v>1.0721664613323325</v>
      </c>
      <c r="AN101" s="299"/>
    </row>
    <row r="102" spans="1:40" x14ac:dyDescent="0.2">
      <c r="A102" s="352">
        <v>19</v>
      </c>
      <c r="B102" s="304">
        <v>0.95652596554876068</v>
      </c>
      <c r="C102" s="304">
        <v>0.97188107178631844</v>
      </c>
      <c r="D102" s="304">
        <v>0.98399999999999999</v>
      </c>
      <c r="E102" s="304">
        <v>0.99346913687916327</v>
      </c>
      <c r="F102" s="304">
        <v>1.002</v>
      </c>
      <c r="G102" s="304">
        <v>1.008</v>
      </c>
      <c r="H102" s="304">
        <v>1.014</v>
      </c>
      <c r="I102" s="304">
        <v>1.0198208143998504</v>
      </c>
      <c r="J102" s="305">
        <v>1.024</v>
      </c>
      <c r="K102" s="304">
        <v>1.028</v>
      </c>
      <c r="L102" s="304">
        <v>1.0321287198021964</v>
      </c>
      <c r="M102" s="304">
        <v>1.0357724767015015</v>
      </c>
      <c r="N102" s="304">
        <v>1.0389999999999999</v>
      </c>
      <c r="O102" s="304">
        <v>1.0412811607132597</v>
      </c>
      <c r="P102" s="304">
        <v>1.044055890032636</v>
      </c>
      <c r="Q102" s="304">
        <v>1.0469999999999999</v>
      </c>
      <c r="R102" s="304">
        <v>1.0488468527127317</v>
      </c>
      <c r="S102" s="305">
        <v>1.0507744475384584</v>
      </c>
      <c r="T102" s="304">
        <v>1.0529999999999999</v>
      </c>
      <c r="U102" s="304">
        <v>1.0549999999999999</v>
      </c>
      <c r="V102" s="304">
        <v>1.0559437717625797</v>
      </c>
      <c r="W102" s="304">
        <v>1.0580000000000001</v>
      </c>
      <c r="X102" s="304">
        <v>1.0587390273647004</v>
      </c>
      <c r="Y102" s="304">
        <v>1.0606281539491551</v>
      </c>
      <c r="Z102" s="304">
        <v>1.0617062190103628</v>
      </c>
      <c r="AA102" s="304">
        <v>1.0631274091303766</v>
      </c>
      <c r="AB102" s="305">
        <v>1.0637018190027638</v>
      </c>
      <c r="AC102" s="304">
        <v>1.0660000000000001</v>
      </c>
      <c r="AD102" s="304">
        <v>1.0665449516217624</v>
      </c>
      <c r="AE102" s="304">
        <v>1.0680000000000001</v>
      </c>
      <c r="AF102" s="304">
        <v>1.068556272292984</v>
      </c>
      <c r="AG102" s="304">
        <v>1.0696899625317535</v>
      </c>
      <c r="AH102" s="304">
        <v>1.071</v>
      </c>
      <c r="AI102" s="304">
        <v>1.0713792179256865</v>
      </c>
      <c r="AJ102" s="304">
        <v>1.0720686933108854</v>
      </c>
      <c r="AK102" s="304">
        <v>1.0727491782868352</v>
      </c>
      <c r="AL102" s="305">
        <v>1.0740583386352189</v>
      </c>
      <c r="AM102" s="305">
        <f t="shared" si="2"/>
        <v>1.0740583386352189</v>
      </c>
      <c r="AN102" s="299"/>
    </row>
    <row r="103" spans="1:40" x14ac:dyDescent="0.2">
      <c r="A103" s="353">
        <v>20</v>
      </c>
      <c r="B103" s="307">
        <v>0.95688401425796088</v>
      </c>
      <c r="C103" s="307">
        <v>0.97231468357165995</v>
      </c>
      <c r="D103" s="307">
        <v>0.98428750733671522</v>
      </c>
      <c r="E103" s="307">
        <v>0.99406073951812979</v>
      </c>
      <c r="F103" s="307">
        <v>1.0021835877232494</v>
      </c>
      <c r="G103" s="307">
        <v>1.0092864273581916</v>
      </c>
      <c r="H103" s="307">
        <v>1.0150816240464673</v>
      </c>
      <c r="I103" s="307">
        <v>1.02</v>
      </c>
      <c r="J103" s="308">
        <v>1.0249751574337249</v>
      </c>
      <c r="K103" s="307">
        <v>1.0289999999999999</v>
      </c>
      <c r="L103" s="307">
        <v>1.0331801496393596</v>
      </c>
      <c r="M103" s="307">
        <v>1.0369999999999999</v>
      </c>
      <c r="N103" s="307">
        <v>1.0395627829095155</v>
      </c>
      <c r="O103" s="307">
        <v>1.0424857978248105</v>
      </c>
      <c r="P103" s="307">
        <v>1.0453130240991266</v>
      </c>
      <c r="Q103" s="307">
        <v>1.0475552777787973</v>
      </c>
      <c r="R103" s="307">
        <v>1.0495831998355258</v>
      </c>
      <c r="S103" s="308">
        <v>1.0521268419738004</v>
      </c>
      <c r="T103" s="307">
        <v>1.0537333494756362</v>
      </c>
      <c r="U103" s="307">
        <v>1.0558350755545662</v>
      </c>
      <c r="V103" s="307">
        <v>1.0574096256461669</v>
      </c>
      <c r="W103" s="307">
        <v>1.0588930153271492</v>
      </c>
      <c r="X103" s="307">
        <v>1.060253009472871</v>
      </c>
      <c r="Y103" s="307">
        <v>1.0621504049121813</v>
      </c>
      <c r="Z103" s="307">
        <v>1.0632626446474238</v>
      </c>
      <c r="AA103" s="307">
        <v>1.0647091139164797</v>
      </c>
      <c r="AB103" s="308">
        <v>1.0658538186809772</v>
      </c>
      <c r="AC103" s="307">
        <v>1.0670384053787447</v>
      </c>
      <c r="AD103" s="307">
        <v>1.0681907498575387</v>
      </c>
      <c r="AE103" s="307">
        <v>1.069099794274341</v>
      </c>
      <c r="AF103" s="307">
        <v>1.070237025164938</v>
      </c>
      <c r="AG103" s="307">
        <v>1.0712892981571063</v>
      </c>
      <c r="AH103" s="307">
        <v>1.0721093594997284</v>
      </c>
      <c r="AI103" s="307">
        <v>1.0730938008402282</v>
      </c>
      <c r="AJ103" s="307">
        <v>1.0738080227423934</v>
      </c>
      <c r="AK103" s="307">
        <v>1.075</v>
      </c>
      <c r="AL103" s="308">
        <v>1.0757901760789688</v>
      </c>
      <c r="AM103" s="308">
        <f t="shared" si="2"/>
        <v>1.0757901760789688</v>
      </c>
      <c r="AN103" s="299"/>
    </row>
    <row r="104" spans="1:40" x14ac:dyDescent="0.2">
      <c r="A104" s="352">
        <v>21</v>
      </c>
      <c r="B104" s="304">
        <v>0.95720479342089948</v>
      </c>
      <c r="C104" s="304">
        <v>0.97199999999999998</v>
      </c>
      <c r="D104" s="304">
        <v>0.98499999999999999</v>
      </c>
      <c r="E104" s="304">
        <v>0.99459461457689569</v>
      </c>
      <c r="F104" s="304">
        <v>1.0026235691415091</v>
      </c>
      <c r="G104" s="304">
        <v>1.0099207050157548</v>
      </c>
      <c r="H104" s="304">
        <v>1.0163606161616578</v>
      </c>
      <c r="I104" s="304">
        <v>1.0214566387196338</v>
      </c>
      <c r="J104" s="305">
        <v>1.026</v>
      </c>
      <c r="K104" s="304">
        <v>1.0304063442328411</v>
      </c>
      <c r="L104" s="304">
        <v>1.0341335230486335</v>
      </c>
      <c r="M104" s="304">
        <v>1.0379117416584636</v>
      </c>
      <c r="N104" s="304">
        <v>1.0406162410479589</v>
      </c>
      <c r="O104" s="304">
        <v>1.0435839346623168</v>
      </c>
      <c r="P104" s="304">
        <v>1.0464549410072612</v>
      </c>
      <c r="Q104" s="304">
        <v>1.0487318334722768</v>
      </c>
      <c r="R104" s="304">
        <v>1.0513959427000088</v>
      </c>
      <c r="S104" s="305">
        <v>1.0533566192509669</v>
      </c>
      <c r="T104" s="304">
        <v>1.0550355880259246</v>
      </c>
      <c r="U104" s="304">
        <v>1.0571520733229203</v>
      </c>
      <c r="V104" s="304">
        <v>1.0587499147815358</v>
      </c>
      <c r="W104" s="304">
        <v>1.0596140414020563</v>
      </c>
      <c r="X104" s="304">
        <v>1.0616414898036786</v>
      </c>
      <c r="Y104" s="304">
        <v>1.0629999999999999</v>
      </c>
      <c r="Z104" s="304">
        <v>1.0646899305298887</v>
      </c>
      <c r="AA104" s="304">
        <v>1.0661588011845631</v>
      </c>
      <c r="AB104" s="305">
        <v>1.0667933738743831</v>
      </c>
      <c r="AC104" s="304">
        <v>1.0685265950259506</v>
      </c>
      <c r="AD104" s="304">
        <v>1.0696996971068891</v>
      </c>
      <c r="AE104" s="304">
        <v>1.0706117048342743</v>
      </c>
      <c r="AF104" s="304">
        <v>1.0717748830781708</v>
      </c>
      <c r="AG104" s="304">
        <v>1.0729491867918668</v>
      </c>
      <c r="AH104" s="304">
        <v>1.073660113153204</v>
      </c>
      <c r="AI104" s="304">
        <v>1.0740000000000001</v>
      </c>
      <c r="AJ104" s="304">
        <v>1.0754071958519191</v>
      </c>
      <c r="AK104" s="304">
        <v>1.0760442268901134</v>
      </c>
      <c r="AL104" s="305">
        <v>1.0773814098960552</v>
      </c>
      <c r="AM104" s="305">
        <f t="shared" si="2"/>
        <v>1.0773814098960552</v>
      </c>
      <c r="AN104" s="299"/>
    </row>
    <row r="105" spans="1:40" x14ac:dyDescent="0.2">
      <c r="A105" s="352">
        <v>22</v>
      </c>
      <c r="B105" s="304">
        <v>0.95749412242901566</v>
      </c>
      <c r="C105" s="304">
        <v>0.97304908345137253</v>
      </c>
      <c r="D105" s="304">
        <v>0.98461957317127602</v>
      </c>
      <c r="E105" s="304">
        <v>0.99507936717817436</v>
      </c>
      <c r="F105" s="304">
        <v>1.004</v>
      </c>
      <c r="G105" s="304">
        <v>1.0109999999999999</v>
      </c>
      <c r="H105" s="304">
        <v>1.0170042299703841</v>
      </c>
      <c r="I105" s="304">
        <v>1.0221629326604138</v>
      </c>
      <c r="J105" s="305">
        <v>1.0274894049223795</v>
      </c>
      <c r="K105" s="304">
        <v>1.0312290061742067</v>
      </c>
      <c r="L105" s="304">
        <v>1.0350014985748113</v>
      </c>
      <c r="M105" s="304">
        <v>1.038842324836621</v>
      </c>
      <c r="N105" s="304">
        <v>1.0415780212622345</v>
      </c>
      <c r="O105" s="304">
        <v>1.0445890793361565</v>
      </c>
      <c r="P105" s="304">
        <v>1.0474957782170846</v>
      </c>
      <c r="Q105" s="304">
        <v>1.0498066799495802</v>
      </c>
      <c r="R105" s="304">
        <v>1.052</v>
      </c>
      <c r="S105" s="305">
        <v>1.0544786429021942</v>
      </c>
      <c r="T105" s="304">
        <v>1.0562308248069108</v>
      </c>
      <c r="U105" s="304">
        <v>1.0583578784358825</v>
      </c>
      <c r="V105" s="304">
        <v>1.0599796756862394</v>
      </c>
      <c r="W105" s="304">
        <v>1.0620000000000001</v>
      </c>
      <c r="X105" s="304">
        <v>1.0629196365709599</v>
      </c>
      <c r="Y105" s="304">
        <v>1.0648140125491383</v>
      </c>
      <c r="Z105" s="304">
        <v>1.0660034735607975</v>
      </c>
      <c r="AA105" s="304">
        <v>1.0674920097268132</v>
      </c>
      <c r="AB105" s="305">
        <v>1.069</v>
      </c>
      <c r="AC105" s="304">
        <v>1.0698931686410944</v>
      </c>
      <c r="AD105" s="304">
        <v>1.0710876360513364</v>
      </c>
      <c r="AE105" s="304">
        <v>1.0720030368470155</v>
      </c>
      <c r="AF105" s="304">
        <v>1.0731860799661583</v>
      </c>
      <c r="AG105" s="304">
        <v>1.0743808521824878</v>
      </c>
      <c r="AH105" s="304">
        <v>1.075086876094526</v>
      </c>
      <c r="AI105" s="304">
        <v>1.0761203957767054</v>
      </c>
      <c r="AJ105" s="304">
        <v>1.0768823457568328</v>
      </c>
      <c r="AK105" s="304">
        <v>1.0780000000000001</v>
      </c>
      <c r="AL105" s="305">
        <v>1.0780000000000001</v>
      </c>
      <c r="AM105" s="305">
        <f t="shared" si="2"/>
        <v>1.0780000000000001</v>
      </c>
      <c r="AN105" s="299"/>
    </row>
    <row r="106" spans="1:40" x14ac:dyDescent="0.2">
      <c r="A106" s="352">
        <v>23</v>
      </c>
      <c r="B106" s="304">
        <v>0.95775678048960067</v>
      </c>
      <c r="C106" s="304">
        <v>0.97336274186089444</v>
      </c>
      <c r="D106" s="304">
        <v>0.98599999999999999</v>
      </c>
      <c r="E106" s="304">
        <v>0.99552209663150504</v>
      </c>
      <c r="F106" s="304">
        <v>1.0036294594000463</v>
      </c>
      <c r="G106" s="304">
        <v>1.0110179044200713</v>
      </c>
      <c r="H106" s="304">
        <v>1.0175888191013391</v>
      </c>
      <c r="I106" s="304">
        <v>1.0228080389788428</v>
      </c>
      <c r="J106" s="305">
        <v>1.0281957669237198</v>
      </c>
      <c r="K106" s="304">
        <v>1.0319812643208544</v>
      </c>
      <c r="L106" s="304">
        <v>1.0357946878834257</v>
      </c>
      <c r="M106" s="304">
        <v>1.0396954923503019</v>
      </c>
      <c r="N106" s="304">
        <v>1.0429999999999999</v>
      </c>
      <c r="O106" s="304">
        <v>1.0455125743106155</v>
      </c>
      <c r="P106" s="304">
        <v>1.0484474590422623</v>
      </c>
      <c r="Q106" s="304">
        <v>1.050791816978524</v>
      </c>
      <c r="R106" s="304">
        <v>1.0529999999999999</v>
      </c>
      <c r="S106" s="305">
        <v>1.0549999999999999</v>
      </c>
      <c r="T106" s="304">
        <v>1.0573314464624783</v>
      </c>
      <c r="U106" s="304">
        <v>1.0594652267579163</v>
      </c>
      <c r="V106" s="304">
        <v>1.0611116198485524</v>
      </c>
      <c r="W106" s="304">
        <v>1.0629999999999999</v>
      </c>
      <c r="X106" s="304">
        <v>1.0641002535376942</v>
      </c>
      <c r="Y106" s="304">
        <v>1.0659842888251267</v>
      </c>
      <c r="Z106" s="304">
        <v>1.0672162926893995</v>
      </c>
      <c r="AA106" s="304">
        <v>1.0687219005512258</v>
      </c>
      <c r="AB106" s="305">
        <v>1.07</v>
      </c>
      <c r="AC106" s="304">
        <v>1.0711516429408379</v>
      </c>
      <c r="AD106" s="304">
        <v>1.0723680128548017</v>
      </c>
      <c r="AE106" s="304">
        <v>1.0732873067954365</v>
      </c>
      <c r="AF106" s="304">
        <v>1.0744844311527606</v>
      </c>
      <c r="AG106" s="304">
        <v>1.075</v>
      </c>
      <c r="AH106" s="304">
        <v>1.0764033791048528</v>
      </c>
      <c r="AI106" s="304">
        <v>1.0774621744785176</v>
      </c>
      <c r="AJ106" s="304">
        <v>1.0782471701972893</v>
      </c>
      <c r="AK106" s="304">
        <v>1.078835790115211</v>
      </c>
      <c r="AL106" s="305">
        <v>1.0802049934660476</v>
      </c>
      <c r="AM106" s="305">
        <f t="shared" si="2"/>
        <v>1.0802049934660476</v>
      </c>
      <c r="AN106" s="299"/>
    </row>
    <row r="107" spans="1:40" x14ac:dyDescent="0.2">
      <c r="A107" s="352">
        <v>24</v>
      </c>
      <c r="B107" s="304">
        <v>0.95799672137374292</v>
      </c>
      <c r="C107" s="304">
        <v>0.97299999999999998</v>
      </c>
      <c r="D107" s="304">
        <v>0.98599999999999999</v>
      </c>
      <c r="E107" s="304">
        <v>0.9959287033942319</v>
      </c>
      <c r="F107" s="304">
        <v>1.0040686766682672</v>
      </c>
      <c r="G107" s="304">
        <v>1.0114964229636869</v>
      </c>
      <c r="H107" s="304">
        <v>1.0181220340123345</v>
      </c>
      <c r="I107" s="304">
        <v>1.0233998677096274</v>
      </c>
      <c r="J107" s="305">
        <v>1.028</v>
      </c>
      <c r="K107" s="304">
        <v>1.032</v>
      </c>
      <c r="L107" s="304">
        <v>1.036</v>
      </c>
      <c r="M107" s="304">
        <v>1.0404804813624002</v>
      </c>
      <c r="N107" s="304">
        <v>1.0432694622721441</v>
      </c>
      <c r="O107" s="304">
        <v>1.0463640140579418</v>
      </c>
      <c r="P107" s="304">
        <v>1.0493201126108671</v>
      </c>
      <c r="Q107" s="304">
        <v>1.0516974361937665</v>
      </c>
      <c r="R107" s="304">
        <v>1.0544642744578185</v>
      </c>
      <c r="S107" s="305">
        <v>1.0564477697663484</v>
      </c>
      <c r="T107" s="304">
        <v>1.0583479915859255</v>
      </c>
      <c r="U107" s="304">
        <v>1.0604849707642698</v>
      </c>
      <c r="V107" s="304">
        <v>1.0621565711590073</v>
      </c>
      <c r="W107" s="304">
        <v>1.0640000000000001</v>
      </c>
      <c r="X107" s="304">
        <v>1.0651942276195567</v>
      </c>
      <c r="Y107" s="304">
        <v>1.0670626064536468</v>
      </c>
      <c r="Z107" s="304">
        <v>1.0683394761328349</v>
      </c>
      <c r="AA107" s="304">
        <v>1.0698597010889233</v>
      </c>
      <c r="AB107" s="305">
        <v>1.0705496863758592</v>
      </c>
      <c r="AC107" s="304">
        <v>1.0723135739674006</v>
      </c>
      <c r="AD107" s="304">
        <v>1.073</v>
      </c>
      <c r="AE107" s="304">
        <v>1.075</v>
      </c>
      <c r="AF107" s="304">
        <v>1.075681776247287</v>
      </c>
      <c r="AG107" s="304">
        <v>1.0769176117286927</v>
      </c>
      <c r="AH107" s="304">
        <v>1.0776213637331846</v>
      </c>
      <c r="AI107" s="304">
        <v>1.0780000000000001</v>
      </c>
      <c r="AJ107" s="304">
        <v>1.079</v>
      </c>
      <c r="AK107" s="304">
        <v>1.0800761217455204</v>
      </c>
      <c r="AL107" s="305">
        <v>1.0814630552817952</v>
      </c>
      <c r="AM107" s="305">
        <f t="shared" si="2"/>
        <v>1.0814630552817952</v>
      </c>
      <c r="AN107" s="299"/>
    </row>
    <row r="108" spans="1:40" x14ac:dyDescent="0.2">
      <c r="A108" s="353">
        <v>25</v>
      </c>
      <c r="B108" s="307">
        <v>0.95821723778670653</v>
      </c>
      <c r="C108" s="307">
        <v>0.97390730989359697</v>
      </c>
      <c r="D108" s="307">
        <v>0.98626489688660368</v>
      </c>
      <c r="E108" s="307">
        <v>0.99630412465413709</v>
      </c>
      <c r="F108" s="307">
        <v>1.0049335930894072</v>
      </c>
      <c r="G108" s="307">
        <v>1.0119365260976281</v>
      </c>
      <c r="H108" s="307">
        <v>1.0184797172607931</v>
      </c>
      <c r="I108" s="307">
        <v>1.0239450915228603</v>
      </c>
      <c r="J108" s="308">
        <v>1.0289147964757293</v>
      </c>
      <c r="K108" s="307">
        <v>1.0333079140171306</v>
      </c>
      <c r="L108" s="307">
        <v>1.0371912118856681</v>
      </c>
      <c r="M108" s="307">
        <v>1.0408838232787487</v>
      </c>
      <c r="N108" s="307">
        <v>1.0440166105490962</v>
      </c>
      <c r="O108" s="307">
        <v>1.0471515692976237</v>
      </c>
      <c r="P108" s="307">
        <v>1.0501224010567343</v>
      </c>
      <c r="Q108" s="307">
        <v>1.0525322512475797</v>
      </c>
      <c r="R108" s="307">
        <v>1.0549650788404963</v>
      </c>
      <c r="S108" s="308">
        <v>1.0573146977511343</v>
      </c>
      <c r="T108" s="307">
        <v>1.0592894860713991</v>
      </c>
      <c r="U108" s="307">
        <v>1.0614264190052707</v>
      </c>
      <c r="V108" s="307">
        <v>1.063123807262436</v>
      </c>
      <c r="W108" s="307">
        <v>1.0648060233207708</v>
      </c>
      <c r="X108" s="307">
        <v>1.0662108777038124</v>
      </c>
      <c r="Y108" s="307">
        <v>1.0680586705342592</v>
      </c>
      <c r="Z108" s="307">
        <v>1.0693825303780944</v>
      </c>
      <c r="AA108" s="307">
        <v>1.0709150523365951</v>
      </c>
      <c r="AB108" s="308">
        <v>1.0721263136786872</v>
      </c>
      <c r="AC108" s="307">
        <v>1.0733889057456705</v>
      </c>
      <c r="AD108" s="307">
        <v>1.0746504497320382</v>
      </c>
      <c r="AE108" s="307">
        <v>1.0755792020634958</v>
      </c>
      <c r="AF108" s="307">
        <v>1.0767883267487035</v>
      </c>
      <c r="AG108" s="307">
        <v>1.0778004630208944</v>
      </c>
      <c r="AH108" s="307">
        <v>1.0787509358312224</v>
      </c>
      <c r="AI108" s="307">
        <v>1.0798614717838564</v>
      </c>
      <c r="AJ108" s="307">
        <v>1.0806910634861073</v>
      </c>
      <c r="AK108" s="307">
        <v>1.0812269010203011</v>
      </c>
      <c r="AL108" s="308">
        <v>1.0826327613588096</v>
      </c>
      <c r="AM108" s="308">
        <f t="shared" si="2"/>
        <v>1.0826327613588096</v>
      </c>
      <c r="AN108" s="299"/>
    </row>
    <row r="109" spans="1:40" x14ac:dyDescent="0.2">
      <c r="A109" s="352">
        <v>26</v>
      </c>
      <c r="B109" s="304">
        <v>0.95842108854886776</v>
      </c>
      <c r="C109" s="304">
        <v>0.9741456486068758</v>
      </c>
      <c r="D109" s="304">
        <v>0.98598154569361762</v>
      </c>
      <c r="E109" s="304">
        <v>0.99665251709490343</v>
      </c>
      <c r="F109" s="304">
        <v>1.004847121181738</v>
      </c>
      <c r="G109" s="304">
        <v>1.0123432278289493</v>
      </c>
      <c r="H109" s="304">
        <v>1.0190591840846956</v>
      </c>
      <c r="I109" s="304">
        <v>1.0249999999999999</v>
      </c>
      <c r="J109" s="305">
        <v>1.0289999999999999</v>
      </c>
      <c r="K109" s="304">
        <v>1.0338959192549444</v>
      </c>
      <c r="L109" s="304">
        <v>1.0378086839842213</v>
      </c>
      <c r="M109" s="304">
        <v>1.0418762100378429</v>
      </c>
      <c r="N109" s="304">
        <v>1.0447076224590721</v>
      </c>
      <c r="O109" s="304">
        <v>1.0478822414153108</v>
      </c>
      <c r="P109" s="304">
        <v>1.0508617771468789</v>
      </c>
      <c r="Q109" s="304">
        <v>1.0533037576931286</v>
      </c>
      <c r="R109" s="304">
        <v>1.0561303771619939</v>
      </c>
      <c r="S109" s="305">
        <v>1.0581141294608589</v>
      </c>
      <c r="T109" s="304">
        <v>1.0601637073985477</v>
      </c>
      <c r="U109" s="304">
        <v>1.0622976040098644</v>
      </c>
      <c r="V109" s="304">
        <v>1.064021328761406</v>
      </c>
      <c r="W109" s="304">
        <v>1.0660000000000001</v>
      </c>
      <c r="X109" s="304">
        <v>1.0671582293818402</v>
      </c>
      <c r="Y109" s="304">
        <v>1.06898086163784</v>
      </c>
      <c r="Z109" s="304">
        <v>1.0703536554282589</v>
      </c>
      <c r="AA109" s="304">
        <v>1.0718962830144025</v>
      </c>
      <c r="AB109" s="305">
        <v>1.0726023526437896</v>
      </c>
      <c r="AC109" s="304">
        <v>1.0743862461787279</v>
      </c>
      <c r="AD109" s="304">
        <v>1.0756709573398004</v>
      </c>
      <c r="AE109" s="304">
        <v>1.0766053220409266</v>
      </c>
      <c r="AF109" s="304">
        <v>1.0778129417077729</v>
      </c>
      <c r="AG109" s="304">
        <v>1.0790898202072654</v>
      </c>
      <c r="AH109" s="304">
        <v>1.0798008453304451</v>
      </c>
      <c r="AI109" s="304">
        <v>1.080937751007526</v>
      </c>
      <c r="AJ109" s="304">
        <v>1.0817889427699452</v>
      </c>
      <c r="AK109" s="304">
        <v>1.083</v>
      </c>
      <c r="AL109" s="305">
        <v>1.0837229185932755</v>
      </c>
      <c r="AM109" s="305">
        <f t="shared" si="2"/>
        <v>1.0837229185932755</v>
      </c>
      <c r="AN109" s="299"/>
    </row>
    <row r="110" spans="1:40" x14ac:dyDescent="0.2">
      <c r="A110" s="352">
        <v>27</v>
      </c>
      <c r="B110" s="304">
        <v>0.95861059798209058</v>
      </c>
      <c r="C110" s="304">
        <v>0.97436535830515369</v>
      </c>
      <c r="D110" s="304">
        <v>0.98699999999999999</v>
      </c>
      <c r="E110" s="304">
        <v>0.99697740009560132</v>
      </c>
      <c r="F110" s="304">
        <v>1.0051948411397145</v>
      </c>
      <c r="G110" s="304">
        <v>1.0127207824474722</v>
      </c>
      <c r="H110" s="304">
        <v>1.0194732767819572</v>
      </c>
      <c r="I110" s="304">
        <v>1.0249175516700908</v>
      </c>
      <c r="J110" s="305">
        <v>1.03</v>
      </c>
      <c r="K110" s="304">
        <v>1.0344411770530921</v>
      </c>
      <c r="L110" s="304">
        <v>1.0383800768463247</v>
      </c>
      <c r="M110" s="304">
        <v>1.0424994546750186</v>
      </c>
      <c r="N110" s="304">
        <v>1.046</v>
      </c>
      <c r="O110" s="304">
        <v>1.0485620640582312</v>
      </c>
      <c r="P110" s="304">
        <v>1.0515446891119906</v>
      </c>
      <c r="Q110" s="304">
        <v>1.0540184395517664</v>
      </c>
      <c r="R110" s="304">
        <v>1.056872868850943</v>
      </c>
      <c r="S110" s="305">
        <v>1.0588528907510193</v>
      </c>
      <c r="T110" s="304">
        <v>1.0609773949398036</v>
      </c>
      <c r="U110" s="304">
        <v>1.0631054957640778</v>
      </c>
      <c r="V110" s="304">
        <v>1.064856073584451</v>
      </c>
      <c r="W110" s="304">
        <v>1.0669999999999999</v>
      </c>
      <c r="X110" s="304">
        <v>1.0680432334427195</v>
      </c>
      <c r="Y110" s="304">
        <v>1.0698364567068075</v>
      </c>
      <c r="Z110" s="304">
        <v>1.0712599639918077</v>
      </c>
      <c r="AA110" s="304">
        <v>1.072810628181982</v>
      </c>
      <c r="AB110" s="305">
        <v>1.0735190934997738</v>
      </c>
      <c r="AC110" s="304">
        <v>1.0753130874682579</v>
      </c>
      <c r="AD110" s="304">
        <v>1.0766212924907661</v>
      </c>
      <c r="AE110" s="304">
        <v>1.0775618714285651</v>
      </c>
      <c r="AF110" s="304">
        <v>1.0787633484251815</v>
      </c>
      <c r="AG110" s="304">
        <v>1.080060687379518</v>
      </c>
      <c r="AH110" s="304">
        <v>1.0807787097816479</v>
      </c>
      <c r="AI110" s="304">
        <v>1.0819422632050189</v>
      </c>
      <c r="AJ110" s="304">
        <v>1.0828146197877038</v>
      </c>
      <c r="AK110" s="304">
        <v>1.0840000000000001</v>
      </c>
      <c r="AL110" s="305">
        <v>1.0847411861064116</v>
      </c>
      <c r="AM110" s="305">
        <f t="shared" si="2"/>
        <v>1.0847411861064116</v>
      </c>
      <c r="AN110" s="299"/>
    </row>
    <row r="111" spans="1:40" x14ac:dyDescent="0.2">
      <c r="A111" s="352">
        <v>28</v>
      </c>
      <c r="B111" s="304">
        <v>0.95878773428671538</v>
      </c>
      <c r="C111" s="304">
        <v>0.97456887857768493</v>
      </c>
      <c r="D111" s="304">
        <v>0.98653884944875692</v>
      </c>
      <c r="E111" s="304">
        <v>0.998</v>
      </c>
      <c r="F111" s="304">
        <v>1.0055195115795093</v>
      </c>
      <c r="G111" s="304">
        <v>1.0130728184751681</v>
      </c>
      <c r="H111" s="304">
        <v>1.0198566224600882</v>
      </c>
      <c r="I111" s="304">
        <v>1.026</v>
      </c>
      <c r="J111" s="305">
        <v>1.0309750321248814</v>
      </c>
      <c r="K111" s="304">
        <v>1.0349483245935098</v>
      </c>
      <c r="L111" s="304">
        <v>1.0389102408076125</v>
      </c>
      <c r="M111" s="304">
        <v>1.0430798843086211</v>
      </c>
      <c r="N111" s="304">
        <v>1.0459442286759322</v>
      </c>
      <c r="O111" s="304">
        <v>1.0491962643180712</v>
      </c>
      <c r="P111" s="304">
        <v>1.0521767449591737</v>
      </c>
      <c r="Q111" s="304">
        <v>1.0546819349752823</v>
      </c>
      <c r="R111" s="304">
        <v>1.0569999999999999</v>
      </c>
      <c r="S111" s="305">
        <v>1.0595369256417317</v>
      </c>
      <c r="T111" s="304">
        <v>1.0617364188135807</v>
      </c>
      <c r="U111" s="304">
        <v>1.0638561733374898</v>
      </c>
      <c r="V111" s="304">
        <v>1.0656340892144216</v>
      </c>
      <c r="W111" s="304">
        <v>1.0666167956578565</v>
      </c>
      <c r="X111" s="304">
        <v>1.0688719411997374</v>
      </c>
      <c r="Y111" s="304">
        <v>1.0706318067513456</v>
      </c>
      <c r="Z111" s="304">
        <v>1.0721076575927588</v>
      </c>
      <c r="AA111" s="304">
        <v>1.0736644051177913</v>
      </c>
      <c r="AB111" s="305">
        <v>1.075</v>
      </c>
      <c r="AC111" s="304">
        <v>1.0761759837728071</v>
      </c>
      <c r="AD111" s="304">
        <v>1.0775079703642589</v>
      </c>
      <c r="AE111" s="304">
        <v>1.079</v>
      </c>
      <c r="AF111" s="304">
        <v>1.0796463206964619</v>
      </c>
      <c r="AG111" s="304">
        <v>1.0809640579010054</v>
      </c>
      <c r="AH111" s="304">
        <v>1.0816911945422598</v>
      </c>
      <c r="AI111" s="304">
        <v>1.0828816380014807</v>
      </c>
      <c r="AJ111" s="304">
        <v>1.0837747446102628</v>
      </c>
      <c r="AK111" s="304">
        <v>1.085</v>
      </c>
      <c r="AL111" s="305">
        <v>1.0856942589070964</v>
      </c>
      <c r="AM111" s="305">
        <f t="shared" si="2"/>
        <v>1.0856942589070964</v>
      </c>
      <c r="AN111" s="299"/>
    </row>
    <row r="112" spans="1:40" x14ac:dyDescent="0.2">
      <c r="A112" s="352">
        <v>29</v>
      </c>
      <c r="B112" s="304">
        <v>0.95895417187172294</v>
      </c>
      <c r="C112" s="304">
        <v>0.97475829300603978</v>
      </c>
      <c r="D112" s="304">
        <v>0.98679611534510203</v>
      </c>
      <c r="E112" s="304">
        <v>0.99756818516771995</v>
      </c>
      <c r="F112" s="304">
        <v>1.0058239749523326</v>
      </c>
      <c r="G112" s="304">
        <v>1.0134024456169255</v>
      </c>
      <c r="H112" s="304">
        <v>1.0202126840407533</v>
      </c>
      <c r="I112" s="304">
        <v>1.0257616176509694</v>
      </c>
      <c r="J112" s="305">
        <v>1.0314173993895612</v>
      </c>
      <c r="K112" s="304">
        <v>1.0354213809125283</v>
      </c>
      <c r="L112" s="304">
        <v>1.0394033913937812</v>
      </c>
      <c r="M112" s="304">
        <v>1.0429999999999999</v>
      </c>
      <c r="N112" s="304">
        <v>1.0464994643599235</v>
      </c>
      <c r="O112" s="304">
        <v>1.0497893926771318</v>
      </c>
      <c r="P112" s="304">
        <v>1.052</v>
      </c>
      <c r="Q112" s="304">
        <v>1.0552991702028591</v>
      </c>
      <c r="R112" s="304">
        <v>1.0582057147122415</v>
      </c>
      <c r="S112" s="305">
        <v>1.0601714349673819</v>
      </c>
      <c r="T112" s="304">
        <v>1.0624459165747855</v>
      </c>
      <c r="U112" s="304">
        <v>1.0640000000000001</v>
      </c>
      <c r="V112" s="304">
        <v>1.0663606722016665</v>
      </c>
      <c r="W112" s="304">
        <v>1.0680000000000001</v>
      </c>
      <c r="X112" s="304">
        <v>1.0696496463431613</v>
      </c>
      <c r="Y112" s="304">
        <v>1.0713724809648839</v>
      </c>
      <c r="Z112" s="304">
        <v>1.0729021692359419</v>
      </c>
      <c r="AA112" s="304">
        <v>1.0744631559791198</v>
      </c>
      <c r="AB112" s="305">
        <v>1.0760000000000001</v>
      </c>
      <c r="AC112" s="304">
        <v>1.0769806955687657</v>
      </c>
      <c r="AD112" s="304">
        <v>1.078336716601505</v>
      </c>
      <c r="AE112" s="304">
        <v>1.0792915246879122</v>
      </c>
      <c r="AF112" s="304">
        <v>1.081</v>
      </c>
      <c r="AG112" s="304">
        <v>1.0818058844185312</v>
      </c>
      <c r="AH112" s="304">
        <v>1.0825441592050147</v>
      </c>
      <c r="AI112" s="304">
        <v>1.0837617030121141</v>
      </c>
      <c r="AJ112" s="304">
        <v>1.0846751638210592</v>
      </c>
      <c r="AK112" s="304">
        <v>1.0860000000000001</v>
      </c>
      <c r="AL112" s="305">
        <v>1.0865880169907391</v>
      </c>
      <c r="AM112" s="305">
        <f t="shared" si="2"/>
        <v>1.0865880169907391</v>
      </c>
      <c r="AN112" s="299"/>
    </row>
    <row r="113" spans="1:40" x14ac:dyDescent="0.2">
      <c r="A113" s="353">
        <v>30</v>
      </c>
      <c r="B113" s="307">
        <v>0.95911134131002074</v>
      </c>
      <c r="C113" s="307">
        <v>0.97493538889648867</v>
      </c>
      <c r="D113" s="307">
        <v>0.98773595679915871</v>
      </c>
      <c r="E113" s="307">
        <v>0.9978388489692086</v>
      </c>
      <c r="F113" s="307">
        <v>1.0067818969538067</v>
      </c>
      <c r="G113" s="307">
        <v>1.0137123408184394</v>
      </c>
      <c r="H113" s="307">
        <v>1.0207239804739001</v>
      </c>
      <c r="I113" s="307">
        <v>1.0261441857431997</v>
      </c>
      <c r="J113" s="308">
        <v>1.0315249409843352</v>
      </c>
      <c r="K113" s="307">
        <v>1.0358638451633513</v>
      </c>
      <c r="L113" s="307">
        <v>1.0398632090185433</v>
      </c>
      <c r="M113" s="307">
        <v>1.0439643800583855</v>
      </c>
      <c r="N113" s="307">
        <v>1.0470180774358893</v>
      </c>
      <c r="O113" s="307">
        <v>1.0509999999999999</v>
      </c>
      <c r="P113" s="307">
        <v>1.0533072920216346</v>
      </c>
      <c r="Q113" s="307">
        <v>1.0558744687104469</v>
      </c>
      <c r="R113" s="307">
        <v>1.0586336035141779</v>
      </c>
      <c r="S113" s="308">
        <v>1.0607609894915968</v>
      </c>
      <c r="T113" s="307">
        <v>1.0631104047152147</v>
      </c>
      <c r="U113" s="307">
        <v>1.0652065568285822</v>
      </c>
      <c r="V113" s="307">
        <v>1.067040482038832</v>
      </c>
      <c r="W113" s="307">
        <v>1.0688689568822998</v>
      </c>
      <c r="X113" s="307">
        <v>1.071</v>
      </c>
      <c r="Y113" s="307">
        <v>1.0720633844927903</v>
      </c>
      <c r="Z113" s="307">
        <v>1.0736482798615401</v>
      </c>
      <c r="AA113" s="307">
        <v>1.0752117643972012</v>
      </c>
      <c r="AB113" s="308">
        <v>1.0764416143029951</v>
      </c>
      <c r="AC113" s="307">
        <v>1.0777323078409065</v>
      </c>
      <c r="AD113" s="307">
        <v>1.0791125849954402</v>
      </c>
      <c r="AE113" s="307">
        <v>1.0800753934150888</v>
      </c>
      <c r="AF113" s="307">
        <v>1.0812331342196226</v>
      </c>
      <c r="AG113" s="307">
        <v>1.0822628207875888</v>
      </c>
      <c r="AH113" s="307">
        <v>1.0833427774919944</v>
      </c>
      <c r="AI113" s="307">
        <v>1.0840000000000001</v>
      </c>
      <c r="AJ113" s="307">
        <v>1.085</v>
      </c>
      <c r="AK113" s="307">
        <v>1.0859092958877554</v>
      </c>
      <c r="AL113" s="308">
        <v>1.0874276472975917</v>
      </c>
      <c r="AM113" s="308">
        <f t="shared" si="2"/>
        <v>1.0874276472975917</v>
      </c>
      <c r="AN113" s="299"/>
    </row>
    <row r="114" spans="1:40" x14ac:dyDescent="0.2">
      <c r="A114" s="352">
        <v>31</v>
      </c>
      <c r="B114" s="304">
        <v>0.95926046966518552</v>
      </c>
      <c r="C114" s="304">
        <v>0.97510170560255605</v>
      </c>
      <c r="D114" s="304">
        <v>0.98799999999999999</v>
      </c>
      <c r="E114" s="304">
        <v>0.99809565804579514</v>
      </c>
      <c r="F114" s="304">
        <v>1.0069999999999999</v>
      </c>
      <c r="G114" s="304">
        <v>1.0140048180122136</v>
      </c>
      <c r="H114" s="304">
        <v>1.0208545655283885</v>
      </c>
      <c r="I114" s="304">
        <v>1.026</v>
      </c>
      <c r="J114" s="305">
        <v>1.0322189833337152</v>
      </c>
      <c r="K114" s="304">
        <v>1.0362787767847876</v>
      </c>
      <c r="L114" s="304">
        <v>1.040292920481322</v>
      </c>
      <c r="M114" s="304">
        <v>1.044</v>
      </c>
      <c r="N114" s="304">
        <v>1.0475035172947753</v>
      </c>
      <c r="O114" s="304">
        <v>1.0508678668167935</v>
      </c>
      <c r="P114" s="304">
        <v>1.0538138764767337</v>
      </c>
      <c r="Q114" s="304">
        <v>1.0569999999999999</v>
      </c>
      <c r="R114" s="304">
        <v>1.0593663190183122</v>
      </c>
      <c r="S114" s="305">
        <v>1.0620000000000001</v>
      </c>
      <c r="T114" s="304">
        <v>1.0637338702617707</v>
      </c>
      <c r="U114" s="304">
        <v>1.0658150961847044</v>
      </c>
      <c r="V114" s="304">
        <v>1.0676776347673171</v>
      </c>
      <c r="W114" s="304">
        <v>1.07</v>
      </c>
      <c r="X114" s="304">
        <v>1.0710701086406482</v>
      </c>
      <c r="Y114" s="304">
        <v>1.0727088553495525</v>
      </c>
      <c r="Z114" s="304">
        <v>1.0743502140783256</v>
      </c>
      <c r="AA114" s="304">
        <v>1.0759145514424189</v>
      </c>
      <c r="AB114" s="305">
        <v>1.0765993360105166</v>
      </c>
      <c r="AC114" s="304">
        <v>1.079</v>
      </c>
      <c r="AD114" s="304">
        <v>1.0798400545010785</v>
      </c>
      <c r="AE114" s="304">
        <v>1.0808114384598808</v>
      </c>
      <c r="AF114" s="304">
        <v>1.0819469366136185</v>
      </c>
      <c r="AG114" s="304">
        <v>1.0833253781146233</v>
      </c>
      <c r="AH114" s="304">
        <v>1.0840916361109862</v>
      </c>
      <c r="AI114" s="304">
        <v>1.085363899835472</v>
      </c>
      <c r="AJ114" s="304">
        <v>1.0863169508780335</v>
      </c>
      <c r="AK114" s="304">
        <v>1.086673476094955</v>
      </c>
      <c r="AL114" s="305">
        <v>1.0882177441736594</v>
      </c>
      <c r="AM114" s="305">
        <f t="shared" si="2"/>
        <v>1.0882177441736594</v>
      </c>
      <c r="AN114" s="299"/>
    </row>
    <row r="115" spans="1:40" x14ac:dyDescent="0.2">
      <c r="A115" s="352">
        <v>32</v>
      </c>
      <c r="B115" s="304">
        <v>0.95940261326427079</v>
      </c>
      <c r="C115" s="304">
        <v>0.97525857387994419</v>
      </c>
      <c r="D115" s="304">
        <v>0.98750394473301095</v>
      </c>
      <c r="E115" s="304">
        <v>0.999</v>
      </c>
      <c r="F115" s="304">
        <v>1.0066389517661551</v>
      </c>
      <c r="G115" s="304">
        <v>1.0142818850229145</v>
      </c>
      <c r="H115" s="304">
        <v>1.0211452753611663</v>
      </c>
      <c r="I115" s="304">
        <v>1.0268439410817192</v>
      </c>
      <c r="J115" s="305">
        <v>1.032</v>
      </c>
      <c r="K115" s="304">
        <v>1.0366688613459267</v>
      </c>
      <c r="L115" s="304">
        <v>1.0406953660319516</v>
      </c>
      <c r="M115" s="304">
        <v>1.0450526662139803</v>
      </c>
      <c r="N115" s="304">
        <v>1.0479588262533699</v>
      </c>
      <c r="O115" s="304">
        <v>1.0513597886786188</v>
      </c>
      <c r="P115" s="304">
        <v>1.0542859536517366</v>
      </c>
      <c r="Q115" s="304">
        <v>1.0569140574817295</v>
      </c>
      <c r="R115" s="304">
        <v>1.0589999999999999</v>
      </c>
      <c r="S115" s="305">
        <v>1.0618209083787256</v>
      </c>
      <c r="T115" s="304">
        <v>1.064319846522219</v>
      </c>
      <c r="U115" s="304">
        <v>1.0663842590596191</v>
      </c>
      <c r="V115" s="304">
        <v>1.0682757804302812</v>
      </c>
      <c r="W115" s="304">
        <v>1.07</v>
      </c>
      <c r="X115" s="304">
        <v>1.0717206066648839</v>
      </c>
      <c r="Y115" s="304">
        <v>1.073312744699779</v>
      </c>
      <c r="Z115" s="304">
        <v>1.0750117193819875</v>
      </c>
      <c r="AA115" s="304">
        <v>1.0760000000000001</v>
      </c>
      <c r="AB115" s="305">
        <v>1.0780000000000001</v>
      </c>
      <c r="AC115" s="304">
        <v>1.0790937643706164</v>
      </c>
      <c r="AD115" s="304">
        <v>1.08</v>
      </c>
      <c r="AE115" s="304">
        <v>1.081</v>
      </c>
      <c r="AF115" s="304">
        <v>1.0826134069179656</v>
      </c>
      <c r="AG115" s="304">
        <v>1.0840118900930411</v>
      </c>
      <c r="AH115" s="304">
        <v>1.0847948167977133</v>
      </c>
      <c r="AI115" s="304">
        <v>1.0860946512338683</v>
      </c>
      <c r="AJ115" s="304">
        <v>1.0870669700433635</v>
      </c>
      <c r="AK115" s="304">
        <v>1.0880000000000001</v>
      </c>
      <c r="AL115" s="305">
        <v>1.0889623926661127</v>
      </c>
      <c r="AM115" s="305">
        <f t="shared" si="2"/>
        <v>1.0889623926661127</v>
      </c>
      <c r="AN115" s="299"/>
    </row>
    <row r="116" spans="1:40" x14ac:dyDescent="0.2">
      <c r="A116" s="352">
        <v>33</v>
      </c>
      <c r="B116" s="304">
        <v>0.95953868449845303</v>
      </c>
      <c r="C116" s="304">
        <v>0.97599999999999998</v>
      </c>
      <c r="D116" s="304">
        <v>0.98772313807532541</v>
      </c>
      <c r="E116" s="304">
        <v>0.99857406844977248</v>
      </c>
      <c r="F116" s="304">
        <v>1.0068839485157148</v>
      </c>
      <c r="G116" s="304">
        <v>1.01454529028675</v>
      </c>
      <c r="H116" s="304">
        <v>1.0214185896583987</v>
      </c>
      <c r="I116" s="304">
        <v>1.0271655498000383</v>
      </c>
      <c r="J116" s="305">
        <v>1.032</v>
      </c>
      <c r="K116" s="304">
        <v>1.0370364649640229</v>
      </c>
      <c r="L116" s="304">
        <v>1.0410730549022287</v>
      </c>
      <c r="M116" s="304">
        <v>1.0454744136554117</v>
      </c>
      <c r="N116" s="304">
        <v>1.0483866974800722</v>
      </c>
      <c r="O116" s="304">
        <v>1.051823920932089</v>
      </c>
      <c r="P116" s="304">
        <v>1.0547265028738568</v>
      </c>
      <c r="Q116" s="304">
        <v>1.0573847121759363</v>
      </c>
      <c r="R116" s="304">
        <v>1.0603842069470686</v>
      </c>
      <c r="S116" s="305">
        <v>1.06229802313509</v>
      </c>
      <c r="T116" s="304">
        <v>1.0648714761082831</v>
      </c>
      <c r="U116" s="304">
        <v>1.0669173195358976</v>
      </c>
      <c r="V116" s="304">
        <v>1.0688381675541176</v>
      </c>
      <c r="W116" s="304">
        <v>1.071</v>
      </c>
      <c r="X116" s="304">
        <v>1.0723357275696601</v>
      </c>
      <c r="Y116" s="304">
        <v>1.0738784837659512</v>
      </c>
      <c r="Z116" s="304">
        <v>1.07563613211124</v>
      </c>
      <c r="AA116" s="304">
        <v>1.0771975966852381</v>
      </c>
      <c r="AB116" s="305">
        <v>1.079</v>
      </c>
      <c r="AC116" s="304">
        <v>1.0797111984490464</v>
      </c>
      <c r="AD116" s="304">
        <v>1.0811653080992649</v>
      </c>
      <c r="AE116" s="304">
        <v>1.0821555101558862</v>
      </c>
      <c r="AF116" s="304">
        <v>1.0840000000000001</v>
      </c>
      <c r="AG116" s="304">
        <v>1.0846546972558373</v>
      </c>
      <c r="AH116" s="304">
        <v>1.0860000000000001</v>
      </c>
      <c r="AI116" s="304">
        <v>1.0867834819380233</v>
      </c>
      <c r="AJ116" s="304">
        <v>1.0877747363639383</v>
      </c>
      <c r="AK116" s="304">
        <v>1.089</v>
      </c>
      <c r="AL116" s="305">
        <v>1.0896652380087788</v>
      </c>
      <c r="AM116" s="305">
        <f t="shared" si="2"/>
        <v>1.0896652380087788</v>
      </c>
      <c r="AN116" s="299"/>
    </row>
    <row r="117" spans="1:40" x14ac:dyDescent="0.2">
      <c r="A117" s="352">
        <v>34</v>
      </c>
      <c r="B117" s="304">
        <v>0.95966947386798929</v>
      </c>
      <c r="C117" s="304">
        <v>0.97554843303022543</v>
      </c>
      <c r="D117" s="304">
        <v>0.98793578350211875</v>
      </c>
      <c r="E117" s="304">
        <v>0.99879834162543935</v>
      </c>
      <c r="F117" s="304">
        <v>1.008</v>
      </c>
      <c r="G117" s="304">
        <v>1.0147965614326055</v>
      </c>
      <c r="H117" s="304">
        <v>1.0216762663286558</v>
      </c>
      <c r="I117" s="304">
        <v>1.028</v>
      </c>
      <c r="J117" s="305">
        <v>1.033252251700983</v>
      </c>
      <c r="K117" s="304">
        <v>1.0373836795414833</v>
      </c>
      <c r="L117" s="304">
        <v>1.042</v>
      </c>
      <c r="M117" s="304">
        <v>1.0449999999999999</v>
      </c>
      <c r="N117" s="304">
        <v>1.0487895233031999</v>
      </c>
      <c r="O117" s="304">
        <v>1.0522626849850796</v>
      </c>
      <c r="P117" s="304">
        <v>1.055138178938998</v>
      </c>
      <c r="Q117" s="304">
        <v>1.057826271908781</v>
      </c>
      <c r="R117" s="304">
        <v>1.06</v>
      </c>
      <c r="S117" s="305">
        <v>1.0627438013583939</v>
      </c>
      <c r="T117" s="304">
        <v>1.0653915636755569</v>
      </c>
      <c r="U117" s="304">
        <v>1.0674172027786084</v>
      </c>
      <c r="V117" s="304">
        <v>1.0693676971398001</v>
      </c>
      <c r="W117" s="304">
        <v>1.071</v>
      </c>
      <c r="X117" s="304">
        <v>1.072918355593911</v>
      </c>
      <c r="Y117" s="304">
        <v>1.0744091399100759</v>
      </c>
      <c r="Z117" s="304">
        <v>1.0762264326783324</v>
      </c>
      <c r="AA117" s="304">
        <v>1.077</v>
      </c>
      <c r="AB117" s="305">
        <v>1.079</v>
      </c>
      <c r="AC117" s="304">
        <v>1.0802908368403741</v>
      </c>
      <c r="AD117" s="304">
        <v>1.081</v>
      </c>
      <c r="AE117" s="304">
        <v>1.0827702485021642</v>
      </c>
      <c r="AF117" s="304">
        <v>1.0838189074658289</v>
      </c>
      <c r="AG117" s="304">
        <v>1.0852571462200606</v>
      </c>
      <c r="AH117" s="304">
        <v>1.0860783464938173</v>
      </c>
      <c r="AI117" s="304">
        <v>1.0874336395015576</v>
      </c>
      <c r="AJ117" s="304">
        <v>1.0884435107873154</v>
      </c>
      <c r="AK117" s="304">
        <v>1.0887012907348526</v>
      </c>
      <c r="AL117" s="305">
        <v>1.0903295439190399</v>
      </c>
      <c r="AM117" s="305">
        <f t="shared" si="2"/>
        <v>1.0903295439190399</v>
      </c>
      <c r="AN117" s="299"/>
    </row>
    <row r="118" spans="1:40" x14ac:dyDescent="0.2">
      <c r="A118" s="353">
        <v>35</v>
      </c>
      <c r="B118" s="307">
        <v>0.95979566821461137</v>
      </c>
      <c r="C118" s="307">
        <v>0.97568330548158932</v>
      </c>
      <c r="D118" s="307">
        <v>0.98851203477167027</v>
      </c>
      <c r="E118" s="307">
        <v>0.99901416294581724</v>
      </c>
      <c r="F118" s="307">
        <v>1.0078253593816975</v>
      </c>
      <c r="G118" s="307">
        <v>1.0150370373172284</v>
      </c>
      <c r="H118" s="307">
        <v>1.0220239425702302</v>
      </c>
      <c r="I118" s="307">
        <v>1.0277613488671593</v>
      </c>
      <c r="J118" s="308">
        <v>1.0330625076079327</v>
      </c>
      <c r="K118" s="307">
        <v>1.0377123605769323</v>
      </c>
      <c r="L118" s="307">
        <v>1.0417628144170199</v>
      </c>
      <c r="M118" s="307">
        <v>1.0458223560114503</v>
      </c>
      <c r="N118" s="307">
        <v>1.049169435718259</v>
      </c>
      <c r="O118" s="307">
        <v>1.0526782380976072</v>
      </c>
      <c r="P118" s="307">
        <v>1.0555233550317951</v>
      </c>
      <c r="Q118" s="307">
        <v>1.058241120620508</v>
      </c>
      <c r="R118" s="307">
        <v>1.0609435381200505</v>
      </c>
      <c r="S118" s="308">
        <v>1.0631607795384361</v>
      </c>
      <c r="T118" s="307">
        <v>1.0658826202967637</v>
      </c>
      <c r="U118" s="307">
        <v>1.0678865305131977</v>
      </c>
      <c r="V118" s="307">
        <v>1.0698669681145996</v>
      </c>
      <c r="W118" s="307">
        <v>1.0715514546581684</v>
      </c>
      <c r="X118" s="307">
        <v>1.0734710722202667</v>
      </c>
      <c r="Y118" s="307">
        <v>1.0749074638933864</v>
      </c>
      <c r="Z118" s="307">
        <v>1.0767852920678944</v>
      </c>
      <c r="AA118" s="307">
        <v>1.0783383190103528</v>
      </c>
      <c r="AB118" s="308">
        <v>1.0794374550572987</v>
      </c>
      <c r="AC118" s="307">
        <v>1.080835561481122</v>
      </c>
      <c r="AD118" s="307">
        <v>1.0823395578598625</v>
      </c>
      <c r="AE118" s="307">
        <v>1.0833506914311843</v>
      </c>
      <c r="AF118" s="307">
        <v>1.0843643059421026</v>
      </c>
      <c r="AG118" s="307">
        <v>1.0855266888808082</v>
      </c>
      <c r="AH118" s="307">
        <v>1.0866648977599078</v>
      </c>
      <c r="AI118" s="307">
        <v>1.0880480429246933</v>
      </c>
      <c r="AJ118" s="307">
        <v>1.0890762248688561</v>
      </c>
      <c r="AK118" s="307">
        <v>1.0893000413324743</v>
      </c>
      <c r="AL118" s="308">
        <v>1.0909582417701205</v>
      </c>
      <c r="AM118" s="308">
        <f t="shared" si="2"/>
        <v>1.0909582417701205</v>
      </c>
      <c r="AN118" s="299"/>
    </row>
    <row r="119" spans="1:40" x14ac:dyDescent="0.2">
      <c r="A119" s="352">
        <v>36</v>
      </c>
      <c r="B119" s="304">
        <v>0.95991786587810113</v>
      </c>
      <c r="C119" s="304">
        <v>0.97581253305503668</v>
      </c>
      <c r="D119" s="304">
        <v>0.98899999999999999</v>
      </c>
      <c r="E119" s="304">
        <v>0.99922248650116208</v>
      </c>
      <c r="F119" s="304">
        <v>1.0075586092720281</v>
      </c>
      <c r="G119" s="304">
        <v>1.016</v>
      </c>
      <c r="H119" s="304">
        <v>1.0221507336034195</v>
      </c>
      <c r="I119" s="304">
        <v>1.0280385620005026</v>
      </c>
      <c r="J119" s="305">
        <v>1.0329999999999999</v>
      </c>
      <c r="K119" s="304">
        <v>1.0380241589320316</v>
      </c>
      <c r="L119" s="304">
        <v>1.042078628471568</v>
      </c>
      <c r="M119" s="304">
        <v>1.046</v>
      </c>
      <c r="N119" s="304">
        <v>1.049528340527869</v>
      </c>
      <c r="O119" s="304">
        <v>1.0530725081025094</v>
      </c>
      <c r="P119" s="304">
        <v>1.0558841589891381</v>
      </c>
      <c r="Q119" s="304">
        <v>1.0586313956407802</v>
      </c>
      <c r="R119" s="304">
        <v>1.0616930061515322</v>
      </c>
      <c r="S119" s="305">
        <v>1.0635512344951046</v>
      </c>
      <c r="T119" s="304">
        <v>1.0663469009853239</v>
      </c>
      <c r="U119" s="304">
        <v>1.0683276595242477</v>
      </c>
      <c r="V119" s="304">
        <v>1.0703383157888</v>
      </c>
      <c r="W119" s="304">
        <v>1.0715065491591804</v>
      </c>
      <c r="X119" s="304">
        <v>1.0739961949822825</v>
      </c>
      <c r="Y119" s="304">
        <v>1.0760000000000001</v>
      </c>
      <c r="Z119" s="304">
        <v>1.077315111183158</v>
      </c>
      <c r="AA119" s="304">
        <v>1.0788620162415257</v>
      </c>
      <c r="AB119" s="305">
        <v>1.08</v>
      </c>
      <c r="AC119" s="304">
        <v>1.0820000000000001</v>
      </c>
      <c r="AD119" s="304">
        <v>1.0828770534908012</v>
      </c>
      <c r="AE119" s="304">
        <v>1.0838994021297852</v>
      </c>
      <c r="AF119" s="304">
        <v>1.0848751987286822</v>
      </c>
      <c r="AG119" s="304">
        <v>1.086352727957256</v>
      </c>
      <c r="AH119" s="304">
        <v>1.087218265370981</v>
      </c>
      <c r="AI119" s="304">
        <v>1.0880000000000001</v>
      </c>
      <c r="AJ119" s="304">
        <v>1.089</v>
      </c>
      <c r="AK119" s="304">
        <v>1.0898649119221271</v>
      </c>
      <c r="AL119" s="305">
        <v>1.091</v>
      </c>
      <c r="AM119" s="305">
        <f t="shared" si="2"/>
        <v>1.091</v>
      </c>
      <c r="AN119" s="299"/>
    </row>
    <row r="120" spans="1:40" x14ac:dyDescent="0.2">
      <c r="A120" s="352">
        <v>37</v>
      </c>
      <c r="B120" s="304">
        <v>0.96003658935667557</v>
      </c>
      <c r="C120" s="304">
        <v>0.97593678931530459</v>
      </c>
      <c r="D120" s="304">
        <v>0.98854265723737778</v>
      </c>
      <c r="E120" s="304">
        <v>0.99942415115481753</v>
      </c>
      <c r="F120" s="304">
        <v>1.0077669666519449</v>
      </c>
      <c r="G120" s="304">
        <v>1.016</v>
      </c>
      <c r="H120" s="304">
        <v>1.0229999999999999</v>
      </c>
      <c r="I120" s="304">
        <v>1.0283037173127632</v>
      </c>
      <c r="J120" s="305">
        <v>1.0341296111391769</v>
      </c>
      <c r="K120" s="304">
        <v>1.0383205476495398</v>
      </c>
      <c r="L120" s="304">
        <v>1.0429999999999999</v>
      </c>
      <c r="M120" s="304">
        <v>1.046</v>
      </c>
      <c r="N120" s="304">
        <v>1.0498679462539182</v>
      </c>
      <c r="O120" s="304">
        <v>1.0534472227992271</v>
      </c>
      <c r="P120" s="304">
        <v>1.0562225040860578</v>
      </c>
      <c r="Q120" s="304">
        <v>1.058999018666287</v>
      </c>
      <c r="R120" s="304">
        <v>1.062080174086016</v>
      </c>
      <c r="S120" s="305">
        <v>1.0639172157401642</v>
      </c>
      <c r="T120" s="304">
        <v>1.0660000000000001</v>
      </c>
      <c r="U120" s="304">
        <v>1.0687427144011605</v>
      </c>
      <c r="V120" s="304">
        <v>1.07078384454916</v>
      </c>
      <c r="W120" s="304">
        <v>1.0719781136332442</v>
      </c>
      <c r="X120" s="304">
        <v>1.0744958104236739</v>
      </c>
      <c r="Y120" s="304">
        <v>1.0758167696115295</v>
      </c>
      <c r="Z120" s="304">
        <v>1.077818054298781</v>
      </c>
      <c r="AA120" s="304">
        <v>1.0793576576946475</v>
      </c>
      <c r="AB120" s="305">
        <v>1.081</v>
      </c>
      <c r="AC120" s="304">
        <v>1.0818304091047679</v>
      </c>
      <c r="AD120" s="304">
        <v>1.0833846555591686</v>
      </c>
      <c r="AE120" s="304">
        <v>1.0844186953507908</v>
      </c>
      <c r="AF120" s="304">
        <v>1.0860000000000001</v>
      </c>
      <c r="AG120" s="304">
        <v>1.0868510434078131</v>
      </c>
      <c r="AH120" s="304">
        <v>1.087740842021695</v>
      </c>
      <c r="AI120" s="304">
        <v>1.0891798605647234</v>
      </c>
      <c r="AJ120" s="304">
        <v>1.0902437916609065</v>
      </c>
      <c r="AK120" s="304">
        <v>1.091</v>
      </c>
      <c r="AL120" s="305">
        <v>1.092119120996264</v>
      </c>
      <c r="AM120" s="305">
        <f t="shared" si="2"/>
        <v>1.092119120996264</v>
      </c>
      <c r="AN120" s="299"/>
    </row>
    <row r="121" spans="1:40" x14ac:dyDescent="0.2">
      <c r="A121" s="352">
        <v>38</v>
      </c>
      <c r="B121" s="304">
        <v>0.96015229593025264</v>
      </c>
      <c r="C121" s="304">
        <v>0.97605666675333824</v>
      </c>
      <c r="D121" s="304">
        <v>0.98873682369587224</v>
      </c>
      <c r="E121" s="304">
        <v>0.99961989629912251</v>
      </c>
      <c r="F121" s="304">
        <v>1.0089999999999999</v>
      </c>
      <c r="G121" s="304">
        <v>1.0157047824437853</v>
      </c>
      <c r="H121" s="304">
        <v>1.0225790883951096</v>
      </c>
      <c r="I121" s="304">
        <v>1.0285579363479393</v>
      </c>
      <c r="J121" s="305">
        <v>1.0343943901542672</v>
      </c>
      <c r="K121" s="304">
        <v>1.038</v>
      </c>
      <c r="L121" s="304">
        <v>1.0426600441824934</v>
      </c>
      <c r="M121" s="304">
        <v>1.046</v>
      </c>
      <c r="N121" s="304">
        <v>1.0501897887337597</v>
      </c>
      <c r="O121" s="304">
        <v>1.0529999999999999</v>
      </c>
      <c r="P121" s="304">
        <v>1.056</v>
      </c>
      <c r="Q121" s="304">
        <v>1.0593457221729579</v>
      </c>
      <c r="R121" s="304">
        <v>1.0624459118823602</v>
      </c>
      <c r="S121" s="305">
        <v>1.064260573098758</v>
      </c>
      <c r="T121" s="304">
        <v>1.0672030609488286</v>
      </c>
      <c r="U121" s="304">
        <v>1.0691336155153868</v>
      </c>
      <c r="V121" s="304">
        <v>1.0712054557778425</v>
      </c>
      <c r="W121" s="304">
        <v>1.0724262842414873</v>
      </c>
      <c r="X121" s="304">
        <v>1.0740000000000001</v>
      </c>
      <c r="Y121" s="304">
        <v>1.0762320012945108</v>
      </c>
      <c r="Z121" s="304">
        <v>1.0782960776310684</v>
      </c>
      <c r="AA121" s="304">
        <v>1.079</v>
      </c>
      <c r="AB121" s="305">
        <v>1.081</v>
      </c>
      <c r="AC121" s="304">
        <v>1.0822850066306977</v>
      </c>
      <c r="AD121" s="304">
        <v>1.083</v>
      </c>
      <c r="AE121" s="304">
        <v>1.0849106670388193</v>
      </c>
      <c r="AF121" s="304">
        <v>1.0858030995827517</v>
      </c>
      <c r="AG121" s="304">
        <v>1.0873194313149652</v>
      </c>
      <c r="AH121" s="304">
        <v>1.0882347964206336</v>
      </c>
      <c r="AI121" s="304">
        <v>1.089</v>
      </c>
      <c r="AJ121" s="304">
        <v>1.0900000000000001</v>
      </c>
      <c r="AK121" s="304">
        <v>1.0909024796154472</v>
      </c>
      <c r="AL121" s="305">
        <v>1.0920000000000001</v>
      </c>
      <c r="AM121" s="305">
        <f t="shared" si="2"/>
        <v>1.0920000000000001</v>
      </c>
      <c r="AN121" s="299"/>
    </row>
    <row r="122" spans="1:40" x14ac:dyDescent="0.2">
      <c r="A122" s="352">
        <v>39</v>
      </c>
      <c r="B122" s="304">
        <v>0.96026538661247995</v>
      </c>
      <c r="C122" s="304">
        <v>0.97617268770084287</v>
      </c>
      <c r="D122" s="304">
        <v>0.98892783567401188</v>
      </c>
      <c r="E122" s="304">
        <v>0.99981037516899096</v>
      </c>
      <c r="F122" s="304">
        <v>1.0089999999999999</v>
      </c>
      <c r="G122" s="304">
        <v>1.0159125409137633</v>
      </c>
      <c r="H122" s="304">
        <v>1.0227786186401087</v>
      </c>
      <c r="I122" s="304">
        <v>1.0288022199503266</v>
      </c>
      <c r="J122" s="305">
        <v>1.034</v>
      </c>
      <c r="K122" s="304">
        <v>1.0388722323380244</v>
      </c>
      <c r="L122" s="304">
        <v>1.0429283367286202</v>
      </c>
      <c r="M122" s="304">
        <v>1.0469999999999999</v>
      </c>
      <c r="N122" s="304">
        <v>1.0509999999999999</v>
      </c>
      <c r="O122" s="304">
        <v>1.0541440436361147</v>
      </c>
      <c r="P122" s="304">
        <v>1.0568385517406347</v>
      </c>
      <c r="Q122" s="304">
        <v>1.0596730720316616</v>
      </c>
      <c r="R122" s="304">
        <v>1.0627918210715752</v>
      </c>
      <c r="S122" s="305">
        <v>1.0645829803850457</v>
      </c>
      <c r="T122" s="304">
        <v>1.0675984343309772</v>
      </c>
      <c r="U122" s="304">
        <v>1.0695021030248328</v>
      </c>
      <c r="V122" s="304">
        <v>1.0716048717953774</v>
      </c>
      <c r="W122" s="304">
        <v>1.0740000000000001</v>
      </c>
      <c r="X122" s="304">
        <v>1.0754258752575097</v>
      </c>
      <c r="Y122" s="304">
        <v>1.0766234548190556</v>
      </c>
      <c r="Z122" s="304">
        <v>1.0787509538420044</v>
      </c>
      <c r="AA122" s="304">
        <v>1.0802726570435344</v>
      </c>
      <c r="AB122" s="305">
        <v>1.0820000000000001</v>
      </c>
      <c r="AC122" s="304">
        <v>1.0827136945827796</v>
      </c>
      <c r="AD122" s="304">
        <v>1.0843184391928615</v>
      </c>
      <c r="AE122" s="304">
        <v>1.0860000000000001</v>
      </c>
      <c r="AF122" s="304">
        <v>1.087</v>
      </c>
      <c r="AG122" s="304">
        <v>1.0877599254737806</v>
      </c>
      <c r="AH122" s="304">
        <v>1.0887020991487146</v>
      </c>
      <c r="AI122" s="304">
        <v>1.0901971306516332</v>
      </c>
      <c r="AJ122" s="304">
        <v>1.0912957186869223</v>
      </c>
      <c r="AK122" s="304">
        <v>1.0920000000000001</v>
      </c>
      <c r="AL122" s="305">
        <v>1.093166117531438</v>
      </c>
      <c r="AM122" s="305">
        <f t="shared" si="2"/>
        <v>1.093166117531438</v>
      </c>
      <c r="AN122" s="299"/>
    </row>
    <row r="123" spans="1:40" ht="13.5" thickBot="1" x14ac:dyDescent="0.25">
      <c r="A123" s="354">
        <v>40</v>
      </c>
      <c r="B123" s="310">
        <v>0.96037621372487048</v>
      </c>
      <c r="C123" s="310">
        <v>0.97628531358548087</v>
      </c>
      <c r="D123" s="310">
        <v>0.98915173143581858</v>
      </c>
      <c r="E123" s="310">
        <v>0.99999616613747944</v>
      </c>
      <c r="F123" s="310">
        <v>1.008664571117823</v>
      </c>
      <c r="G123" s="310">
        <v>1.0161141669707208</v>
      </c>
      <c r="H123" s="310">
        <v>1.0230592167766128</v>
      </c>
      <c r="I123" s="310">
        <v>1.0290374633997763</v>
      </c>
      <c r="J123" s="311">
        <v>1.034</v>
      </c>
      <c r="K123" s="310">
        <v>1.0391297736992473</v>
      </c>
      <c r="L123" s="310">
        <v>1.0431832593598023</v>
      </c>
      <c r="M123" s="310">
        <v>1.0469999999999999</v>
      </c>
      <c r="N123" s="310">
        <v>1.0507855869803044</v>
      </c>
      <c r="O123" s="310">
        <v>1.054468812554594</v>
      </c>
      <c r="P123" s="310">
        <v>1.05711922609047</v>
      </c>
      <c r="Q123" s="310">
        <v>1.0599824869512406</v>
      </c>
      <c r="R123" s="310">
        <v>1.0628216663010273</v>
      </c>
      <c r="S123" s="311">
        <v>1.0648859557771746</v>
      </c>
      <c r="T123" s="310">
        <v>1.067974063393204</v>
      </c>
      <c r="U123" s="310">
        <v>1.0698497575521226</v>
      </c>
      <c r="V123" s="310">
        <v>1.0719836564764051</v>
      </c>
      <c r="W123" s="310">
        <v>1.0737759968207281</v>
      </c>
      <c r="X123" s="310">
        <v>1.0758595763848444</v>
      </c>
      <c r="Y123" s="310">
        <v>1.0769927931835432</v>
      </c>
      <c r="Z123" s="310">
        <v>1.0791842931403675</v>
      </c>
      <c r="AA123" s="310">
        <v>1.080695509862049</v>
      </c>
      <c r="AB123" s="311">
        <v>1.0819716417518572</v>
      </c>
      <c r="AC123" s="310">
        <v>1.083118232331741</v>
      </c>
      <c r="AD123" s="310">
        <v>1.0847482887219966</v>
      </c>
      <c r="AE123" s="310">
        <v>1.0858200847495423</v>
      </c>
      <c r="AF123" s="310">
        <v>1.0866197479677606</v>
      </c>
      <c r="AG123" s="310">
        <v>1.0883409776176349</v>
      </c>
      <c r="AH123" s="310">
        <v>1.0891445449817325</v>
      </c>
      <c r="AI123" s="310">
        <v>1.0906676075472579</v>
      </c>
      <c r="AJ123" s="310">
        <v>1.0917831387256471</v>
      </c>
      <c r="AK123" s="310">
        <v>1.0918308234780163</v>
      </c>
      <c r="AL123" s="311">
        <v>1.093425021110789</v>
      </c>
      <c r="AM123" s="311">
        <f t="shared" si="2"/>
        <v>1.093425021110789</v>
      </c>
      <c r="AN123" s="299"/>
    </row>
    <row r="124" spans="1:40" ht="14.25" thickTop="1" thickBot="1" x14ac:dyDescent="0.25">
      <c r="A124" s="354">
        <f>A123+0.001</f>
        <v>40.000999999999998</v>
      </c>
      <c r="B124" s="310">
        <f>B123</f>
        <v>0.96037621372487048</v>
      </c>
      <c r="C124" s="310">
        <f t="shared" ref="C124:AL124" si="3">C123</f>
        <v>0.97628531358548087</v>
      </c>
      <c r="D124" s="310">
        <f t="shared" si="3"/>
        <v>0.98915173143581858</v>
      </c>
      <c r="E124" s="310">
        <f t="shared" si="3"/>
        <v>0.99999616613747944</v>
      </c>
      <c r="F124" s="310">
        <f t="shared" si="3"/>
        <v>1.008664571117823</v>
      </c>
      <c r="G124" s="310">
        <f t="shared" si="3"/>
        <v>1.0161141669707208</v>
      </c>
      <c r="H124" s="310">
        <f t="shared" si="3"/>
        <v>1.0230592167766128</v>
      </c>
      <c r="I124" s="310">
        <f t="shared" si="3"/>
        <v>1.0290374633997763</v>
      </c>
      <c r="J124" s="311">
        <f t="shared" si="3"/>
        <v>1.034</v>
      </c>
      <c r="K124" s="310">
        <f t="shared" si="3"/>
        <v>1.0391297736992473</v>
      </c>
      <c r="L124" s="310">
        <f t="shared" si="3"/>
        <v>1.0431832593598023</v>
      </c>
      <c r="M124" s="310">
        <f t="shared" si="3"/>
        <v>1.0469999999999999</v>
      </c>
      <c r="N124" s="310">
        <f t="shared" si="3"/>
        <v>1.0507855869803044</v>
      </c>
      <c r="O124" s="310">
        <f t="shared" si="3"/>
        <v>1.054468812554594</v>
      </c>
      <c r="P124" s="310">
        <f t="shared" si="3"/>
        <v>1.05711922609047</v>
      </c>
      <c r="Q124" s="310">
        <f t="shared" si="3"/>
        <v>1.0599824869512406</v>
      </c>
      <c r="R124" s="310">
        <f t="shared" si="3"/>
        <v>1.0628216663010273</v>
      </c>
      <c r="S124" s="311">
        <f t="shared" si="3"/>
        <v>1.0648859557771746</v>
      </c>
      <c r="T124" s="310">
        <f t="shared" si="3"/>
        <v>1.067974063393204</v>
      </c>
      <c r="U124" s="310">
        <f t="shared" si="3"/>
        <v>1.0698497575521226</v>
      </c>
      <c r="V124" s="310">
        <f t="shared" si="3"/>
        <v>1.0719836564764051</v>
      </c>
      <c r="W124" s="310">
        <f t="shared" si="3"/>
        <v>1.0737759968207281</v>
      </c>
      <c r="X124" s="310">
        <f t="shared" si="3"/>
        <v>1.0758595763848444</v>
      </c>
      <c r="Y124" s="310">
        <f t="shared" si="3"/>
        <v>1.0769927931835432</v>
      </c>
      <c r="Z124" s="310">
        <f t="shared" si="3"/>
        <v>1.0791842931403675</v>
      </c>
      <c r="AA124" s="310">
        <f t="shared" si="3"/>
        <v>1.080695509862049</v>
      </c>
      <c r="AB124" s="311">
        <f t="shared" si="3"/>
        <v>1.0819716417518572</v>
      </c>
      <c r="AC124" s="310">
        <f t="shared" si="3"/>
        <v>1.083118232331741</v>
      </c>
      <c r="AD124" s="310">
        <f t="shared" si="3"/>
        <v>1.0847482887219966</v>
      </c>
      <c r="AE124" s="310">
        <f t="shared" si="3"/>
        <v>1.0858200847495423</v>
      </c>
      <c r="AF124" s="310">
        <f t="shared" si="3"/>
        <v>1.0866197479677606</v>
      </c>
      <c r="AG124" s="310">
        <f t="shared" si="3"/>
        <v>1.0883409776176349</v>
      </c>
      <c r="AH124" s="310">
        <f t="shared" si="3"/>
        <v>1.0891445449817325</v>
      </c>
      <c r="AI124" s="310">
        <f t="shared" si="3"/>
        <v>1.0906676075472579</v>
      </c>
      <c r="AJ124" s="310">
        <f t="shared" si="3"/>
        <v>1.0917831387256471</v>
      </c>
      <c r="AK124" s="310">
        <f t="shared" si="3"/>
        <v>1.0918308234780163</v>
      </c>
      <c r="AL124" s="311">
        <f t="shared" si="3"/>
        <v>1.093425021110789</v>
      </c>
      <c r="AM124" s="311">
        <f>AL123</f>
        <v>1.093425021110789</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93" t="s">
        <v>57</v>
      </c>
      <c r="B128" s="700"/>
      <c r="C128" s="700"/>
      <c r="D128" s="700"/>
      <c r="E128" s="700"/>
      <c r="F128" s="700"/>
      <c r="G128" s="315"/>
      <c r="H128" s="315"/>
      <c r="I128" s="316"/>
    </row>
    <row r="129" spans="1:9" ht="14.25" thickTop="1" thickBot="1" x14ac:dyDescent="0.25">
      <c r="A129" s="347" t="s">
        <v>49</v>
      </c>
      <c r="B129" s="264" t="s">
        <v>50</v>
      </c>
      <c r="C129" s="264" t="s">
        <v>51</v>
      </c>
      <c r="D129" s="264" t="s">
        <v>52</v>
      </c>
      <c r="E129" s="264" t="s">
        <v>53</v>
      </c>
      <c r="F129" s="264" t="s">
        <v>54</v>
      </c>
      <c r="G129" s="264" t="s">
        <v>55</v>
      </c>
      <c r="H129" s="267" t="s">
        <v>56</v>
      </c>
      <c r="I129" s="271"/>
    </row>
    <row r="130" spans="1:9" ht="13.5" thickTop="1" x14ac:dyDescent="0.2">
      <c r="A130" s="348">
        <v>0</v>
      </c>
      <c r="B130" s="274">
        <v>1.041023866799146</v>
      </c>
      <c r="C130" s="275">
        <v>1.0230550721974072</v>
      </c>
      <c r="D130" s="275">
        <v>1.0130971382619298</v>
      </c>
      <c r="E130" s="275">
        <v>1.0106184429450018</v>
      </c>
      <c r="F130" s="275">
        <v>1.0083400459734786</v>
      </c>
      <c r="G130" s="275">
        <v>1.0060643890313601</v>
      </c>
      <c r="H130" s="276">
        <v>1.0039777899891613</v>
      </c>
      <c r="I130" s="237"/>
    </row>
    <row r="131" spans="1:9" x14ac:dyDescent="0.2">
      <c r="A131" s="348">
        <v>0.1</v>
      </c>
      <c r="B131" s="277">
        <v>1.0333383898046415</v>
      </c>
      <c r="C131" s="278">
        <v>1.018749197793571</v>
      </c>
      <c r="D131" s="278">
        <v>1.0106530545784962</v>
      </c>
      <c r="E131" s="278">
        <v>1.0086529793283896</v>
      </c>
      <c r="F131" s="278">
        <v>1.0068120456769012</v>
      </c>
      <c r="G131" s="278">
        <v>1.0049438632115768</v>
      </c>
      <c r="H131" s="279">
        <v>1.0032430848882374</v>
      </c>
      <c r="I131" s="237"/>
    </row>
    <row r="132" spans="1:9" x14ac:dyDescent="0.2">
      <c r="A132" s="348">
        <v>0.2</v>
      </c>
      <c r="B132" s="277">
        <v>1.0257096517173967</v>
      </c>
      <c r="C132" s="278">
        <v>1.0144477944396562</v>
      </c>
      <c r="D132" s="278">
        <v>1.008202688585925</v>
      </c>
      <c r="E132" s="278">
        <v>1.0066806128341441</v>
      </c>
      <c r="F132" s="278">
        <v>1.005277356446338</v>
      </c>
      <c r="G132" s="278">
        <v>1.0038175245622787</v>
      </c>
      <c r="H132" s="279">
        <v>1.0025040019329277</v>
      </c>
      <c r="I132" s="237"/>
    </row>
    <row r="133" spans="1:9" x14ac:dyDescent="0.2">
      <c r="A133" s="348">
        <v>0.3</v>
      </c>
      <c r="B133" s="277">
        <v>1.0181372336559806</v>
      </c>
      <c r="C133" s="278">
        <v>1.0101509730799083</v>
      </c>
      <c r="D133" s="278">
        <v>1.0057460835616907</v>
      </c>
      <c r="E133" s="278">
        <v>1.0047013614673452</v>
      </c>
      <c r="F133" s="278">
        <v>1.0037359766736269</v>
      </c>
      <c r="G133" s="278">
        <v>1.002685358897474</v>
      </c>
      <c r="H133" s="279">
        <v>1.0017605223497312</v>
      </c>
      <c r="I133" s="237"/>
    </row>
    <row r="134" spans="1:9" x14ac:dyDescent="0.2">
      <c r="A134" s="348">
        <v>0.4</v>
      </c>
      <c r="B134" s="277">
        <v>1.0106207198314028</v>
      </c>
      <c r="C134" s="278">
        <v>1.0058588441710246</v>
      </c>
      <c r="D134" s="278">
        <v>1.0032832833473679</v>
      </c>
      <c r="E134" s="278">
        <v>1.0027152437383398</v>
      </c>
      <c r="F134" s="278">
        <v>1.002187905105516</v>
      </c>
      <c r="G134" s="278">
        <v>1.0015473522056133</v>
      </c>
      <c r="H134" s="279">
        <v>1.0010126273839717</v>
      </c>
      <c r="I134" s="237"/>
    </row>
    <row r="135" spans="1:9" x14ac:dyDescent="0.2">
      <c r="A135" s="348">
        <v>0.5</v>
      </c>
      <c r="B135" s="277">
        <v>1.003159697524282</v>
      </c>
      <c r="C135" s="278">
        <v>1.0015715176712163</v>
      </c>
      <c r="D135" s="278">
        <v>1.0008143323469483</v>
      </c>
      <c r="E135" s="278">
        <v>1.000722278664447</v>
      </c>
      <c r="F135" s="278">
        <v>1.0006331408468716</v>
      </c>
      <c r="G135" s="278">
        <v>1.0004034906525718</v>
      </c>
      <c r="H135" s="279">
        <v>1.0002602983014293</v>
      </c>
      <c r="I135" s="237"/>
    </row>
    <row r="136" spans="1:9" x14ac:dyDescent="0.2">
      <c r="A136" s="348">
        <v>0.6</v>
      </c>
      <c r="B136" s="277">
        <v>0.99575375706218483</v>
      </c>
      <c r="C136" s="278">
        <v>0.99728910302938389</v>
      </c>
      <c r="D136" s="278">
        <v>0.99833927552505819</v>
      </c>
      <c r="E136" s="278">
        <v>0.99872248577160383</v>
      </c>
      <c r="F136" s="278">
        <v>0.9990716833638702</v>
      </c>
      <c r="G136" s="278">
        <v>0.99925376058464077</v>
      </c>
      <c r="H136" s="279">
        <v>0.99950351638999613</v>
      </c>
      <c r="I136" s="237"/>
    </row>
    <row r="137" spans="1:9" x14ac:dyDescent="0.2">
      <c r="A137" s="348">
        <v>0.7</v>
      </c>
      <c r="B137" s="277">
        <v>0.98840249179713091</v>
      </c>
      <c r="C137" s="278">
        <v>0.99301170917440451</v>
      </c>
      <c r="D137" s="278">
        <v>0.99585815840507663</v>
      </c>
      <c r="E137" s="278">
        <v>0.99671588509594533</v>
      </c>
      <c r="F137" s="278">
        <v>0.99750353248717172</v>
      </c>
      <c r="G137" s="278">
        <v>0.99809814853153245</v>
      </c>
      <c r="H137" s="279">
        <v>0.99874226296134805</v>
      </c>
      <c r="I137" s="237"/>
    </row>
    <row r="138" spans="1:9" x14ac:dyDescent="0.2">
      <c r="A138" s="348">
        <v>0.8</v>
      </c>
      <c r="B138" s="277">
        <v>0.9811054980832653</v>
      </c>
      <c r="C138" s="278">
        <v>0.98873944450453533</v>
      </c>
      <c r="D138" s="278">
        <v>0.99337102706715319</v>
      </c>
      <c r="E138" s="278">
        <v>0.994702497185322</v>
      </c>
      <c r="F138" s="278">
        <v>0.99592868841507276</v>
      </c>
      <c r="G138" s="278">
        <v>0.99693664120939895</v>
      </c>
      <c r="H138" s="279">
        <v>0.99797651935263754</v>
      </c>
      <c r="I138" s="237"/>
    </row>
    <row r="139" spans="1:9" x14ac:dyDescent="0.2">
      <c r="A139" s="348">
        <v>0.9</v>
      </c>
      <c r="B139" s="277">
        <v>0.97386237525469377</v>
      </c>
      <c r="C139" s="278">
        <v>0.98447241687693388</v>
      </c>
      <c r="D139" s="278">
        <v>0.99087792814612485</v>
      </c>
      <c r="E139" s="278">
        <v>0.9926823431007501</v>
      </c>
      <c r="F139" s="278">
        <v>0.99434715171664056</v>
      </c>
      <c r="G139" s="278">
        <v>0.99576922552385982</v>
      </c>
      <c r="H139" s="279">
        <v>0.9972062669282078</v>
      </c>
      <c r="I139" s="237"/>
    </row>
    <row r="140" spans="1:9" x14ac:dyDescent="0.2">
      <c r="A140" s="348">
        <v>1</v>
      </c>
      <c r="B140" s="277">
        <v>0.96667272560348427</v>
      </c>
      <c r="C140" s="278">
        <v>0.9802107335972986</v>
      </c>
      <c r="D140" s="278">
        <v>0.98837890882933144</v>
      </c>
      <c r="E140" s="278">
        <v>0.99065544441779729</v>
      </c>
      <c r="F140" s="278">
        <v>0.9927589233348254</v>
      </c>
      <c r="G140" s="278">
        <v>0.99459588857304415</v>
      </c>
      <c r="H140" s="279">
        <v>0.99643148708132423</v>
      </c>
      <c r="I140" s="237"/>
    </row>
    <row r="141" spans="1:9" x14ac:dyDescent="0.2">
      <c r="A141" s="348">
        <v>1.1000000000000001</v>
      </c>
      <c r="B141" s="277">
        <v>0.95953615435782835</v>
      </c>
      <c r="C141" s="278">
        <v>0.97595450140963014</v>
      </c>
      <c r="D141" s="278">
        <v>0.98587401685433307</v>
      </c>
      <c r="E141" s="278">
        <v>0.9886218232278996</v>
      </c>
      <c r="F141" s="278">
        <v>0.99116400458955112</v>
      </c>
      <c r="G141" s="278">
        <v>0.99341661765064115</v>
      </c>
      <c r="H141" s="279">
        <v>0.99565216123592704</v>
      </c>
      <c r="I141" s="237"/>
    </row>
    <row r="142" spans="1:9" x14ac:dyDescent="0.2">
      <c r="A142" s="348">
        <v>1.2</v>
      </c>
      <c r="B142" s="277">
        <v>0.95245226966036545</v>
      </c>
      <c r="C142" s="278">
        <v>0.97170382648611664</v>
      </c>
      <c r="D142" s="278">
        <v>0.9833633005065231</v>
      </c>
      <c r="E142" s="278">
        <v>0.98658150213961182</v>
      </c>
      <c r="F142" s="278">
        <v>0.98956239718078165</v>
      </c>
      <c r="G142" s="278">
        <v>0.99223140024896417</v>
      </c>
      <c r="H142" s="279">
        <v>0.99486827084840523</v>
      </c>
      <c r="I142" s="237"/>
    </row>
    <row r="143" spans="1:9" x14ac:dyDescent="0.2">
      <c r="A143" s="348">
        <v>1.3</v>
      </c>
      <c r="B143" s="277">
        <v>0.94542068254666634</v>
      </c>
      <c r="C143" s="278">
        <v>0.96745881441714465</v>
      </c>
      <c r="D143" s="278">
        <v>0.98084680861664197</v>
      </c>
      <c r="E143" s="278">
        <v>0.98453450427978695</v>
      </c>
      <c r="F143" s="278">
        <v>0.98795410319156707</v>
      </c>
      <c r="G143" s="278">
        <v>0.99104022406202119</v>
      </c>
      <c r="H143" s="279">
        <v>0.99407979740938834</v>
      </c>
      <c r="I143" s="237"/>
    </row>
    <row r="144" spans="1:9" x14ac:dyDescent="0.2">
      <c r="A144" s="348">
        <v>1.4</v>
      </c>
      <c r="B144" s="277">
        <v>0.938441006923876</v>
      </c>
      <c r="C144" s="278">
        <v>0.96321957020143456</v>
      </c>
      <c r="D144" s="278">
        <v>0.97832459055818899</v>
      </c>
      <c r="E144" s="278">
        <v>0.98248085329468737</v>
      </c>
      <c r="F144" s="278">
        <v>0.98633912509106092</v>
      </c>
      <c r="G144" s="278">
        <v>0.98984307698859841</v>
      </c>
      <c r="H144" s="279">
        <v>0.9932867224455576</v>
      </c>
      <c r="I144" s="237"/>
    </row>
    <row r="145" spans="1:9" x14ac:dyDescent="0.2">
      <c r="A145" s="348">
        <v>1.5</v>
      </c>
      <c r="B145" s="277">
        <v>0.93151285954951379</v>
      </c>
      <c r="C145" s="278">
        <v>0.95898619823631048</v>
      </c>
      <c r="D145" s="278">
        <v>0.97579669624473286</v>
      </c>
      <c r="E145" s="278">
        <v>0.98042057335102473</v>
      </c>
      <c r="F145" s="278">
        <v>0.98471746573751517</v>
      </c>
      <c r="G145" s="278">
        <v>0.98863994713535275</v>
      </c>
      <c r="H145" s="279">
        <v>0.9924890275214816</v>
      </c>
      <c r="I145" s="237"/>
    </row>
    <row r="146" spans="1:9" x14ac:dyDescent="0.2">
      <c r="A146" s="348">
        <v>1.6</v>
      </c>
      <c r="B146" s="277">
        <v>0.9246358600104303</v>
      </c>
      <c r="C146" s="278">
        <v>0.95475880230809407</v>
      </c>
      <c r="D146" s="278">
        <v>0.97326317612712088</v>
      </c>
      <c r="E146" s="278">
        <v>0.97835368913692689</v>
      </c>
      <c r="F146" s="278">
        <v>0.98308912838124685</v>
      </c>
      <c r="G146" s="278">
        <v>0.98743082281991046</v>
      </c>
      <c r="H146" s="279">
        <v>0.99168669424146638</v>
      </c>
      <c r="I146" s="237"/>
    </row>
    <row r="147" spans="1:9" x14ac:dyDescent="0.2">
      <c r="A147" s="348">
        <v>1.7</v>
      </c>
      <c r="B147" s="277">
        <v>0.91780963070191923</v>
      </c>
      <c r="C147" s="278">
        <v>0.95053748558263584</v>
      </c>
      <c r="D147" s="278">
        <v>0.9707240811905864</v>
      </c>
      <c r="E147" s="278">
        <v>0.97628022586283503</v>
      </c>
      <c r="F147" s="278">
        <v>0.98145411666757931</v>
      </c>
      <c r="G147" s="278">
        <v>0.98621569257397801</v>
      </c>
      <c r="H147" s="279">
        <v>0.99087970425142891</v>
      </c>
      <c r="I147" s="237"/>
    </row>
    <row r="148" spans="1:9" x14ac:dyDescent="0.2">
      <c r="A148" s="348">
        <v>1.8</v>
      </c>
      <c r="B148" s="277">
        <v>0.91103379680698415</v>
      </c>
      <c r="C148" s="278">
        <v>0.94632235059597858</v>
      </c>
      <c r="D148" s="278">
        <v>0.96817946295175517</v>
      </c>
      <c r="E148" s="278">
        <v>0.97420020926232409</v>
      </c>
      <c r="F148" s="278">
        <v>0.97981243463975265</v>
      </c>
      <c r="G148" s="278">
        <v>0.98499454514645834</v>
      </c>
      <c r="H148" s="279">
        <v>0.99006803924079034</v>
      </c>
      <c r="I148" s="237"/>
    </row>
    <row r="149" spans="1:9" x14ac:dyDescent="0.2">
      <c r="A149" s="348">
        <v>1.9</v>
      </c>
      <c r="B149" s="277">
        <v>0.90430798627575748</v>
      </c>
      <c r="C149" s="278">
        <v>0.94211349924515586</v>
      </c>
      <c r="D149" s="278">
        <v>0.96562937345554989</v>
      </c>
      <c r="E149" s="278">
        <v>0.97211366559285139</v>
      </c>
      <c r="F149" s="278">
        <v>0.97816408674180788</v>
      </c>
      <c r="G149" s="278">
        <v>0.98376736950657584</v>
      </c>
      <c r="H149" s="279">
        <v>0.98925168094438787</v>
      </c>
      <c r="I149" s="237"/>
    </row>
    <row r="150" spans="1:9" x14ac:dyDescent="0.2">
      <c r="A150" s="348">
        <v>2</v>
      </c>
      <c r="B150" s="277">
        <v>0.89763182980507239</v>
      </c>
      <c r="C150" s="278">
        <v>0.93791103277912846</v>
      </c>
      <c r="D150" s="278">
        <v>0.96307386527199379</v>
      </c>
      <c r="E150" s="278">
        <v>0.97002062163642988</v>
      </c>
      <c r="F150" s="278">
        <v>0.97650907782143825</v>
      </c>
      <c r="G150" s="278">
        <v>0.98253415484700746</v>
      </c>
      <c r="H150" s="279">
        <v>0.98843061114440789</v>
      </c>
      <c r="I150" s="237"/>
    </row>
    <row r="151" spans="1:9" x14ac:dyDescent="0.2">
      <c r="A151" s="348">
        <v>2.1</v>
      </c>
      <c r="B151" s="277">
        <v>0.89100496081818426</v>
      </c>
      <c r="C151" s="278">
        <v>0.93371505178986003</v>
      </c>
      <c r="D151" s="278">
        <v>0.96051299149291303</v>
      </c>
      <c r="E151" s="278">
        <v>0.96792110470022341</v>
      </c>
      <c r="F151" s="278">
        <v>0.97484741313281276</v>
      </c>
      <c r="G151" s="278">
        <v>0.9812948905870218</v>
      </c>
      <c r="H151" s="279">
        <v>0.98760481167233927</v>
      </c>
      <c r="I151" s="237"/>
    </row>
    <row r="152" spans="1:9" x14ac:dyDescent="0.2">
      <c r="A152" s="348">
        <v>2.2000000000000002</v>
      </c>
      <c r="B152" s="277">
        <v>0.88442701544464297</v>
      </c>
      <c r="C152" s="278">
        <v>0.929525656203532</v>
      </c>
      <c r="D152" s="278">
        <v>0.95794680572853652</v>
      </c>
      <c r="E152" s="278">
        <v>0.96581514261706869</v>
      </c>
      <c r="F152" s="278">
        <v>0.97317909833936422</v>
      </c>
      <c r="G152" s="278">
        <v>0.98004956637562202</v>
      </c>
      <c r="H152" s="279">
        <v>0.98677426441094562</v>
      </c>
      <c r="I152" s="237"/>
    </row>
    <row r="153" spans="1:9" x14ac:dyDescent="0.2">
      <c r="A153" s="348">
        <v>2.2999999999999998</v>
      </c>
      <c r="B153" s="277">
        <v>0.87789763250031394</v>
      </c>
      <c r="C153" s="278">
        <v>0.92534294527189975</v>
      </c>
      <c r="D153" s="278">
        <v>0.95537536210399798</v>
      </c>
      <c r="E153" s="278">
        <v>0.96370276374591679</v>
      </c>
      <c r="F153" s="278">
        <v>0.97150413951654768</v>
      </c>
      <c r="G153" s="278">
        <v>0.97879817209469766</v>
      </c>
      <c r="H153" s="279">
        <v>0.98593895129625797</v>
      </c>
      <c r="I153" s="237"/>
    </row>
    <row r="154" spans="1:9" x14ac:dyDescent="0.2">
      <c r="A154" s="348">
        <v>2.4</v>
      </c>
      <c r="B154" s="277">
        <v>0.87141645346754482</v>
      </c>
      <c r="C154" s="278">
        <v>0.9211670175637926</v>
      </c>
      <c r="D154" s="278">
        <v>0.95279871525573323</v>
      </c>
      <c r="E154" s="278">
        <v>0.96158399697219865</v>
      </c>
      <c r="F154" s="278">
        <v>0.96982254315456262</v>
      </c>
      <c r="G154" s="278">
        <v>0.97754069786217723</v>
      </c>
      <c r="H154" s="279">
        <v>0.98509885431958832</v>
      </c>
      <c r="I154" s="237"/>
    </row>
    <row r="155" spans="1:9" x14ac:dyDescent="0.2">
      <c r="A155" s="348">
        <v>2.5</v>
      </c>
      <c r="B155" s="277">
        <v>0.8649831224754807</v>
      </c>
      <c r="C155" s="278">
        <v>0.91699797095675761</v>
      </c>
      <c r="D155" s="278">
        <v>0.95021692032778071</v>
      </c>
      <c r="E155" s="278">
        <v>0.95945887170810962</v>
      </c>
      <c r="F155" s="278">
        <v>0.96813431616104273</v>
      </c>
      <c r="G155" s="278">
        <v>0.97627713403518923</v>
      </c>
      <c r="H155" s="279">
        <v>0.98425395552956163</v>
      </c>
      <c r="I155" s="237"/>
    </row>
    <row r="156" spans="1:9" x14ac:dyDescent="0.2">
      <c r="A156" s="348">
        <v>2.6</v>
      </c>
      <c r="B156" s="277">
        <v>0.85859728628052401</v>
      </c>
      <c r="C156" s="278">
        <v>0.91283590262884884</v>
      </c>
      <c r="D156" s="278">
        <v>0.94763003296797899</v>
      </c>
      <c r="E156" s="278">
        <v>0.95732741789281584</v>
      </c>
      <c r="F156" s="278">
        <v>0.96643946586370821</v>
      </c>
      <c r="G156" s="278">
        <v>0.97500747121322473</v>
      </c>
      <c r="H156" s="279">
        <v>0.98340423703416935</v>
      </c>
      <c r="I156" s="237"/>
    </row>
    <row r="157" spans="1:9" x14ac:dyDescent="0.2">
      <c r="A157" s="348">
        <v>2.7</v>
      </c>
      <c r="B157" s="277">
        <v>0.85225859424693784</v>
      </c>
      <c r="C157" s="278">
        <v>0.90868090905056309</v>
      </c>
      <c r="D157" s="278">
        <v>0.94503810932406529</v>
      </c>
      <c r="E157" s="278">
        <v>0.95518966599258004</v>
      </c>
      <c r="F157" s="278">
        <v>0.96473800001298238</v>
      </c>
      <c r="G157" s="278">
        <v>0.97373170024130418</v>
      </c>
      <c r="H157" s="279">
        <v>0.98254968100284112</v>
      </c>
      <c r="I157" s="237"/>
    </row>
    <row r="158" spans="1:9" x14ac:dyDescent="0.2">
      <c r="A158" s="348">
        <v>2.8</v>
      </c>
      <c r="B158" s="277">
        <v>0.84596669832759375</v>
      </c>
      <c r="C158" s="278">
        <v>0.90453308597692306</v>
      </c>
      <c r="D158" s="278">
        <v>0.94244120603967552</v>
      </c>
      <c r="E158" s="278">
        <v>0.95304564700080496</v>
      </c>
      <c r="F158" s="278">
        <v>0.96302992678457011</v>
      </c>
      <c r="G158" s="278">
        <v>0.97244981221314686</v>
      </c>
      <c r="H158" s="279">
        <v>0.98169026966853734</v>
      </c>
      <c r="I158" s="237"/>
    </row>
    <row r="159" spans="1:9" x14ac:dyDescent="0.2">
      <c r="A159" s="348">
        <v>2.9</v>
      </c>
      <c r="B159" s="277">
        <v>0.83972125304486045</v>
      </c>
      <c r="C159" s="278">
        <v>0.90039252843971085</v>
      </c>
      <c r="D159" s="278">
        <v>0.93983938025024227</v>
      </c>
      <c r="E159" s="278">
        <v>0.95089539243799703</v>
      </c>
      <c r="F159" s="278">
        <v>0.96131525478199975</v>
      </c>
      <c r="G159" s="278">
        <v>0.97116179847434358</v>
      </c>
      <c r="H159" s="279">
        <v>0.98082598532986187</v>
      </c>
      <c r="I159" s="237"/>
    </row>
    <row r="160" spans="1:9" x14ac:dyDescent="0.2">
      <c r="A160" s="348">
        <v>3</v>
      </c>
      <c r="B160" s="277">
        <v>0.83352191547163479</v>
      </c>
      <c r="C160" s="278">
        <v>0.89625933073985009</v>
      </c>
      <c r="D160" s="278">
        <v>0.9372326895787968</v>
      </c>
      <c r="E160" s="278">
        <v>0.94873893435164436</v>
      </c>
      <c r="F160" s="278">
        <v>0.95959399303912307</v>
      </c>
      <c r="G160" s="278">
        <v>0.96986765062552915</v>
      </c>
      <c r="H160" s="279">
        <v>0.97995681035319393</v>
      </c>
      <c r="I160" s="237"/>
    </row>
    <row r="161" spans="1:9" x14ac:dyDescent="0.2">
      <c r="A161" s="348">
        <v>3.1</v>
      </c>
      <c r="B161" s="277">
        <v>0.82736834521251201</v>
      </c>
      <c r="C161" s="278">
        <v>0.89213358643993912</v>
      </c>
      <c r="D161" s="278">
        <v>0.93462119213167116</v>
      </c>
      <c r="E161" s="278">
        <v>0.946576305316016</v>
      </c>
      <c r="F161" s="278">
        <v>0.95786615102257655</v>
      </c>
      <c r="G161" s="278">
        <v>0.96856736052555759</v>
      </c>
      <c r="H161" s="279">
        <v>0.97908272717483857</v>
      </c>
      <c r="I161" s="237"/>
    </row>
    <row r="162" spans="1:9" x14ac:dyDescent="0.2">
      <c r="A162" s="348">
        <v>3.2</v>
      </c>
      <c r="B162" s="277">
        <v>0.82126020438509451</v>
      </c>
      <c r="C162" s="278">
        <v>0.88801538835693627</v>
      </c>
      <c r="D162" s="278">
        <v>0.93200494649410126</v>
      </c>
      <c r="E162" s="278">
        <v>0.94440753843187297</v>
      </c>
      <c r="F162" s="278">
        <v>0.9561317386342002</v>
      </c>
      <c r="G162" s="278">
        <v>0.96726092029467847</v>
      </c>
      <c r="H162" s="279">
        <v>0.97820371830319952</v>
      </c>
      <c r="I162" s="237"/>
    </row>
    <row r="163" spans="1:9" x14ac:dyDescent="0.2">
      <c r="A163" s="348">
        <v>3.3</v>
      </c>
      <c r="B163" s="277">
        <v>0.81519715760144051</v>
      </c>
      <c r="C163" s="278">
        <v>0.8839048285549983</v>
      </c>
      <c r="D163" s="278">
        <v>0.92938401172573482</v>
      </c>
      <c r="E163" s="278">
        <v>0.94223266732609823</v>
      </c>
      <c r="F163" s="278">
        <v>0.95439076621341723</v>
      </c>
      <c r="G163" s="278">
        <v>0.96594832231771066</v>
      </c>
      <c r="H163" s="279">
        <v>0.97731976632096873</v>
      </c>
      <c r="I163" s="237"/>
    </row>
    <row r="164" spans="1:9" x14ac:dyDescent="0.2">
      <c r="A164" s="348">
        <v>3.4</v>
      </c>
      <c r="B164" s="277">
        <v>0.80917887194964777</v>
      </c>
      <c r="C164" s="278">
        <v>0.87980199833847184</v>
      </c>
      <c r="D164" s="278">
        <v>0.92675844735604074</v>
      </c>
      <c r="E164" s="278">
        <v>0.94005172615123977</v>
      </c>
      <c r="F164" s="278">
        <v>0.95264324453956484</v>
      </c>
      <c r="G164" s="278">
        <v>0.96462955924721794</v>
      </c>
      <c r="H164" s="279">
        <v>0.97643085388733719</v>
      </c>
      <c r="I164" s="237"/>
    </row>
    <row r="165" spans="1:9" x14ac:dyDescent="0.2">
      <c r="A165" s="348">
        <v>3.5</v>
      </c>
      <c r="B165" s="277">
        <v>0.80320501697557367</v>
      </c>
      <c r="C165" s="278">
        <v>0.87570698824504001</v>
      </c>
      <c r="D165" s="278">
        <v>0.92412831337962165</v>
      </c>
      <c r="E165" s="278">
        <v>0.93786474958496868</v>
      </c>
      <c r="F165" s="278">
        <v>0.95088918483418761</v>
      </c>
      <c r="G165" s="278">
        <v>0.96330462400668238</v>
      </c>
      <c r="H165" s="279">
        <v>0.97553696374022414</v>
      </c>
      <c r="I165" s="237"/>
    </row>
    <row r="166" spans="1:9" x14ac:dyDescent="0.2">
      <c r="A166" s="348">
        <v>3.6</v>
      </c>
      <c r="B166" s="277">
        <v>0.79727526466469112</v>
      </c>
      <c r="C166" s="278">
        <v>0.87161988803902257</v>
      </c>
      <c r="D166" s="278">
        <v>0.92149367025143136</v>
      </c>
      <c r="E166" s="278">
        <v>0.93567177282945146</v>
      </c>
      <c r="F166" s="278">
        <v>0.94912859876328104</v>
      </c>
      <c r="G166" s="278">
        <v>0.96197350979367569</v>
      </c>
      <c r="H166" s="279">
        <v>0.97463807869852648</v>
      </c>
      <c r="I166" s="237"/>
    </row>
    <row r="167" spans="1:9" x14ac:dyDescent="0.2">
      <c r="A167" s="348">
        <v>3.7</v>
      </c>
      <c r="B167" s="277">
        <v>0.79138928942407738</v>
      </c>
      <c r="C167" s="278">
        <v>0.86754078670483448</v>
      </c>
      <c r="D167" s="278">
        <v>0.91885457888189781</v>
      </c>
      <c r="E167" s="278">
        <v>0.93347283161063532</v>
      </c>
      <c r="F167" s="278">
        <v>0.94736149843949025</v>
      </c>
      <c r="G167" s="278">
        <v>0.9606362100830278</v>
      </c>
      <c r="H167" s="279">
        <v>0.97373418166438719</v>
      </c>
      <c r="I167" s="237"/>
    </row>
    <row r="168" spans="1:9" x14ac:dyDescent="0.2">
      <c r="A168" s="348">
        <v>3.8</v>
      </c>
      <c r="B168" s="277">
        <v>0.78554676806453649</v>
      </c>
      <c r="C168" s="278">
        <v>0.86346977244059775</v>
      </c>
      <c r="D168" s="278">
        <v>0.91621110063194877</v>
      </c>
      <c r="E168" s="278">
        <v>0.93126796217744567</v>
      </c>
      <c r="F168" s="278">
        <v>0.94558789642426355</v>
      </c>
      <c r="G168" s="278">
        <v>0.95929271862999388</v>
      </c>
      <c r="H168" s="279">
        <v>0.97282525562548161</v>
      </c>
      <c r="I168" s="237"/>
    </row>
    <row r="169" spans="1:9" x14ac:dyDescent="0.2">
      <c r="A169" s="348">
        <v>3.9</v>
      </c>
      <c r="B169" s="277">
        <v>0.77974737978285358</v>
      </c>
      <c r="C169" s="278">
        <v>0.85940693265191437</v>
      </c>
      <c r="D169" s="278">
        <v>0.91356329730794661</v>
      </c>
      <c r="E169" s="278">
        <v>0.92905720130089797</v>
      </c>
      <c r="F169" s="278">
        <v>0.94380780572995615</v>
      </c>
      <c r="G169" s="278">
        <v>0.95794302947341547</v>
      </c>
      <c r="H169" s="279">
        <v>0.97191128365732393</v>
      </c>
      <c r="I169" s="237"/>
    </row>
    <row r="170" spans="1:9" x14ac:dyDescent="0.2">
      <c r="A170" s="348">
        <v>4</v>
      </c>
      <c r="B170" s="277">
        <v>0.77416169758999986</v>
      </c>
      <c r="C170" s="278">
        <v>0.85523908056099995</v>
      </c>
      <c r="D170" s="278">
        <v>0.91083571863699997</v>
      </c>
      <c r="E170" s="278">
        <v>0.9267458222249999</v>
      </c>
      <c r="F170" s="278">
        <v>0.94195766447700002</v>
      </c>
      <c r="G170" s="278">
        <v>0.95658317303200002</v>
      </c>
      <c r="H170" s="279">
        <v>0.97095330859699991</v>
      </c>
      <c r="I170" s="237"/>
    </row>
    <row r="171" spans="1:9" x14ac:dyDescent="0.2">
      <c r="A171" s="348">
        <v>4.0999999999999996</v>
      </c>
      <c r="B171" s="277">
        <v>0.76843776872007985</v>
      </c>
      <c r="C171" s="278">
        <v>0.85119067731595999</v>
      </c>
      <c r="D171" s="278">
        <v>0.9081747534284399</v>
      </c>
      <c r="E171" s="278">
        <v>0.92452370600531997</v>
      </c>
      <c r="F171" s="278">
        <v>0.94016453110672005</v>
      </c>
      <c r="G171" s="278">
        <v>0.95521581963024005</v>
      </c>
      <c r="H171" s="279">
        <v>0.97003118144571987</v>
      </c>
      <c r="I171" s="237"/>
    </row>
    <row r="172" spans="1:9" x14ac:dyDescent="0.2">
      <c r="A172" s="348">
        <v>4.2</v>
      </c>
      <c r="B172" s="277">
        <v>0.76275359694631995</v>
      </c>
      <c r="C172" s="278">
        <v>0.84715392628204</v>
      </c>
      <c r="D172" s="278">
        <v>0.90551254479435994</v>
      </c>
      <c r="E172" s="278">
        <v>0.92229795361027989</v>
      </c>
      <c r="F172" s="278">
        <v>0.93836642892108002</v>
      </c>
      <c r="G172" s="278">
        <v>0.95384349622256004</v>
      </c>
      <c r="H172" s="279">
        <v>0.96910433825427988</v>
      </c>
      <c r="I172" s="237"/>
    </row>
    <row r="173" spans="1:9" x14ac:dyDescent="0.2">
      <c r="A173" s="348">
        <v>4.3</v>
      </c>
      <c r="B173" s="277">
        <v>0.75710918226871993</v>
      </c>
      <c r="C173" s="278">
        <v>0.84312882745923989</v>
      </c>
      <c r="D173" s="278">
        <v>0.90284909273475988</v>
      </c>
      <c r="E173" s="278">
        <v>0.92006856503987988</v>
      </c>
      <c r="F173" s="278">
        <v>0.93656335792008005</v>
      </c>
      <c r="G173" s="278">
        <v>0.95246620280896011</v>
      </c>
      <c r="H173" s="279">
        <v>0.96817277902267995</v>
      </c>
      <c r="I173" s="237"/>
    </row>
    <row r="174" spans="1:9" x14ac:dyDescent="0.2">
      <c r="A174" s="348">
        <v>4.4000000000000004</v>
      </c>
      <c r="B174" s="277">
        <v>0.75150452468727991</v>
      </c>
      <c r="C174" s="278">
        <v>0.83911538084755999</v>
      </c>
      <c r="D174" s="278">
        <v>0.90018439724963994</v>
      </c>
      <c r="E174" s="278">
        <v>0.91783554029411984</v>
      </c>
      <c r="F174" s="278">
        <v>0.93475531810372003</v>
      </c>
      <c r="G174" s="278">
        <v>0.95108393938944003</v>
      </c>
      <c r="H174" s="279">
        <v>0.96723650375091996</v>
      </c>
      <c r="I174" s="237"/>
    </row>
    <row r="175" spans="1:9" x14ac:dyDescent="0.2">
      <c r="A175" s="348">
        <v>4.5</v>
      </c>
      <c r="B175" s="277">
        <v>0.74593962420199988</v>
      </c>
      <c r="C175" s="278">
        <v>0.83511358644699996</v>
      </c>
      <c r="D175" s="278">
        <v>0.8975184583389999</v>
      </c>
      <c r="E175" s="278">
        <v>0.91559887937299989</v>
      </c>
      <c r="F175" s="278">
        <v>0.93294230947199996</v>
      </c>
      <c r="G175" s="278">
        <v>0.94969670596400002</v>
      </c>
      <c r="H175" s="279">
        <v>0.96629551243899992</v>
      </c>
      <c r="I175" s="237"/>
    </row>
    <row r="176" spans="1:9" x14ac:dyDescent="0.2">
      <c r="A176" s="348">
        <v>4.5999999999999996</v>
      </c>
      <c r="B176" s="277">
        <v>0.74041448081287986</v>
      </c>
      <c r="C176" s="278">
        <v>0.83112344425755991</v>
      </c>
      <c r="D176" s="278">
        <v>0.89485127600283998</v>
      </c>
      <c r="E176" s="278">
        <v>0.91335858227651989</v>
      </c>
      <c r="F176" s="278">
        <v>0.93112433202492007</v>
      </c>
      <c r="G176" s="278">
        <v>0.94830450253264009</v>
      </c>
      <c r="H176" s="279">
        <v>0.96534980508691992</v>
      </c>
      <c r="I176" s="237"/>
    </row>
    <row r="177" spans="1:9" x14ac:dyDescent="0.2">
      <c r="A177" s="348">
        <v>4.7</v>
      </c>
      <c r="B177" s="277">
        <v>0.73492909451991983</v>
      </c>
      <c r="C177" s="278">
        <v>0.82714495427923995</v>
      </c>
      <c r="D177" s="278">
        <v>0.89218285024115995</v>
      </c>
      <c r="E177" s="278">
        <v>0.91111464900467987</v>
      </c>
      <c r="F177" s="278">
        <v>0.92930138576248</v>
      </c>
      <c r="G177" s="278">
        <v>0.94690732909536002</v>
      </c>
      <c r="H177" s="279">
        <v>0.96439938169467987</v>
      </c>
      <c r="I177" s="237"/>
    </row>
    <row r="178" spans="1:9" x14ac:dyDescent="0.2">
      <c r="A178" s="348">
        <v>4.8</v>
      </c>
      <c r="B178" s="277">
        <v>0.72948346532311992</v>
      </c>
      <c r="C178" s="278">
        <v>0.82317811651203998</v>
      </c>
      <c r="D178" s="278">
        <v>0.88951318105395993</v>
      </c>
      <c r="E178" s="278">
        <v>0.90886707955747992</v>
      </c>
      <c r="F178" s="278">
        <v>0.92747347068468</v>
      </c>
      <c r="G178" s="278">
        <v>0.94550518565216002</v>
      </c>
      <c r="H178" s="279">
        <v>0.96344424226227987</v>
      </c>
      <c r="I178" s="237"/>
    </row>
    <row r="179" spans="1:9" x14ac:dyDescent="0.2">
      <c r="A179" s="348">
        <v>4.9000000000000004</v>
      </c>
      <c r="B179" s="277">
        <v>0.72407759322247989</v>
      </c>
      <c r="C179" s="278">
        <v>0.81922293095595999</v>
      </c>
      <c r="D179" s="278">
        <v>0.88684226844123992</v>
      </c>
      <c r="E179" s="278">
        <v>0.90661587393491994</v>
      </c>
      <c r="F179" s="278">
        <v>0.92564058679152006</v>
      </c>
      <c r="G179" s="278">
        <v>0.9440980722030401</v>
      </c>
      <c r="H179" s="279">
        <v>0.96248438678971993</v>
      </c>
      <c r="I179" s="237"/>
    </row>
    <row r="180" spans="1:9" x14ac:dyDescent="0.2">
      <c r="A180" s="348">
        <v>5</v>
      </c>
      <c r="B180" s="277">
        <v>0.71871147821799997</v>
      </c>
      <c r="C180" s="278">
        <v>0.81527939761099999</v>
      </c>
      <c r="D180" s="278">
        <v>0.88417011240299992</v>
      </c>
      <c r="E180" s="278">
        <v>0.90436103213699992</v>
      </c>
      <c r="F180" s="278">
        <v>0.92380273408300007</v>
      </c>
      <c r="G180" s="278">
        <v>0.94268598874800003</v>
      </c>
      <c r="H180" s="279">
        <v>0.96151981527699992</v>
      </c>
      <c r="I180" s="237"/>
    </row>
    <row r="181" spans="1:9" x14ac:dyDescent="0.2">
      <c r="A181" s="348">
        <v>5.0999999999999996</v>
      </c>
      <c r="B181" s="277">
        <v>0.71338512030967993</v>
      </c>
      <c r="C181" s="278">
        <v>0.81134751647715997</v>
      </c>
      <c r="D181" s="278">
        <v>0.88149671293923992</v>
      </c>
      <c r="E181" s="278">
        <v>0.90210255416371987</v>
      </c>
      <c r="F181" s="278">
        <v>0.92195991255912002</v>
      </c>
      <c r="G181" s="278">
        <v>0.94126893528704003</v>
      </c>
      <c r="H181" s="279">
        <v>0.96055052772411997</v>
      </c>
      <c r="I181" s="237"/>
    </row>
    <row r="182" spans="1:9" x14ac:dyDescent="0.2">
      <c r="A182" s="348">
        <v>5.2</v>
      </c>
      <c r="B182" s="277">
        <v>0.7080985194975199</v>
      </c>
      <c r="C182" s="278">
        <v>0.80742728755443993</v>
      </c>
      <c r="D182" s="278">
        <v>0.87882207004995994</v>
      </c>
      <c r="E182" s="278">
        <v>0.8998404400150799</v>
      </c>
      <c r="F182" s="278">
        <v>0.92011212221988004</v>
      </c>
      <c r="G182" s="278">
        <v>0.93984691182016</v>
      </c>
      <c r="H182" s="279">
        <v>0.95957652413107997</v>
      </c>
      <c r="I182" s="237"/>
    </row>
    <row r="183" spans="1:9" x14ac:dyDescent="0.2">
      <c r="A183" s="348">
        <v>5.3</v>
      </c>
      <c r="B183" s="277">
        <v>0.70285167578151997</v>
      </c>
      <c r="C183" s="278">
        <v>0.80351871084283988</v>
      </c>
      <c r="D183" s="278">
        <v>0.87614618373515996</v>
      </c>
      <c r="E183" s="278">
        <v>0.8975746896910799</v>
      </c>
      <c r="F183" s="278">
        <v>0.91825936306528</v>
      </c>
      <c r="G183" s="278">
        <v>0.93841991834736005</v>
      </c>
      <c r="H183" s="279">
        <v>0.9585978044978799</v>
      </c>
      <c r="I183" s="237"/>
    </row>
    <row r="184" spans="1:9" x14ac:dyDescent="0.2">
      <c r="A184" s="348">
        <v>5.4</v>
      </c>
      <c r="B184" s="277">
        <v>0.69764458916167993</v>
      </c>
      <c r="C184" s="278">
        <v>0.79962178634235992</v>
      </c>
      <c r="D184" s="278">
        <v>0.87346905399483998</v>
      </c>
      <c r="E184" s="278">
        <v>0.89530530319171986</v>
      </c>
      <c r="F184" s="278">
        <v>0.91640163509532002</v>
      </c>
      <c r="G184" s="278">
        <v>0.93698795486864006</v>
      </c>
      <c r="H184" s="279">
        <v>0.95761436882451989</v>
      </c>
      <c r="I184" s="237"/>
    </row>
    <row r="185" spans="1:9" x14ac:dyDescent="0.2">
      <c r="A185" s="348">
        <v>5.5</v>
      </c>
      <c r="B185" s="277">
        <v>0.69247725963799989</v>
      </c>
      <c r="C185" s="278">
        <v>0.79573651405299994</v>
      </c>
      <c r="D185" s="278">
        <v>0.87079068082899991</v>
      </c>
      <c r="E185" s="278">
        <v>0.8930322805169999</v>
      </c>
      <c r="F185" s="278">
        <v>0.91453893830999999</v>
      </c>
      <c r="G185" s="278">
        <v>0.93555102138400004</v>
      </c>
      <c r="H185" s="279">
        <v>0.95662621711099993</v>
      </c>
      <c r="I185" s="237"/>
    </row>
    <row r="186" spans="1:9" x14ac:dyDescent="0.2">
      <c r="A186" s="348">
        <v>5.6</v>
      </c>
      <c r="B186" s="277">
        <v>0.68734968721047984</v>
      </c>
      <c r="C186" s="278">
        <v>0.79186289397475995</v>
      </c>
      <c r="D186" s="278">
        <v>0.86811106423763995</v>
      </c>
      <c r="E186" s="278">
        <v>0.89075562166691991</v>
      </c>
      <c r="F186" s="278">
        <v>0.91267127270932003</v>
      </c>
      <c r="G186" s="278">
        <v>0.93410911789344009</v>
      </c>
      <c r="H186" s="279">
        <v>0.95563334935731992</v>
      </c>
      <c r="I186" s="237"/>
    </row>
    <row r="187" spans="1:9" x14ac:dyDescent="0.2">
      <c r="A187" s="348">
        <v>5.7</v>
      </c>
      <c r="B187" s="277">
        <v>0.68226187187911991</v>
      </c>
      <c r="C187" s="278">
        <v>0.78800092610763994</v>
      </c>
      <c r="D187" s="278">
        <v>0.86543020422076</v>
      </c>
      <c r="E187" s="278">
        <v>0.88847532664147988</v>
      </c>
      <c r="F187" s="278">
        <v>0.91079863829328001</v>
      </c>
      <c r="G187" s="278">
        <v>0.93266224439696011</v>
      </c>
      <c r="H187" s="279">
        <v>0.95463576556347995</v>
      </c>
      <c r="I187" s="237"/>
    </row>
    <row r="188" spans="1:9" x14ac:dyDescent="0.2">
      <c r="A188" s="348">
        <v>5.8</v>
      </c>
      <c r="B188" s="277">
        <v>0.67721381364391997</v>
      </c>
      <c r="C188" s="278">
        <v>0.78415061045163992</v>
      </c>
      <c r="D188" s="278">
        <v>0.86274810077835995</v>
      </c>
      <c r="E188" s="278">
        <v>0.88619139544067993</v>
      </c>
      <c r="F188" s="278">
        <v>0.90892103506188004</v>
      </c>
      <c r="G188" s="278">
        <v>0.93121040089456009</v>
      </c>
      <c r="H188" s="279">
        <v>0.95363346572947993</v>
      </c>
      <c r="I188" s="237"/>
    </row>
    <row r="189" spans="1:9" x14ac:dyDescent="0.2">
      <c r="A189" s="348">
        <v>5.9</v>
      </c>
      <c r="B189" s="277">
        <v>0.67220551250487992</v>
      </c>
      <c r="C189" s="278">
        <v>0.78031194700675988</v>
      </c>
      <c r="D189" s="278">
        <v>0.86006475391043991</v>
      </c>
      <c r="E189" s="278">
        <v>0.88390382806451995</v>
      </c>
      <c r="F189" s="278">
        <v>0.90703846301512003</v>
      </c>
      <c r="G189" s="278">
        <v>0.92975358738624003</v>
      </c>
      <c r="H189" s="279">
        <v>0.95262644985531986</v>
      </c>
      <c r="I189" s="237"/>
    </row>
    <row r="190" spans="1:9" x14ac:dyDescent="0.2">
      <c r="A190" s="348">
        <v>6</v>
      </c>
      <c r="B190" s="277">
        <v>0.66723696846199987</v>
      </c>
      <c r="C190" s="278">
        <v>0.77648493577299993</v>
      </c>
      <c r="D190" s="278">
        <v>0.85738016361699998</v>
      </c>
      <c r="E190" s="278">
        <v>0.88161262451299993</v>
      </c>
      <c r="F190" s="278">
        <v>0.90515092215300008</v>
      </c>
      <c r="G190" s="278">
        <v>0.92829180387200005</v>
      </c>
      <c r="H190" s="279">
        <v>0.95161471794099994</v>
      </c>
      <c r="I190" s="237"/>
    </row>
    <row r="191" spans="1:9" x14ac:dyDescent="0.2">
      <c r="A191" s="348">
        <v>6.1</v>
      </c>
      <c r="B191" s="277">
        <v>0.66230818151527993</v>
      </c>
      <c r="C191" s="278">
        <v>0.77266957675035997</v>
      </c>
      <c r="D191" s="278">
        <v>0.85469432989803995</v>
      </c>
      <c r="E191" s="278">
        <v>0.87931778478611988</v>
      </c>
      <c r="F191" s="278">
        <v>0.90325841247552008</v>
      </c>
      <c r="G191" s="278">
        <v>0.92682505035184004</v>
      </c>
      <c r="H191" s="279">
        <v>0.95059826998651997</v>
      </c>
      <c r="I191" s="237"/>
    </row>
    <row r="192" spans="1:9" x14ac:dyDescent="0.2">
      <c r="A192" s="348">
        <v>6.2</v>
      </c>
      <c r="B192" s="277">
        <v>0.65741915166471987</v>
      </c>
      <c r="C192" s="278">
        <v>0.76886586993883999</v>
      </c>
      <c r="D192" s="278">
        <v>0.85200725275355993</v>
      </c>
      <c r="E192" s="278">
        <v>0.87701930888387991</v>
      </c>
      <c r="F192" s="278">
        <v>0.90136093398268002</v>
      </c>
      <c r="G192" s="278">
        <v>0.9253533268257601</v>
      </c>
      <c r="H192" s="279">
        <v>0.94957710599187994</v>
      </c>
      <c r="I192" s="237"/>
    </row>
    <row r="193" spans="1:9" x14ac:dyDescent="0.2">
      <c r="A193" s="348">
        <v>6.3</v>
      </c>
      <c r="B193" s="277">
        <v>0.65256987891031992</v>
      </c>
      <c r="C193" s="278">
        <v>0.76507381533843999</v>
      </c>
      <c r="D193" s="278">
        <v>0.84931893218355992</v>
      </c>
      <c r="E193" s="278">
        <v>0.87471719680627991</v>
      </c>
      <c r="F193" s="278">
        <v>0.89945848667448003</v>
      </c>
      <c r="G193" s="278">
        <v>0.92387663329376002</v>
      </c>
      <c r="H193" s="279">
        <v>0.94855122595707997</v>
      </c>
      <c r="I193" s="237"/>
    </row>
    <row r="194" spans="1:9" x14ac:dyDescent="0.2">
      <c r="A194" s="348">
        <v>6.4</v>
      </c>
      <c r="B194" s="281">
        <v>0.64776036325207986</v>
      </c>
      <c r="C194" s="282">
        <v>0.76129341294915998</v>
      </c>
      <c r="D194" s="282">
        <v>0.84662936818803991</v>
      </c>
      <c r="E194" s="282">
        <v>0.87241144855331987</v>
      </c>
      <c r="F194" s="282">
        <v>0.89755107055091998</v>
      </c>
      <c r="G194" s="282">
        <v>0.92239496975584001</v>
      </c>
      <c r="H194" s="283">
        <v>0.94752062988211994</v>
      </c>
      <c r="I194" s="237"/>
    </row>
    <row r="195" spans="1:9" x14ac:dyDescent="0.2">
      <c r="A195" s="348">
        <v>6.5</v>
      </c>
      <c r="B195" s="284">
        <v>0.64299060468999991</v>
      </c>
      <c r="C195" s="285">
        <v>0.75752466277099995</v>
      </c>
      <c r="D195" s="285">
        <v>0.84393856076699991</v>
      </c>
      <c r="E195" s="285">
        <v>0.87010206412499991</v>
      </c>
      <c r="F195" s="285">
        <v>0.895638685612</v>
      </c>
      <c r="G195" s="285">
        <v>0.92090833621200008</v>
      </c>
      <c r="H195" s="286">
        <v>0.94648531776699996</v>
      </c>
      <c r="I195" s="237"/>
    </row>
    <row r="196" spans="1:9" x14ac:dyDescent="0.2">
      <c r="A196" s="348">
        <v>6.6</v>
      </c>
      <c r="B196" s="277">
        <v>0.63826060322407985</v>
      </c>
      <c r="C196" s="278">
        <v>0.7537675648039599</v>
      </c>
      <c r="D196" s="278">
        <v>0.84124650992043992</v>
      </c>
      <c r="E196" s="278">
        <v>0.86778904352131991</v>
      </c>
      <c r="F196" s="278">
        <v>0.89372133185772007</v>
      </c>
      <c r="G196" s="278">
        <v>0.91941673266224</v>
      </c>
      <c r="H196" s="279">
        <v>0.94544528961171992</v>
      </c>
      <c r="I196" s="237"/>
    </row>
    <row r="197" spans="1:9" x14ac:dyDescent="0.2">
      <c r="A197" s="348">
        <v>6.7</v>
      </c>
      <c r="B197" s="277">
        <v>0.63357035885431989</v>
      </c>
      <c r="C197" s="278">
        <v>0.75002211904803995</v>
      </c>
      <c r="D197" s="278">
        <v>0.83855321564835994</v>
      </c>
      <c r="E197" s="278">
        <v>0.86547238674227989</v>
      </c>
      <c r="F197" s="278">
        <v>0.89179900928807998</v>
      </c>
      <c r="G197" s="278">
        <v>0.91792015910656</v>
      </c>
      <c r="H197" s="279">
        <v>0.94440054541627994</v>
      </c>
      <c r="I197" s="237"/>
    </row>
    <row r="198" spans="1:9" x14ac:dyDescent="0.2">
      <c r="A198" s="348">
        <v>6.8</v>
      </c>
      <c r="B198" s="277">
        <v>0.62891987158071994</v>
      </c>
      <c r="C198" s="278">
        <v>0.74628832550323998</v>
      </c>
      <c r="D198" s="278">
        <v>0.83585867795075997</v>
      </c>
      <c r="E198" s="278">
        <v>0.86315209378787983</v>
      </c>
      <c r="F198" s="278">
        <v>0.88987171790308006</v>
      </c>
      <c r="G198" s="278">
        <v>0.91641861554496007</v>
      </c>
      <c r="H198" s="279">
        <v>0.94335108518067989</v>
      </c>
      <c r="I198" s="237"/>
    </row>
    <row r="199" spans="1:9" x14ac:dyDescent="0.2">
      <c r="A199" s="348">
        <v>6.9</v>
      </c>
      <c r="B199" s="290">
        <v>0.62430914140327998</v>
      </c>
      <c r="C199" s="291">
        <v>0.74256618416955988</v>
      </c>
      <c r="D199" s="291">
        <v>0.83316289682763989</v>
      </c>
      <c r="E199" s="291">
        <v>0.86082816465811995</v>
      </c>
      <c r="F199" s="291">
        <v>0.88793945770271998</v>
      </c>
      <c r="G199" s="291">
        <v>0.91491210197744</v>
      </c>
      <c r="H199" s="292">
        <v>0.94229690890491991</v>
      </c>
      <c r="I199" s="237"/>
    </row>
    <row r="200" spans="1:9" x14ac:dyDescent="0.2">
      <c r="A200" s="348">
        <v>7</v>
      </c>
      <c r="B200" s="287">
        <v>0.6197381683219999</v>
      </c>
      <c r="C200" s="288">
        <v>0.73885569504699999</v>
      </c>
      <c r="D200" s="288">
        <v>0.83046587227899993</v>
      </c>
      <c r="E200" s="288">
        <v>0.85850059935299994</v>
      </c>
      <c r="F200" s="288">
        <v>0.88600222868700007</v>
      </c>
      <c r="G200" s="288">
        <v>0.913400618404</v>
      </c>
      <c r="H200" s="289">
        <v>0.94123801658899997</v>
      </c>
      <c r="I200" s="237"/>
    </row>
    <row r="201" spans="1:9" x14ac:dyDescent="0.2">
      <c r="A201" s="348">
        <v>7.1</v>
      </c>
      <c r="B201" s="277">
        <v>0.61520695233687994</v>
      </c>
      <c r="C201" s="278">
        <v>0.73515685813555998</v>
      </c>
      <c r="D201" s="278">
        <v>0.82776760430483998</v>
      </c>
      <c r="E201" s="278">
        <v>0.85616939787251989</v>
      </c>
      <c r="F201" s="278">
        <v>0.88406003085592011</v>
      </c>
      <c r="G201" s="278">
        <v>0.91188416482464008</v>
      </c>
      <c r="H201" s="279">
        <v>0.94017440823291998</v>
      </c>
      <c r="I201" s="237"/>
    </row>
    <row r="202" spans="1:9" x14ac:dyDescent="0.2">
      <c r="A202" s="348">
        <v>7.2</v>
      </c>
      <c r="B202" s="277">
        <v>0.61071549344791998</v>
      </c>
      <c r="C202" s="278">
        <v>0.73146967343523994</v>
      </c>
      <c r="D202" s="278">
        <v>0.82506809290515992</v>
      </c>
      <c r="E202" s="278">
        <v>0.85383456021667992</v>
      </c>
      <c r="F202" s="278">
        <v>0.88211286420947999</v>
      </c>
      <c r="G202" s="278">
        <v>0.91036274123936001</v>
      </c>
      <c r="H202" s="279">
        <v>0.93910608383667993</v>
      </c>
      <c r="I202" s="237"/>
    </row>
    <row r="203" spans="1:9" x14ac:dyDescent="0.2">
      <c r="A203" s="348">
        <v>7.3</v>
      </c>
      <c r="B203" s="277">
        <v>0.6062637916551199</v>
      </c>
      <c r="C203" s="278">
        <v>0.72779414094604</v>
      </c>
      <c r="D203" s="278">
        <v>0.82236733807995988</v>
      </c>
      <c r="E203" s="278">
        <v>0.85149608638547991</v>
      </c>
      <c r="F203" s="278">
        <v>0.88016072874768003</v>
      </c>
      <c r="G203" s="278">
        <v>0.90883634764816001</v>
      </c>
      <c r="H203" s="279">
        <v>0.93803304340027993</v>
      </c>
      <c r="I203" s="237"/>
    </row>
    <row r="204" spans="1:9" x14ac:dyDescent="0.2">
      <c r="A204" s="348">
        <v>7.4</v>
      </c>
      <c r="B204" s="281">
        <v>0.60185184695847982</v>
      </c>
      <c r="C204" s="282">
        <v>0.72413026066795994</v>
      </c>
      <c r="D204" s="282">
        <v>0.81966533982923995</v>
      </c>
      <c r="E204" s="282">
        <v>0.84915397637891987</v>
      </c>
      <c r="F204" s="282">
        <v>0.87820362447052003</v>
      </c>
      <c r="G204" s="282">
        <v>0.9073049840510401</v>
      </c>
      <c r="H204" s="283">
        <v>0.93695528692371988</v>
      </c>
      <c r="I204" s="237"/>
    </row>
    <row r="205" spans="1:9" x14ac:dyDescent="0.2">
      <c r="A205" s="348">
        <v>7.5</v>
      </c>
      <c r="B205" s="284">
        <v>0.59747965935799985</v>
      </c>
      <c r="C205" s="285">
        <v>0.72047803260099985</v>
      </c>
      <c r="D205" s="285">
        <v>0.81696209815299992</v>
      </c>
      <c r="E205" s="285">
        <v>0.84680823019699991</v>
      </c>
      <c r="F205" s="285">
        <v>0.87624155137799997</v>
      </c>
      <c r="G205" s="285">
        <v>0.90576865044800003</v>
      </c>
      <c r="H205" s="286">
        <v>0.93587281440699988</v>
      </c>
      <c r="I205" s="237"/>
    </row>
    <row r="206" spans="1:9" x14ac:dyDescent="0.2">
      <c r="A206" s="348">
        <v>7.6</v>
      </c>
      <c r="B206" s="277">
        <v>0.59314722885367999</v>
      </c>
      <c r="C206" s="278">
        <v>0.71683745674515997</v>
      </c>
      <c r="D206" s="278">
        <v>0.81425761305123989</v>
      </c>
      <c r="E206" s="278">
        <v>0.84445884783971992</v>
      </c>
      <c r="F206" s="278">
        <v>0.87427450947012009</v>
      </c>
      <c r="G206" s="278">
        <v>0.90422734683904005</v>
      </c>
      <c r="H206" s="279">
        <v>0.93478562585011993</v>
      </c>
      <c r="I206" s="237"/>
    </row>
    <row r="207" spans="1:9" x14ac:dyDescent="0.2">
      <c r="A207" s="348">
        <v>7.7</v>
      </c>
      <c r="B207" s="277">
        <v>0.5888545554455199</v>
      </c>
      <c r="C207" s="278">
        <v>0.71320853310043997</v>
      </c>
      <c r="D207" s="278">
        <v>0.81155188452395999</v>
      </c>
      <c r="E207" s="278">
        <v>0.84210582930707989</v>
      </c>
      <c r="F207" s="278">
        <v>0.87230249874688004</v>
      </c>
      <c r="G207" s="278">
        <v>0.90268107322416002</v>
      </c>
      <c r="H207" s="279">
        <v>0.93369372125307992</v>
      </c>
      <c r="I207" s="237"/>
    </row>
    <row r="208" spans="1:9" x14ac:dyDescent="0.2">
      <c r="A208" s="348">
        <v>7.8</v>
      </c>
      <c r="B208" s="277">
        <v>0.58460163913351981</v>
      </c>
      <c r="C208" s="278">
        <v>0.70959126166683995</v>
      </c>
      <c r="D208" s="278">
        <v>0.80884491257115987</v>
      </c>
      <c r="E208" s="278">
        <v>0.83974917459907994</v>
      </c>
      <c r="F208" s="278">
        <v>0.87032551920828005</v>
      </c>
      <c r="G208" s="278">
        <v>0.90112982960336008</v>
      </c>
      <c r="H208" s="279">
        <v>0.93259710061587997</v>
      </c>
      <c r="I208" s="237"/>
    </row>
    <row r="209" spans="1:9" x14ac:dyDescent="0.2">
      <c r="A209" s="348">
        <v>7.9</v>
      </c>
      <c r="B209" s="290">
        <v>0.58038847991767994</v>
      </c>
      <c r="C209" s="291">
        <v>0.70598564244435991</v>
      </c>
      <c r="D209" s="291">
        <v>0.80613669719283987</v>
      </c>
      <c r="E209" s="291">
        <v>0.83738888371571996</v>
      </c>
      <c r="F209" s="291">
        <v>0.86834357085432001</v>
      </c>
      <c r="G209" s="291">
        <v>0.8995736159766401</v>
      </c>
      <c r="H209" s="292">
        <v>0.93149576393851996</v>
      </c>
      <c r="I209" s="237"/>
    </row>
    <row r="210" spans="1:9" x14ac:dyDescent="0.2">
      <c r="A210" s="348">
        <v>8</v>
      </c>
      <c r="B210" s="287">
        <v>0.57621507779799996</v>
      </c>
      <c r="C210" s="288">
        <v>0.70239167543299996</v>
      </c>
      <c r="D210" s="288">
        <v>0.80342723838899999</v>
      </c>
      <c r="E210" s="288">
        <v>0.83502495665699994</v>
      </c>
      <c r="F210" s="288">
        <v>0.86635665368500003</v>
      </c>
      <c r="G210" s="288">
        <v>0.89801243234400008</v>
      </c>
      <c r="H210" s="289">
        <v>0.93038971122099989</v>
      </c>
      <c r="I210" s="237"/>
    </row>
    <row r="211" spans="1:9" x14ac:dyDescent="0.2">
      <c r="A211" s="348">
        <v>8.1</v>
      </c>
      <c r="B211" s="277">
        <v>0.57208143277447987</v>
      </c>
      <c r="C211" s="278">
        <v>0.69880936063276</v>
      </c>
      <c r="D211" s="278">
        <v>0.80071653615963989</v>
      </c>
      <c r="E211" s="278">
        <v>0.83265739342291989</v>
      </c>
      <c r="F211" s="278">
        <v>0.86436476770032</v>
      </c>
      <c r="G211" s="278">
        <v>0.89644627870544003</v>
      </c>
      <c r="H211" s="279">
        <v>0.92927894246331988</v>
      </c>
      <c r="I211" s="237"/>
    </row>
    <row r="212" spans="1:9" x14ac:dyDescent="0.2">
      <c r="A212" s="348">
        <v>8.1999999999999993</v>
      </c>
      <c r="B212" s="277">
        <v>0.56798754484711989</v>
      </c>
      <c r="C212" s="278">
        <v>0.69523869804364002</v>
      </c>
      <c r="D212" s="278">
        <v>0.79800459050475991</v>
      </c>
      <c r="E212" s="278">
        <v>0.83028619401347992</v>
      </c>
      <c r="F212" s="278">
        <v>0.86236791290028003</v>
      </c>
      <c r="G212" s="278">
        <v>0.89487515506096005</v>
      </c>
      <c r="H212" s="279">
        <v>0.92816345766547992</v>
      </c>
      <c r="I212" s="237"/>
    </row>
    <row r="213" spans="1:9" x14ac:dyDescent="0.2">
      <c r="A213" s="348">
        <v>8.3000000000000007</v>
      </c>
      <c r="B213" s="277">
        <v>0.5639334140159199</v>
      </c>
      <c r="C213" s="278">
        <v>0.69167968766563992</v>
      </c>
      <c r="D213" s="278">
        <v>0.79529140142435994</v>
      </c>
      <c r="E213" s="278">
        <v>0.82791135842867991</v>
      </c>
      <c r="F213" s="278">
        <v>0.86036608928488001</v>
      </c>
      <c r="G213" s="278">
        <v>0.89329906141056004</v>
      </c>
      <c r="H213" s="279">
        <v>0.9270432568274799</v>
      </c>
      <c r="I213" s="237"/>
    </row>
    <row r="214" spans="1:9" x14ac:dyDescent="0.2">
      <c r="A214" s="348">
        <v>8.4</v>
      </c>
      <c r="B214" s="281">
        <v>0.5599190402808798</v>
      </c>
      <c r="C214" s="282">
        <v>0.68813232949875991</v>
      </c>
      <c r="D214" s="282">
        <v>0.79257696891843987</v>
      </c>
      <c r="E214" s="282">
        <v>0.82553288666851987</v>
      </c>
      <c r="F214" s="282">
        <v>0.85835929685412005</v>
      </c>
      <c r="G214" s="282">
        <v>0.89171799775423999</v>
      </c>
      <c r="H214" s="283">
        <v>0.92591833994931994</v>
      </c>
      <c r="I214" s="237"/>
    </row>
    <row r="215" spans="1:9" x14ac:dyDescent="0.2">
      <c r="A215" s="348">
        <v>8.5</v>
      </c>
      <c r="B215" s="284">
        <v>0.55594442364199992</v>
      </c>
      <c r="C215" s="285">
        <v>0.68459662354299988</v>
      </c>
      <c r="D215" s="285">
        <v>0.78986129298699992</v>
      </c>
      <c r="E215" s="285">
        <v>0.82315077873299991</v>
      </c>
      <c r="F215" s="285">
        <v>0.85634753560800003</v>
      </c>
      <c r="G215" s="285">
        <v>0.89013196409200002</v>
      </c>
      <c r="H215" s="286">
        <v>0.92478870703099991</v>
      </c>
      <c r="I215" s="237"/>
    </row>
    <row r="216" spans="1:9" x14ac:dyDescent="0.2">
      <c r="A216" s="348">
        <v>8.6</v>
      </c>
      <c r="B216" s="277">
        <v>0.55200956409927993</v>
      </c>
      <c r="C216" s="278">
        <v>0.68107256979835995</v>
      </c>
      <c r="D216" s="278">
        <v>0.78714437363003997</v>
      </c>
      <c r="E216" s="278">
        <v>0.82076503462211992</v>
      </c>
      <c r="F216" s="278">
        <v>0.85433080554651997</v>
      </c>
      <c r="G216" s="278">
        <v>0.88854096042384012</v>
      </c>
      <c r="H216" s="279">
        <v>0.92365435807251994</v>
      </c>
      <c r="I216" s="237"/>
    </row>
    <row r="217" spans="1:9" x14ac:dyDescent="0.2">
      <c r="A217" s="348">
        <v>8.6999999999999993</v>
      </c>
      <c r="B217" s="277">
        <v>0.54811446165271993</v>
      </c>
      <c r="C217" s="278">
        <v>0.67756016826484</v>
      </c>
      <c r="D217" s="278">
        <v>0.78442621084755992</v>
      </c>
      <c r="E217" s="278">
        <v>0.81837565433587989</v>
      </c>
      <c r="F217" s="278">
        <v>0.85230910666968007</v>
      </c>
      <c r="G217" s="278">
        <v>0.88694498674976008</v>
      </c>
      <c r="H217" s="279">
        <v>0.92251529307387992</v>
      </c>
      <c r="I217" s="237"/>
    </row>
    <row r="218" spans="1:9" x14ac:dyDescent="0.2">
      <c r="A218" s="348">
        <v>8.8000000000000007</v>
      </c>
      <c r="B218" s="277">
        <v>0.54425911630231993</v>
      </c>
      <c r="C218" s="278">
        <v>0.67405941894243993</v>
      </c>
      <c r="D218" s="278">
        <v>0.78170680463955988</v>
      </c>
      <c r="E218" s="278">
        <v>0.81598263787427983</v>
      </c>
      <c r="F218" s="278">
        <v>0.85028243897748002</v>
      </c>
      <c r="G218" s="278">
        <v>0.88534404306976</v>
      </c>
      <c r="H218" s="279">
        <v>0.92137151203507994</v>
      </c>
      <c r="I218" s="237"/>
    </row>
    <row r="219" spans="1:9" x14ac:dyDescent="0.2">
      <c r="A219" s="348">
        <v>8.9</v>
      </c>
      <c r="B219" s="290">
        <v>0.54044352804807994</v>
      </c>
      <c r="C219" s="291">
        <v>0.67057032183115994</v>
      </c>
      <c r="D219" s="291">
        <v>0.77898615500603996</v>
      </c>
      <c r="E219" s="291">
        <v>0.81358598523731995</v>
      </c>
      <c r="F219" s="291">
        <v>0.84825080246992002</v>
      </c>
      <c r="G219" s="291">
        <v>0.88373812938384</v>
      </c>
      <c r="H219" s="292">
        <v>0.92022301495611991</v>
      </c>
      <c r="I219" s="237"/>
    </row>
    <row r="220" spans="1:9" x14ac:dyDescent="0.2">
      <c r="A220" s="348">
        <v>9</v>
      </c>
      <c r="B220" s="287">
        <v>0.53666769688999993</v>
      </c>
      <c r="C220" s="288">
        <v>0.66709287693099995</v>
      </c>
      <c r="D220" s="288">
        <v>0.77626426194699993</v>
      </c>
      <c r="E220" s="288">
        <v>0.81118569642499994</v>
      </c>
      <c r="F220" s="288">
        <v>0.84621419714700008</v>
      </c>
      <c r="G220" s="288">
        <v>0.88212724569200007</v>
      </c>
      <c r="H220" s="289">
        <v>0.91906980183699993</v>
      </c>
      <c r="I220" s="237"/>
    </row>
    <row r="221" spans="1:9" x14ac:dyDescent="0.2">
      <c r="A221" s="348">
        <v>9.1</v>
      </c>
      <c r="B221" s="277">
        <v>0.53293162282807993</v>
      </c>
      <c r="C221" s="278">
        <v>0.66362708424195993</v>
      </c>
      <c r="D221" s="278">
        <v>0.77354112546243992</v>
      </c>
      <c r="E221" s="278">
        <v>0.80878177143731989</v>
      </c>
      <c r="F221" s="278">
        <v>0.84417262300872009</v>
      </c>
      <c r="G221" s="278">
        <v>0.88051139199424</v>
      </c>
      <c r="H221" s="279">
        <v>0.9179118726777199</v>
      </c>
      <c r="I221" s="237"/>
    </row>
    <row r="222" spans="1:9" x14ac:dyDescent="0.2">
      <c r="A222" s="348">
        <v>9.1999999999999993</v>
      </c>
      <c r="B222" s="277">
        <v>0.52923530586231993</v>
      </c>
      <c r="C222" s="278">
        <v>0.66017294376404001</v>
      </c>
      <c r="D222" s="278">
        <v>0.77081674555235991</v>
      </c>
      <c r="E222" s="278">
        <v>0.80637421027427991</v>
      </c>
      <c r="F222" s="278">
        <v>0.84212608005508005</v>
      </c>
      <c r="G222" s="278">
        <v>0.87889056829056011</v>
      </c>
      <c r="H222" s="279">
        <v>0.91674922747827992</v>
      </c>
      <c r="I222" s="237"/>
    </row>
    <row r="223" spans="1:9" x14ac:dyDescent="0.2">
      <c r="A223" s="348">
        <v>9.3000000000000007</v>
      </c>
      <c r="B223" s="277">
        <v>0.52557874599271981</v>
      </c>
      <c r="C223" s="278">
        <v>0.65673045549723996</v>
      </c>
      <c r="D223" s="278">
        <v>0.7680911222167599</v>
      </c>
      <c r="E223" s="278">
        <v>0.80396301293587991</v>
      </c>
      <c r="F223" s="278">
        <v>0.84007456828607996</v>
      </c>
      <c r="G223" s="278">
        <v>0.87726477458096008</v>
      </c>
      <c r="H223" s="279">
        <v>0.91558186623867988</v>
      </c>
      <c r="I223" s="237"/>
    </row>
    <row r="224" spans="1:9" x14ac:dyDescent="0.2">
      <c r="A224" s="348">
        <v>9.4</v>
      </c>
      <c r="B224" s="281">
        <v>0.52196194321927991</v>
      </c>
      <c r="C224" s="282">
        <v>0.6532996194415599</v>
      </c>
      <c r="D224" s="282">
        <v>0.76536425545563991</v>
      </c>
      <c r="E224" s="282">
        <v>0.80154817942211987</v>
      </c>
      <c r="F224" s="282">
        <v>0.83801808770172004</v>
      </c>
      <c r="G224" s="282">
        <v>0.87563401086544002</v>
      </c>
      <c r="H224" s="283">
        <v>0.91440978895891989</v>
      </c>
      <c r="I224" s="237"/>
    </row>
    <row r="225" spans="1:12" x14ac:dyDescent="0.2">
      <c r="A225" s="348">
        <v>9.5</v>
      </c>
      <c r="B225" s="284">
        <v>0.51838489754199979</v>
      </c>
      <c r="C225" s="285">
        <v>0.64988043559699993</v>
      </c>
      <c r="D225" s="285">
        <v>0.76263614526899992</v>
      </c>
      <c r="E225" s="285">
        <v>0.7991297097329999</v>
      </c>
      <c r="F225" s="285">
        <v>0.83595663830200007</v>
      </c>
      <c r="G225" s="285">
        <v>0.87399827714400002</v>
      </c>
      <c r="H225" s="286">
        <v>0.91323299563899996</v>
      </c>
      <c r="I225" s="237"/>
    </row>
    <row r="226" spans="1:12" x14ac:dyDescent="0.2">
      <c r="A226" s="348">
        <v>9.6</v>
      </c>
      <c r="B226" s="277">
        <v>0.51484760896088</v>
      </c>
      <c r="C226" s="278">
        <v>0.64647290396355994</v>
      </c>
      <c r="D226" s="278">
        <v>0.75990679165683994</v>
      </c>
      <c r="E226" s="278">
        <v>0.79670760386851991</v>
      </c>
      <c r="F226" s="278">
        <v>0.83389022008692004</v>
      </c>
      <c r="G226" s="278">
        <v>0.87235757341664</v>
      </c>
      <c r="H226" s="279">
        <v>0.91205148627891997</v>
      </c>
      <c r="I226" s="237"/>
    </row>
    <row r="227" spans="1:12" x14ac:dyDescent="0.2">
      <c r="A227" s="348">
        <v>9.6999999999999993</v>
      </c>
      <c r="B227" s="277">
        <v>0.51135007747591998</v>
      </c>
      <c r="C227" s="278">
        <v>0.64307702454124005</v>
      </c>
      <c r="D227" s="278">
        <v>0.75717619461915997</v>
      </c>
      <c r="E227" s="278">
        <v>0.79428186182867999</v>
      </c>
      <c r="F227" s="278">
        <v>0.83181883305648008</v>
      </c>
      <c r="G227" s="278">
        <v>0.87071189968336005</v>
      </c>
      <c r="H227" s="279">
        <v>0.91086526087867992</v>
      </c>
      <c r="I227" s="237"/>
    </row>
    <row r="228" spans="1:12" x14ac:dyDescent="0.2">
      <c r="A228" s="348">
        <v>9.8000000000000007</v>
      </c>
      <c r="B228" s="277">
        <v>0.50789230308711997</v>
      </c>
      <c r="C228" s="278">
        <v>0.63969279733003992</v>
      </c>
      <c r="D228" s="278">
        <v>0.7544443541559599</v>
      </c>
      <c r="E228" s="278">
        <v>0.79185248361347993</v>
      </c>
      <c r="F228" s="278">
        <v>0.82974247721068006</v>
      </c>
      <c r="G228" s="278">
        <v>0.86906125594416006</v>
      </c>
      <c r="H228" s="279">
        <v>0.90967431943827992</v>
      </c>
      <c r="I228" s="237"/>
    </row>
    <row r="229" spans="1:12" x14ac:dyDescent="0.2">
      <c r="A229" s="348">
        <v>9.9</v>
      </c>
      <c r="B229" s="290">
        <v>0.50447428579447995</v>
      </c>
      <c r="C229" s="291">
        <v>0.63632022232995988</v>
      </c>
      <c r="D229" s="291">
        <v>0.75171127026723994</v>
      </c>
      <c r="E229" s="291">
        <v>0.78941946922291995</v>
      </c>
      <c r="F229" s="291">
        <v>0.82766115254952</v>
      </c>
      <c r="G229" s="291">
        <v>0.86740564219904004</v>
      </c>
      <c r="H229" s="292">
        <v>0.90847866195771987</v>
      </c>
      <c r="I229" s="237"/>
    </row>
    <row r="230" spans="1:12" ht="13.5" thickBot="1" x14ac:dyDescent="0.25">
      <c r="A230" s="355">
        <v>10</v>
      </c>
      <c r="B230" s="294">
        <v>0.50109602559799993</v>
      </c>
      <c r="C230" s="295">
        <v>0.63295929954099994</v>
      </c>
      <c r="D230" s="295">
        <v>0.74897694295299999</v>
      </c>
      <c r="E230" s="295">
        <v>0.78698281865699993</v>
      </c>
      <c r="F230" s="295">
        <v>0.82557485907299999</v>
      </c>
      <c r="G230" s="295">
        <v>0.86574505844799998</v>
      </c>
      <c r="H230" s="296">
        <v>0.90727828843699987</v>
      </c>
      <c r="I230" s="237"/>
    </row>
    <row r="231" spans="1:12" ht="14.25" thickTop="1" thickBot="1" x14ac:dyDescent="0.25">
      <c r="A231" s="355">
        <v>10.000999999999999</v>
      </c>
      <c r="B231" s="294">
        <v>0.50109602559799993</v>
      </c>
      <c r="C231" s="295">
        <v>0.63295929954099994</v>
      </c>
      <c r="D231" s="295">
        <v>0.74897694295299999</v>
      </c>
      <c r="E231" s="295">
        <v>0.78698281865699993</v>
      </c>
      <c r="F231" s="295">
        <v>0.82557485907299999</v>
      </c>
      <c r="G231" s="295">
        <v>0.86574505844799998</v>
      </c>
      <c r="H231" s="296">
        <v>0.90727828843699987</v>
      </c>
      <c r="I231" s="237"/>
    </row>
    <row r="232" spans="1:12" ht="14.25" thickTop="1" thickBot="1" x14ac:dyDescent="0.25">
      <c r="A232" s="318"/>
      <c r="B232" s="247"/>
      <c r="C232" s="247"/>
      <c r="D232" s="247"/>
      <c r="E232" s="247"/>
      <c r="F232" s="247"/>
      <c r="G232" s="247"/>
      <c r="H232" s="247"/>
      <c r="I232" s="248"/>
    </row>
    <row r="233" spans="1:12" ht="14.25" thickTop="1" thickBot="1" x14ac:dyDescent="0.25"/>
    <row r="234" spans="1:12" ht="21.75" thickTop="1" thickBot="1" x14ac:dyDescent="0.25">
      <c r="A234" s="693" t="s">
        <v>143</v>
      </c>
      <c r="B234" s="700"/>
      <c r="C234" s="700"/>
      <c r="D234" s="700"/>
      <c r="E234" s="260"/>
      <c r="F234" s="260"/>
      <c r="G234" s="260"/>
      <c r="H234" s="260"/>
      <c r="I234" s="260"/>
      <c r="J234" s="260"/>
      <c r="K234" s="260"/>
      <c r="L234" s="261"/>
    </row>
    <row r="235" spans="1:12" ht="26.25" thickBot="1" x14ac:dyDescent="0.25">
      <c r="A235" s="345" t="s">
        <v>98</v>
      </c>
      <c r="B235" s="320" t="s">
        <v>99</v>
      </c>
      <c r="C235" s="328"/>
      <c r="D235" s="328"/>
      <c r="E235" s="231"/>
      <c r="F235" s="231"/>
      <c r="G235" s="231"/>
      <c r="H235" s="231"/>
      <c r="I235" s="231"/>
      <c r="J235" s="231"/>
      <c r="K235" s="231"/>
      <c r="L235" s="237"/>
    </row>
    <row r="236" spans="1:12" ht="16.5" thickTop="1" x14ac:dyDescent="0.25">
      <c r="A236" s="356">
        <v>4</v>
      </c>
      <c r="B236" s="321">
        <v>0.96164125204086304</v>
      </c>
      <c r="C236" s="328"/>
      <c r="D236" s="357" t="s">
        <v>101</v>
      </c>
      <c r="E236" s="231"/>
      <c r="F236" s="231"/>
      <c r="G236" s="231"/>
      <c r="H236" s="231"/>
      <c r="I236" s="231"/>
      <c r="J236" s="231"/>
      <c r="K236" s="231"/>
      <c r="L236" s="237"/>
    </row>
    <row r="237" spans="1:12" x14ac:dyDescent="0.2">
      <c r="A237" s="358">
        <v>5</v>
      </c>
      <c r="B237" s="323">
        <v>0.96997122073880404</v>
      </c>
      <c r="C237" s="328"/>
      <c r="D237" s="328"/>
      <c r="E237" s="231"/>
      <c r="F237" s="231"/>
      <c r="G237" s="231"/>
      <c r="H237" s="231"/>
      <c r="I237" s="231"/>
      <c r="J237" s="231"/>
      <c r="K237" s="231"/>
      <c r="L237" s="237"/>
    </row>
    <row r="238" spans="1:12" x14ac:dyDescent="0.2">
      <c r="A238" s="356">
        <v>6</v>
      </c>
      <c r="B238" s="321">
        <v>0.97739338757508598</v>
      </c>
      <c r="C238" s="328"/>
      <c r="D238" s="328"/>
      <c r="E238" s="231"/>
      <c r="F238" s="231"/>
      <c r="G238" s="231"/>
      <c r="H238" s="231"/>
      <c r="I238" s="231"/>
      <c r="J238" s="231"/>
      <c r="K238" s="231"/>
      <c r="L238" s="237"/>
    </row>
    <row r="239" spans="1:12" x14ac:dyDescent="0.2">
      <c r="A239" s="356">
        <v>7</v>
      </c>
      <c r="B239" s="321">
        <v>0.9840075102890592</v>
      </c>
      <c r="C239" s="328"/>
      <c r="D239" s="328"/>
      <c r="E239" s="231"/>
      <c r="F239" s="231"/>
      <c r="G239" s="231"/>
      <c r="H239" s="231"/>
      <c r="I239" s="231"/>
      <c r="J239" s="231"/>
      <c r="K239" s="231"/>
      <c r="L239" s="237"/>
    </row>
    <row r="240" spans="1:12" x14ac:dyDescent="0.2">
      <c r="A240" s="356">
        <v>8</v>
      </c>
      <c r="B240" s="321">
        <v>0.98992476015576036</v>
      </c>
      <c r="C240" s="328"/>
      <c r="D240" s="328"/>
      <c r="E240" s="231"/>
      <c r="F240" s="231"/>
      <c r="G240" s="231"/>
      <c r="H240" s="231"/>
      <c r="I240" s="231"/>
      <c r="J240" s="231"/>
      <c r="K240" s="231"/>
      <c r="L240" s="237"/>
    </row>
    <row r="241" spans="1:12" x14ac:dyDescent="0.2">
      <c r="A241" s="356">
        <v>9</v>
      </c>
      <c r="B241" s="321">
        <v>0.99521939387367597</v>
      </c>
      <c r="C241" s="328"/>
      <c r="D241" s="328"/>
      <c r="E241" s="231"/>
      <c r="F241" s="231"/>
      <c r="G241" s="231"/>
      <c r="H241" s="231"/>
      <c r="I241" s="231"/>
      <c r="J241" s="231"/>
      <c r="K241" s="231"/>
      <c r="L241" s="237"/>
    </row>
    <row r="242" spans="1:12" x14ac:dyDescent="0.2">
      <c r="A242" s="358">
        <v>10</v>
      </c>
      <c r="B242" s="323">
        <v>1.0000002084167807</v>
      </c>
      <c r="C242" s="328"/>
      <c r="D242" s="328"/>
      <c r="E242" s="231"/>
      <c r="F242" s="231"/>
      <c r="G242" s="231"/>
      <c r="H242" s="231"/>
      <c r="I242" s="231"/>
      <c r="J242" s="231"/>
      <c r="K242" s="231"/>
      <c r="L242" s="237"/>
    </row>
    <row r="243" spans="1:12" x14ac:dyDescent="0.2">
      <c r="A243" s="356">
        <v>11</v>
      </c>
      <c r="B243" s="321">
        <v>1.0043477892528692</v>
      </c>
      <c r="C243" s="328"/>
      <c r="D243" s="328"/>
      <c r="E243" s="231"/>
      <c r="F243" s="231"/>
      <c r="G243" s="231"/>
      <c r="H243" s="231"/>
      <c r="I243" s="231"/>
      <c r="J243" s="231"/>
      <c r="K243" s="231"/>
      <c r="L243" s="237"/>
    </row>
    <row r="244" spans="1:12" x14ac:dyDescent="0.2">
      <c r="A244" s="356">
        <v>12</v>
      </c>
      <c r="B244" s="321">
        <v>1.0083176428773646</v>
      </c>
      <c r="C244" s="328"/>
      <c r="D244" s="328"/>
      <c r="E244" s="231"/>
      <c r="F244" s="231"/>
      <c r="G244" s="231"/>
      <c r="H244" s="231"/>
      <c r="I244" s="231"/>
      <c r="J244" s="231"/>
      <c r="K244" s="231"/>
      <c r="L244" s="237"/>
    </row>
    <row r="245" spans="1:12" x14ac:dyDescent="0.2">
      <c r="A245" s="356">
        <v>13</v>
      </c>
      <c r="B245" s="321">
        <v>1.0119475714303756</v>
      </c>
      <c r="C245" s="328"/>
      <c r="D245" s="328"/>
      <c r="E245" s="231"/>
      <c r="F245" s="231"/>
      <c r="G245" s="231"/>
      <c r="H245" s="231"/>
      <c r="I245" s="231"/>
      <c r="J245" s="231"/>
      <c r="K245" s="231"/>
      <c r="L245" s="237"/>
    </row>
    <row r="246" spans="1:12" x14ac:dyDescent="0.2">
      <c r="A246" s="356">
        <v>14</v>
      </c>
      <c r="B246" s="321">
        <v>1.015275580019152</v>
      </c>
      <c r="C246" s="328"/>
      <c r="D246" s="328"/>
      <c r="E246" s="231"/>
      <c r="F246" s="231"/>
      <c r="G246" s="231"/>
      <c r="H246" s="231"/>
      <c r="I246" s="231"/>
      <c r="J246" s="231"/>
      <c r="K246" s="231"/>
      <c r="L246" s="237"/>
    </row>
    <row r="247" spans="1:12" x14ac:dyDescent="0.2">
      <c r="A247" s="358">
        <v>15</v>
      </c>
      <c r="B247" s="323">
        <v>1.01834836041682</v>
      </c>
      <c r="C247" s="328"/>
      <c r="D247" s="328"/>
      <c r="E247" s="231"/>
      <c r="F247" s="231"/>
      <c r="G247" s="231"/>
      <c r="H247" s="231"/>
      <c r="I247" s="231"/>
      <c r="J247" s="231"/>
      <c r="K247" s="231"/>
      <c r="L247" s="237"/>
    </row>
    <row r="248" spans="1:12" x14ac:dyDescent="0.2">
      <c r="A248" s="356">
        <v>16</v>
      </c>
      <c r="B248" s="321">
        <v>1.0211927492621387</v>
      </c>
      <c r="C248" s="328"/>
      <c r="D248" s="328"/>
      <c r="E248" s="231"/>
      <c r="F248" s="231"/>
      <c r="G248" s="231"/>
      <c r="H248" s="231"/>
      <c r="I248" s="231"/>
      <c r="J248" s="231"/>
      <c r="K248" s="231"/>
      <c r="L248" s="237"/>
    </row>
    <row r="249" spans="1:12" x14ac:dyDescent="0.2">
      <c r="A249" s="356">
        <v>17</v>
      </c>
      <c r="B249" s="321">
        <v>1.023830856481726</v>
      </c>
      <c r="C249" s="328"/>
      <c r="D249" s="328"/>
      <c r="E249" s="231"/>
      <c r="F249" s="231"/>
      <c r="G249" s="231"/>
      <c r="H249" s="231"/>
      <c r="I249" s="231"/>
      <c r="J249" s="231"/>
      <c r="K249" s="231"/>
      <c r="L249" s="237"/>
    </row>
    <row r="250" spans="1:12" x14ac:dyDescent="0.2">
      <c r="A250" s="356">
        <v>18</v>
      </c>
      <c r="B250" s="321">
        <v>1.0262723003145677</v>
      </c>
      <c r="C250" s="328"/>
      <c r="D250" s="328"/>
      <c r="E250" s="231"/>
      <c r="F250" s="231"/>
      <c r="G250" s="231"/>
      <c r="H250" s="231"/>
      <c r="I250" s="231"/>
      <c r="J250" s="231"/>
      <c r="K250" s="231"/>
      <c r="L250" s="237"/>
    </row>
    <row r="251" spans="1:12" x14ac:dyDescent="0.2">
      <c r="A251" s="356">
        <v>19</v>
      </c>
      <c r="B251" s="321">
        <v>1.0285482285323495</v>
      </c>
      <c r="C251" s="328"/>
      <c r="D251" s="328"/>
      <c r="E251" s="231"/>
      <c r="F251" s="231"/>
      <c r="G251" s="231"/>
      <c r="H251" s="231"/>
      <c r="I251" s="231"/>
      <c r="J251" s="231"/>
      <c r="K251" s="231"/>
      <c r="L251" s="237"/>
    </row>
    <row r="252" spans="1:12" x14ac:dyDescent="0.2">
      <c r="A252" s="358">
        <v>20</v>
      </c>
      <c r="B252" s="323">
        <v>1.0306733698544648</v>
      </c>
      <c r="C252" s="328"/>
      <c r="D252" s="328"/>
      <c r="E252" s="231"/>
      <c r="F252" s="231"/>
      <c r="G252" s="231"/>
      <c r="H252" s="231"/>
      <c r="I252" s="231"/>
      <c r="J252" s="231"/>
      <c r="K252" s="231"/>
      <c r="L252" s="237"/>
    </row>
    <row r="253" spans="1:12" x14ac:dyDescent="0.2">
      <c r="A253" s="356">
        <v>21</v>
      </c>
      <c r="B253" s="321">
        <v>1.032660779814252</v>
      </c>
      <c r="C253" s="328"/>
      <c r="D253" s="328"/>
      <c r="E253" s="231"/>
      <c r="F253" s="231"/>
      <c r="G253" s="231"/>
      <c r="H253" s="231"/>
      <c r="I253" s="231"/>
      <c r="J253" s="231"/>
      <c r="K253" s="231"/>
      <c r="L253" s="237"/>
    </row>
    <row r="254" spans="1:12" x14ac:dyDescent="0.2">
      <c r="A254" s="356">
        <v>22</v>
      </c>
      <c r="B254" s="321">
        <v>1.0345149266712808</v>
      </c>
      <c r="C254" s="328"/>
      <c r="D254" s="328"/>
      <c r="E254" s="231"/>
      <c r="F254" s="231"/>
      <c r="G254" s="231"/>
      <c r="H254" s="231"/>
      <c r="I254" s="231"/>
      <c r="J254" s="231"/>
      <c r="K254" s="231"/>
      <c r="L254" s="237"/>
    </row>
    <row r="255" spans="1:12" x14ac:dyDescent="0.2">
      <c r="A255" s="356">
        <v>23</v>
      </c>
      <c r="B255" s="321">
        <v>1.0362521388113499</v>
      </c>
      <c r="C255" s="328"/>
      <c r="D255" s="328"/>
      <c r="E255" s="231"/>
      <c r="F255" s="231"/>
      <c r="G255" s="231"/>
      <c r="H255" s="231"/>
      <c r="I255" s="231"/>
      <c r="J255" s="231"/>
      <c r="K255" s="231"/>
      <c r="L255" s="237"/>
    </row>
    <row r="256" spans="1:12" x14ac:dyDescent="0.2">
      <c r="A256" s="356">
        <v>24</v>
      </c>
      <c r="B256" s="321">
        <v>1.0378834726768822</v>
      </c>
      <c r="C256" s="328"/>
      <c r="D256" s="328"/>
      <c r="E256" s="231"/>
      <c r="F256" s="231"/>
      <c r="G256" s="231"/>
      <c r="H256" s="231"/>
      <c r="I256" s="231"/>
      <c r="J256" s="231"/>
      <c r="K256" s="231"/>
      <c r="L256" s="237"/>
    </row>
    <row r="257" spans="1:12" x14ac:dyDescent="0.2">
      <c r="A257" s="358">
        <v>25</v>
      </c>
      <c r="B257" s="323">
        <v>1.0394167633490745</v>
      </c>
      <c r="C257" s="328"/>
      <c r="D257" s="328"/>
      <c r="E257" s="231"/>
      <c r="F257" s="231"/>
      <c r="G257" s="231"/>
      <c r="H257" s="231"/>
      <c r="I257" s="231"/>
      <c r="J257" s="231"/>
      <c r="K257" s="231"/>
      <c r="L257" s="237"/>
    </row>
    <row r="258" spans="1:12" x14ac:dyDescent="0.2">
      <c r="A258" s="356">
        <v>26</v>
      </c>
      <c r="B258" s="321">
        <v>1.0408561087350148</v>
      </c>
      <c r="C258" s="328"/>
      <c r="D258" s="328"/>
      <c r="E258" s="231"/>
      <c r="F258" s="231"/>
      <c r="G258" s="231"/>
      <c r="H258" s="231"/>
      <c r="I258" s="231"/>
      <c r="J258" s="231"/>
      <c r="K258" s="231"/>
      <c r="L258" s="237"/>
    </row>
    <row r="259" spans="1:12" x14ac:dyDescent="0.2">
      <c r="A259" s="356">
        <v>27</v>
      </c>
      <c r="B259" s="321">
        <v>1.0422082418195433</v>
      </c>
      <c r="C259" s="328"/>
      <c r="D259" s="328"/>
      <c r="E259" s="231"/>
      <c r="F259" s="231"/>
      <c r="G259" s="231"/>
      <c r="H259" s="231"/>
      <c r="I259" s="231"/>
      <c r="J259" s="231"/>
      <c r="K259" s="231"/>
      <c r="L259" s="237"/>
    </row>
    <row r="260" spans="1:12" x14ac:dyDescent="0.2">
      <c r="A260" s="356">
        <v>28</v>
      </c>
      <c r="B260" s="321">
        <v>1.0434823567256752</v>
      </c>
      <c r="C260" s="328"/>
      <c r="D260" s="328"/>
      <c r="E260" s="231"/>
      <c r="F260" s="231"/>
      <c r="G260" s="231"/>
      <c r="H260" s="231"/>
      <c r="I260" s="231"/>
      <c r="J260" s="231"/>
      <c r="K260" s="231"/>
      <c r="L260" s="237"/>
    </row>
    <row r="261" spans="1:12" x14ac:dyDescent="0.2">
      <c r="A261" s="356">
        <v>29</v>
      </c>
      <c r="B261" s="321">
        <v>1.0446838221242258</v>
      </c>
      <c r="C261" s="328"/>
      <c r="D261" s="328"/>
      <c r="E261" s="231"/>
      <c r="F261" s="231"/>
      <c r="G261" s="231"/>
      <c r="H261" s="231"/>
      <c r="I261" s="231"/>
      <c r="J261" s="231"/>
      <c r="K261" s="231"/>
      <c r="L261" s="237"/>
    </row>
    <row r="262" spans="1:12" x14ac:dyDescent="0.2">
      <c r="A262" s="358">
        <v>30</v>
      </c>
      <c r="B262" s="323">
        <v>1.0458165379043263</v>
      </c>
      <c r="C262" s="328"/>
      <c r="D262" s="328"/>
      <c r="E262" s="231"/>
      <c r="F262" s="231"/>
      <c r="G262" s="231"/>
      <c r="H262" s="231"/>
      <c r="I262" s="231"/>
      <c r="J262" s="231"/>
      <c r="K262" s="231"/>
      <c r="L262" s="237"/>
    </row>
    <row r="263" spans="1:12" x14ac:dyDescent="0.2">
      <c r="A263" s="356">
        <v>31</v>
      </c>
      <c r="B263" s="321">
        <v>1.0468817130819674</v>
      </c>
      <c r="C263" s="328"/>
      <c r="D263" s="328"/>
      <c r="E263" s="231"/>
      <c r="F263" s="231"/>
      <c r="G263" s="231"/>
      <c r="H263" s="231"/>
      <c r="I263" s="231"/>
      <c r="J263" s="231"/>
      <c r="K263" s="231"/>
      <c r="L263" s="237"/>
    </row>
    <row r="264" spans="1:12" x14ac:dyDescent="0.2">
      <c r="A264" s="356">
        <v>32</v>
      </c>
      <c r="B264" s="321">
        <v>1.0478876261059464</v>
      </c>
      <c r="C264" s="328"/>
      <c r="D264" s="328"/>
      <c r="E264" s="231"/>
      <c r="F264" s="231"/>
      <c r="G264" s="231"/>
      <c r="H264" s="231"/>
      <c r="I264" s="231"/>
      <c r="J264" s="231"/>
      <c r="K264" s="231"/>
      <c r="L264" s="237"/>
    </row>
    <row r="265" spans="1:12" x14ac:dyDescent="0.2">
      <c r="A265" s="356">
        <v>33</v>
      </c>
      <c r="B265" s="321">
        <v>1.0488378847456623</v>
      </c>
      <c r="C265" s="328"/>
      <c r="D265" s="328"/>
      <c r="E265" s="231"/>
      <c r="F265" s="231"/>
      <c r="G265" s="231"/>
      <c r="H265" s="231"/>
      <c r="I265" s="231"/>
      <c r="J265" s="231"/>
      <c r="K265" s="231"/>
      <c r="L265" s="237"/>
    </row>
    <row r="266" spans="1:12" x14ac:dyDescent="0.2">
      <c r="A266" s="356">
        <v>34</v>
      </c>
      <c r="B266" s="321">
        <v>1.0497355966845965</v>
      </c>
      <c r="C266" s="328"/>
      <c r="D266" s="328"/>
      <c r="E266" s="231"/>
      <c r="F266" s="231"/>
      <c r="G266" s="231"/>
      <c r="H266" s="231"/>
      <c r="I266" s="231"/>
      <c r="J266" s="231"/>
      <c r="K266" s="231"/>
      <c r="L266" s="237"/>
    </row>
    <row r="267" spans="1:12" x14ac:dyDescent="0.2">
      <c r="A267" s="358">
        <v>35</v>
      </c>
      <c r="B267" s="323">
        <v>1.0505809901325474</v>
      </c>
      <c r="C267" s="328"/>
      <c r="D267" s="328"/>
      <c r="E267" s="231"/>
      <c r="F267" s="231"/>
      <c r="G267" s="231"/>
      <c r="H267" s="231"/>
      <c r="I267" s="231"/>
      <c r="J267" s="231"/>
      <c r="K267" s="231"/>
      <c r="L267" s="237"/>
    </row>
    <row r="268" spans="1:12" x14ac:dyDescent="0.2">
      <c r="A268" s="356">
        <v>36</v>
      </c>
      <c r="B268" s="321">
        <v>1.0513793596102545</v>
      </c>
      <c r="C268" s="328"/>
      <c r="D268" s="328"/>
      <c r="E268" s="231"/>
      <c r="F268" s="231"/>
      <c r="G268" s="231"/>
      <c r="H268" s="231"/>
      <c r="I268" s="231"/>
      <c r="J268" s="231"/>
      <c r="K268" s="231"/>
      <c r="L268" s="237"/>
    </row>
    <row r="269" spans="1:12" x14ac:dyDescent="0.2">
      <c r="A269" s="356">
        <v>37</v>
      </c>
      <c r="B269" s="321">
        <v>1.0521341496493413</v>
      </c>
      <c r="C269" s="328"/>
      <c r="D269" s="328"/>
      <c r="E269" s="231"/>
      <c r="F269" s="231"/>
      <c r="G269" s="231"/>
      <c r="H269" s="231"/>
      <c r="I269" s="231"/>
      <c r="J269" s="231"/>
      <c r="K269" s="231"/>
      <c r="L269" s="237"/>
    </row>
    <row r="270" spans="1:12" x14ac:dyDescent="0.2">
      <c r="A270" s="356">
        <v>38</v>
      </c>
      <c r="B270" s="321">
        <v>1.0528473229410604</v>
      </c>
      <c r="C270" s="328"/>
      <c r="D270" s="328"/>
      <c r="E270" s="231"/>
      <c r="F270" s="231"/>
      <c r="G270" s="231"/>
      <c r="H270" s="231"/>
      <c r="I270" s="231"/>
      <c r="J270" s="231"/>
      <c r="K270" s="231"/>
      <c r="L270" s="237"/>
    </row>
    <row r="271" spans="1:12" x14ac:dyDescent="0.2">
      <c r="A271" s="356">
        <v>39</v>
      </c>
      <c r="B271" s="321">
        <v>1.053519816467883</v>
      </c>
      <c r="C271" s="328"/>
      <c r="D271" s="328"/>
      <c r="E271" s="231"/>
      <c r="F271" s="231"/>
      <c r="G271" s="231"/>
      <c r="H271" s="231"/>
      <c r="I271" s="231"/>
      <c r="J271" s="231"/>
      <c r="K271" s="231"/>
      <c r="L271" s="237"/>
    </row>
    <row r="272" spans="1:12" x14ac:dyDescent="0.2">
      <c r="A272" s="359">
        <v>40</v>
      </c>
      <c r="B272" s="325">
        <v>1.0541539631448433</v>
      </c>
      <c r="C272" s="328"/>
      <c r="D272" s="328"/>
      <c r="E272" s="231"/>
      <c r="F272" s="231"/>
      <c r="G272" s="231"/>
      <c r="H272" s="231"/>
      <c r="I272" s="231"/>
      <c r="J272" s="231"/>
      <c r="K272" s="231"/>
      <c r="L272" s="237"/>
    </row>
    <row r="273" spans="1:12" x14ac:dyDescent="0.2">
      <c r="A273" s="359">
        <v>41</v>
      </c>
      <c r="B273" s="325">
        <v>1.054753080214309</v>
      </c>
      <c r="C273" s="328"/>
      <c r="D273" s="328"/>
      <c r="E273" s="231"/>
      <c r="F273" s="231"/>
      <c r="G273" s="231"/>
      <c r="H273" s="231"/>
      <c r="I273" s="231"/>
      <c r="J273" s="231"/>
      <c r="K273" s="231"/>
      <c r="L273" s="237"/>
    </row>
    <row r="274" spans="1:12" x14ac:dyDescent="0.2">
      <c r="A274" s="359">
        <v>42</v>
      </c>
      <c r="B274" s="325">
        <v>1.0553187363252969</v>
      </c>
      <c r="C274" s="328"/>
      <c r="D274" s="328"/>
      <c r="E274" s="231"/>
      <c r="F274" s="231"/>
      <c r="G274" s="231"/>
      <c r="H274" s="231"/>
      <c r="I274" s="231"/>
      <c r="J274" s="231"/>
      <c r="K274" s="231"/>
      <c r="L274" s="237"/>
    </row>
    <row r="275" spans="1:12" x14ac:dyDescent="0.2">
      <c r="A275" s="359">
        <v>43</v>
      </c>
      <c r="B275" s="325">
        <v>1.0558522359376412</v>
      </c>
      <c r="C275" s="328"/>
      <c r="D275" s="328"/>
      <c r="E275" s="231"/>
      <c r="F275" s="231"/>
      <c r="G275" s="231"/>
      <c r="H275" s="231"/>
      <c r="I275" s="231"/>
      <c r="J275" s="231"/>
      <c r="K275" s="231"/>
      <c r="L275" s="237"/>
    </row>
    <row r="276" spans="1:12" x14ac:dyDescent="0.2">
      <c r="A276" s="359">
        <v>44</v>
      </c>
      <c r="B276" s="325">
        <v>1.0563539623239784</v>
      </c>
      <c r="C276" s="328"/>
      <c r="D276" s="328"/>
      <c r="E276" s="231"/>
      <c r="F276" s="231"/>
      <c r="G276" s="231"/>
      <c r="H276" s="231"/>
      <c r="I276" s="231"/>
      <c r="J276" s="231"/>
      <c r="K276" s="231"/>
      <c r="L276" s="237"/>
    </row>
    <row r="277" spans="1:12" x14ac:dyDescent="0.2">
      <c r="A277" s="359">
        <v>45</v>
      </c>
      <c r="B277" s="325">
        <v>1.0568270252505041</v>
      </c>
      <c r="C277" s="328"/>
      <c r="D277" s="328"/>
      <c r="E277" s="231"/>
      <c r="F277" s="231"/>
      <c r="G277" s="231"/>
      <c r="H277" s="231"/>
      <c r="I277" s="231"/>
      <c r="J277" s="231"/>
      <c r="K277" s="231"/>
      <c r="L277" s="237"/>
    </row>
    <row r="278" spans="1:12" x14ac:dyDescent="0.2">
      <c r="A278" s="359">
        <v>46</v>
      </c>
      <c r="B278" s="325">
        <v>1.0572727040898957</v>
      </c>
      <c r="C278" s="328"/>
      <c r="D278" s="328"/>
      <c r="E278" s="231"/>
      <c r="F278" s="231"/>
      <c r="G278" s="231"/>
      <c r="H278" s="231"/>
      <c r="I278" s="231"/>
      <c r="J278" s="231"/>
      <c r="K278" s="231"/>
      <c r="L278" s="237"/>
    </row>
    <row r="279" spans="1:12" x14ac:dyDescent="0.2">
      <c r="A279" s="359">
        <v>47</v>
      </c>
      <c r="B279" s="325">
        <v>1.0576925102446149</v>
      </c>
      <c r="C279" s="328"/>
      <c r="D279" s="328"/>
      <c r="E279" s="231"/>
      <c r="F279" s="231"/>
      <c r="G279" s="231"/>
      <c r="H279" s="231"/>
      <c r="I279" s="231"/>
      <c r="J279" s="231"/>
      <c r="K279" s="231"/>
      <c r="L279" s="237"/>
    </row>
    <row r="280" spans="1:12" x14ac:dyDescent="0.2">
      <c r="A280" s="359">
        <v>48</v>
      </c>
      <c r="B280" s="325">
        <v>1.0580856898882391</v>
      </c>
      <c r="C280" s="328"/>
      <c r="D280" s="328"/>
      <c r="E280" s="231"/>
      <c r="F280" s="231"/>
      <c r="G280" s="231"/>
      <c r="H280" s="231"/>
      <c r="I280" s="231"/>
      <c r="J280" s="231"/>
      <c r="K280" s="231"/>
      <c r="L280" s="237"/>
    </row>
    <row r="281" spans="1:12" x14ac:dyDescent="0.2">
      <c r="A281" s="359">
        <v>49</v>
      </c>
      <c r="B281" s="325">
        <v>1.0584551319342741</v>
      </c>
      <c r="C281" s="328"/>
      <c r="D281" s="328"/>
      <c r="E281" s="231"/>
      <c r="F281" s="231"/>
      <c r="G281" s="231"/>
      <c r="H281" s="231"/>
      <c r="I281" s="231"/>
      <c r="J281" s="231"/>
      <c r="K281" s="231"/>
      <c r="L281" s="237"/>
    </row>
    <row r="282" spans="1:12" x14ac:dyDescent="0.2">
      <c r="A282" s="359">
        <v>50</v>
      </c>
      <c r="B282" s="325">
        <v>1.0588019506593813</v>
      </c>
      <c r="C282" s="328"/>
      <c r="D282" s="328"/>
      <c r="E282" s="231"/>
      <c r="F282" s="231"/>
      <c r="G282" s="231"/>
      <c r="H282" s="231"/>
      <c r="I282" s="231"/>
      <c r="J282" s="231"/>
      <c r="K282" s="231"/>
      <c r="L282" s="237"/>
    </row>
    <row r="283" spans="1:12" x14ac:dyDescent="0.2">
      <c r="A283" s="359">
        <v>51</v>
      </c>
      <c r="B283" s="325">
        <v>1.0591270918332629</v>
      </c>
      <c r="C283" s="328"/>
      <c r="D283" s="328"/>
      <c r="E283" s="231"/>
      <c r="F283" s="231"/>
      <c r="G283" s="231"/>
      <c r="H283" s="231"/>
      <c r="I283" s="231"/>
      <c r="J283" s="231"/>
      <c r="K283" s="231"/>
      <c r="L283" s="237"/>
    </row>
    <row r="284" spans="1:12" x14ac:dyDescent="0.2">
      <c r="A284" s="359">
        <v>52</v>
      </c>
      <c r="B284" s="325">
        <v>1.0594306347319178</v>
      </c>
      <c r="C284" s="328"/>
      <c r="D284" s="328"/>
      <c r="E284" s="231"/>
      <c r="F284" s="231"/>
      <c r="G284" s="231"/>
      <c r="H284" s="231"/>
      <c r="I284" s="231"/>
      <c r="J284" s="231"/>
      <c r="K284" s="231"/>
      <c r="L284" s="237"/>
    </row>
    <row r="285" spans="1:12" x14ac:dyDescent="0.2">
      <c r="A285" s="359">
        <v>53</v>
      </c>
      <c r="B285" s="325">
        <v>1.0597137522588191</v>
      </c>
      <c r="C285" s="328"/>
      <c r="D285" s="328"/>
      <c r="E285" s="231"/>
      <c r="F285" s="231"/>
      <c r="G285" s="231"/>
      <c r="H285" s="231"/>
      <c r="I285" s="231"/>
      <c r="J285" s="231"/>
      <c r="K285" s="231"/>
      <c r="L285" s="237"/>
    </row>
    <row r="286" spans="1:12" x14ac:dyDescent="0.2">
      <c r="A286" s="359">
        <v>54</v>
      </c>
      <c r="B286" s="325">
        <v>1.0599780092036217</v>
      </c>
      <c r="C286" s="328"/>
      <c r="D286" s="328"/>
      <c r="E286" s="231"/>
      <c r="F286" s="231"/>
      <c r="G286" s="231"/>
      <c r="H286" s="231"/>
      <c r="I286" s="231"/>
      <c r="J286" s="231"/>
      <c r="K286" s="231"/>
      <c r="L286" s="237"/>
    </row>
    <row r="287" spans="1:12" x14ac:dyDescent="0.2">
      <c r="A287" s="359">
        <v>55</v>
      </c>
      <c r="B287" s="325">
        <v>1.0602240463153427</v>
      </c>
      <c r="C287" s="328"/>
      <c r="D287" s="328"/>
      <c r="E287" s="231"/>
      <c r="F287" s="231"/>
      <c r="G287" s="231"/>
      <c r="H287" s="231"/>
      <c r="I287" s="231"/>
      <c r="J287" s="231"/>
      <c r="K287" s="231"/>
      <c r="L287" s="237"/>
    </row>
    <row r="288" spans="1:12" x14ac:dyDescent="0.2">
      <c r="A288" s="359">
        <v>56</v>
      </c>
      <c r="B288" s="325">
        <v>1.0604522489782022</v>
      </c>
      <c r="C288" s="328"/>
      <c r="D288" s="328"/>
      <c r="E288" s="231"/>
      <c r="F288" s="231"/>
      <c r="G288" s="231"/>
      <c r="H288" s="231"/>
      <c r="I288" s="231"/>
      <c r="J288" s="231"/>
      <c r="K288" s="231"/>
      <c r="L288" s="237"/>
    </row>
    <row r="289" spans="1:40" x14ac:dyDescent="0.2">
      <c r="A289" s="359">
        <v>57</v>
      </c>
      <c r="B289" s="325">
        <v>1.0606627747163635</v>
      </c>
      <c r="C289" s="328"/>
      <c r="D289" s="328"/>
      <c r="E289" s="231"/>
      <c r="F289" s="231"/>
      <c r="G289" s="231"/>
      <c r="H289" s="231"/>
      <c r="I289" s="231"/>
      <c r="J289" s="231"/>
      <c r="K289" s="231"/>
      <c r="L289" s="237"/>
    </row>
    <row r="290" spans="1:40" x14ac:dyDescent="0.2">
      <c r="A290" s="359">
        <v>58</v>
      </c>
      <c r="B290" s="325">
        <v>1.0608574030366853</v>
      </c>
      <c r="C290" s="328"/>
      <c r="D290" s="328"/>
      <c r="E290" s="231"/>
      <c r="F290" s="231"/>
      <c r="G290" s="231"/>
      <c r="H290" s="231"/>
      <c r="I290" s="231"/>
      <c r="J290" s="231"/>
      <c r="K290" s="231"/>
      <c r="L290" s="237"/>
    </row>
    <row r="291" spans="1:40" ht="13.5" thickBot="1" x14ac:dyDescent="0.25">
      <c r="A291" s="360">
        <v>59</v>
      </c>
      <c r="B291" s="327">
        <v>1.0610365172624414</v>
      </c>
      <c r="C291" s="328"/>
      <c r="D291" s="328"/>
      <c r="E291" s="231"/>
      <c r="F291" s="231"/>
      <c r="G291" s="231"/>
      <c r="H291" s="231"/>
      <c r="I291" s="231"/>
      <c r="J291" s="231"/>
      <c r="K291" s="231"/>
      <c r="L291" s="237"/>
    </row>
    <row r="292" spans="1:40" ht="13.5" thickBot="1" x14ac:dyDescent="0.25">
      <c r="A292" s="360">
        <v>59.000999999999998</v>
      </c>
      <c r="B292" s="327">
        <v>1.0610365172624414</v>
      </c>
      <c r="C292" s="328"/>
      <c r="D292" s="328"/>
      <c r="E292" s="231"/>
      <c r="F292" s="231"/>
      <c r="G292" s="231"/>
      <c r="H292" s="231"/>
      <c r="I292" s="231"/>
      <c r="J292" s="231"/>
      <c r="K292" s="231"/>
      <c r="L292" s="237"/>
    </row>
    <row r="293" spans="1:40" ht="13.5" thickBot="1" x14ac:dyDescent="0.25">
      <c r="A293" s="312"/>
      <c r="B293" s="313"/>
      <c r="C293" s="313"/>
      <c r="D293" s="313"/>
      <c r="E293" s="247"/>
      <c r="F293" s="247"/>
      <c r="G293" s="247"/>
      <c r="H293" s="247"/>
      <c r="I293" s="247"/>
      <c r="J293" s="247"/>
      <c r="K293" s="247"/>
      <c r="L293" s="248"/>
    </row>
    <row r="294" spans="1:40" ht="14.25" thickTop="1" thickBot="1" x14ac:dyDescent="0.25"/>
    <row r="295" spans="1:40" ht="21" thickTop="1" x14ac:dyDescent="0.2">
      <c r="A295" s="693" t="s">
        <v>91</v>
      </c>
      <c r="B295" s="694"/>
      <c r="C295" s="694"/>
      <c r="D295" s="694"/>
      <c r="E295" s="260"/>
      <c r="F295" s="260"/>
      <c r="G295" s="260"/>
      <c r="H295" s="260"/>
      <c r="I295" s="260"/>
      <c r="J295" s="260"/>
      <c r="K295" s="260"/>
      <c r="L295" s="260"/>
      <c r="M295" s="260"/>
      <c r="N295" s="260"/>
      <c r="O295" s="260"/>
      <c r="P295" s="260"/>
      <c r="Q295" s="260"/>
      <c r="R295" s="260"/>
      <c r="S295" s="260"/>
      <c r="T295" s="260"/>
      <c r="U295" s="260"/>
      <c r="V295" s="260"/>
      <c r="W295" s="260"/>
      <c r="X295" s="260"/>
      <c r="Y295" s="260"/>
      <c r="Z295" s="260"/>
      <c r="AA295" s="260"/>
      <c r="AB295" s="260"/>
      <c r="AC295" s="260"/>
      <c r="AD295" s="260"/>
      <c r="AE295" s="260"/>
      <c r="AF295" s="260"/>
      <c r="AG295" s="260"/>
      <c r="AH295" s="260"/>
      <c r="AI295" s="260"/>
      <c r="AJ295" s="260"/>
      <c r="AK295" s="260"/>
      <c r="AL295" s="260"/>
      <c r="AM295" s="260"/>
      <c r="AN295" s="261"/>
    </row>
    <row r="296" spans="1:40" ht="13.5" thickBot="1" x14ac:dyDescent="0.25">
      <c r="A296" s="328"/>
      <c r="B296" s="696" t="s">
        <v>28</v>
      </c>
      <c r="C296" s="697"/>
      <c r="D296" s="697"/>
      <c r="E296" s="697"/>
      <c r="F296" s="697"/>
      <c r="G296" s="697"/>
      <c r="H296" s="697"/>
      <c r="I296" s="697"/>
      <c r="J296" s="697"/>
      <c r="K296" s="328"/>
      <c r="L296" s="328"/>
      <c r="M296" s="328"/>
      <c r="N296" s="328"/>
      <c r="O296" s="328"/>
      <c r="P296" s="328"/>
      <c r="Q296" s="328"/>
      <c r="R296" s="328"/>
      <c r="S296" s="328"/>
      <c r="T296" s="328"/>
      <c r="U296" s="328"/>
      <c r="V296" s="328"/>
      <c r="W296" s="328"/>
      <c r="X296" s="328"/>
      <c r="Y296" s="328"/>
      <c r="Z296" s="328"/>
      <c r="AA296" s="328"/>
      <c r="AB296" s="328"/>
      <c r="AC296" s="328"/>
      <c r="AD296" s="328"/>
      <c r="AE296" s="328"/>
      <c r="AF296" s="328"/>
      <c r="AG296" s="328"/>
      <c r="AH296" s="328"/>
      <c r="AI296" s="328"/>
      <c r="AJ296" s="328"/>
      <c r="AK296" s="328"/>
      <c r="AL296" s="328"/>
      <c r="AM296" s="328"/>
      <c r="AN296" s="237"/>
    </row>
    <row r="297" spans="1:40" ht="14.25" thickTop="1" thickBot="1" x14ac:dyDescent="0.25">
      <c r="A297" s="351" t="s">
        <v>29</v>
      </c>
      <c r="B297" s="301">
        <v>4</v>
      </c>
      <c r="C297" s="301">
        <v>5</v>
      </c>
      <c r="D297" s="301">
        <v>6</v>
      </c>
      <c r="E297" s="301">
        <v>7</v>
      </c>
      <c r="F297" s="301">
        <v>8</v>
      </c>
      <c r="G297" s="301">
        <v>9</v>
      </c>
      <c r="H297" s="301">
        <v>10</v>
      </c>
      <c r="I297" s="301">
        <v>11</v>
      </c>
      <c r="J297" s="302">
        <v>12</v>
      </c>
      <c r="K297" s="301">
        <v>13</v>
      </c>
      <c r="L297" s="301">
        <v>14</v>
      </c>
      <c r="M297" s="301">
        <v>15</v>
      </c>
      <c r="N297" s="301">
        <v>16</v>
      </c>
      <c r="O297" s="301">
        <v>17</v>
      </c>
      <c r="P297" s="301">
        <v>18</v>
      </c>
      <c r="Q297" s="301">
        <v>19</v>
      </c>
      <c r="R297" s="301">
        <v>20</v>
      </c>
      <c r="S297" s="302">
        <v>21</v>
      </c>
      <c r="T297" s="301">
        <v>22</v>
      </c>
      <c r="U297" s="301">
        <v>23</v>
      </c>
      <c r="V297" s="301">
        <v>24</v>
      </c>
      <c r="W297" s="301">
        <v>25</v>
      </c>
      <c r="X297" s="301">
        <v>26</v>
      </c>
      <c r="Y297" s="301">
        <v>27</v>
      </c>
      <c r="Z297" s="301">
        <v>28</v>
      </c>
      <c r="AA297" s="301">
        <v>29</v>
      </c>
      <c r="AB297" s="302">
        <v>30</v>
      </c>
      <c r="AC297" s="301">
        <v>31</v>
      </c>
      <c r="AD297" s="301">
        <v>32</v>
      </c>
      <c r="AE297" s="301">
        <v>33</v>
      </c>
      <c r="AF297" s="301">
        <v>34</v>
      </c>
      <c r="AG297" s="301">
        <v>35</v>
      </c>
      <c r="AH297" s="301">
        <v>36</v>
      </c>
      <c r="AI297" s="301">
        <v>37</v>
      </c>
      <c r="AJ297" s="301">
        <v>38</v>
      </c>
      <c r="AK297" s="301">
        <v>39</v>
      </c>
      <c r="AL297" s="302">
        <v>40</v>
      </c>
      <c r="AM297" s="302">
        <f>AL297+0.001</f>
        <v>40.000999999999998</v>
      </c>
      <c r="AN297" s="237"/>
    </row>
    <row r="298" spans="1:40" ht="13.5" thickTop="1" x14ac:dyDescent="0.2">
      <c r="A298" s="352">
        <v>4</v>
      </c>
      <c r="B298" s="304">
        <v>0.96501795430819037</v>
      </c>
      <c r="C298" s="304">
        <v>0.97085885734291444</v>
      </c>
      <c r="D298" s="304">
        <v>0.97477848003847989</v>
      </c>
      <c r="E298" s="304">
        <v>0.97812711234260286</v>
      </c>
      <c r="F298" s="304">
        <v>0.98086671690946203</v>
      </c>
      <c r="G298" s="304">
        <v>0.9828730527226196</v>
      </c>
      <c r="H298" s="304">
        <v>0.98499999999999999</v>
      </c>
      <c r="I298" s="304">
        <v>0.98594899988996887</v>
      </c>
      <c r="J298" s="305">
        <v>0.98743766071635108</v>
      </c>
      <c r="K298" s="304">
        <v>0.98812187863579415</v>
      </c>
      <c r="L298" s="304">
        <v>0.98913519123990723</v>
      </c>
      <c r="M298" s="304">
        <v>0.99006652356792779</v>
      </c>
      <c r="N298" s="304">
        <v>0.99091853511439321</v>
      </c>
      <c r="O298" s="304">
        <v>0.99132472959367524</v>
      </c>
      <c r="P298" s="304">
        <v>0.992119176672422</v>
      </c>
      <c r="Q298" s="304">
        <v>0.99291192845383669</v>
      </c>
      <c r="R298" s="304">
        <v>0.99337398980335789</v>
      </c>
      <c r="S298" s="305">
        <v>0.99402092625437999</v>
      </c>
      <c r="T298" s="304">
        <v>0.99422009314190807</v>
      </c>
      <c r="U298" s="304">
        <v>0.99502358594017748</v>
      </c>
      <c r="V298" s="304">
        <v>0.99520734148919776</v>
      </c>
      <c r="W298" s="304">
        <v>0.99557440543000297</v>
      </c>
      <c r="X298" s="304">
        <v>0.9961155371688154</v>
      </c>
      <c r="Y298" s="304">
        <v>0.9968467008920765</v>
      </c>
      <c r="Z298" s="304">
        <v>0.99705763743414422</v>
      </c>
      <c r="AA298" s="304">
        <v>0.99717710010538463</v>
      </c>
      <c r="AB298" s="305">
        <v>0.99762943931169823</v>
      </c>
      <c r="AC298" s="304">
        <v>0.99803728940882652</v>
      </c>
      <c r="AD298" s="304">
        <v>0.99834335391347251</v>
      </c>
      <c r="AE298" s="304">
        <v>0.99884605508250857</v>
      </c>
      <c r="AF298" s="304">
        <v>0.9990900006456227</v>
      </c>
      <c r="AG298" s="304">
        <v>0.99949491873049878</v>
      </c>
      <c r="AH298" s="304">
        <v>0.99990975728067832</v>
      </c>
      <c r="AI298" s="304">
        <v>0.99999012305312995</v>
      </c>
      <c r="AJ298" s="304">
        <v>1.0002073515519025</v>
      </c>
      <c r="AK298" s="304">
        <v>1.0008935530992553</v>
      </c>
      <c r="AL298" s="305">
        <v>1.0010205151507066</v>
      </c>
      <c r="AM298" s="305">
        <f>AL298</f>
        <v>1.0010205151507066</v>
      </c>
      <c r="AN298" s="237"/>
    </row>
    <row r="299" spans="1:40" x14ac:dyDescent="0.2">
      <c r="A299" s="353">
        <v>5</v>
      </c>
      <c r="B299" s="307">
        <v>0.968076814423525</v>
      </c>
      <c r="C299" s="307">
        <v>0.97474495516444992</v>
      </c>
      <c r="D299" s="307">
        <v>0.97910405531669298</v>
      </c>
      <c r="E299" s="307">
        <v>0.98301803670684307</v>
      </c>
      <c r="F299" s="307">
        <v>0.9858485099048242</v>
      </c>
      <c r="G299" s="307">
        <v>0.98803489782070963</v>
      </c>
      <c r="H299" s="307">
        <v>0.98983755152781383</v>
      </c>
      <c r="I299" s="307">
        <v>0.99199999999999999</v>
      </c>
      <c r="J299" s="308">
        <v>0.99299706340485727</v>
      </c>
      <c r="K299" s="307">
        <v>0.99377670836796095</v>
      </c>
      <c r="L299" s="307">
        <v>0.99481154906165159</v>
      </c>
      <c r="M299" s="307">
        <v>0.99589529420440259</v>
      </c>
      <c r="N299" s="307">
        <v>0.9966698205935336</v>
      </c>
      <c r="O299" s="307">
        <v>0.99727280257955253</v>
      </c>
      <c r="P299" s="307">
        <v>0.99814734884836143</v>
      </c>
      <c r="Q299" s="307">
        <v>0.99862873227799087</v>
      </c>
      <c r="R299" s="307">
        <v>0.99925461750534561</v>
      </c>
      <c r="S299" s="308">
        <v>0.99998847040991135</v>
      </c>
      <c r="T299" s="307">
        <v>1.0002650940641484</v>
      </c>
      <c r="U299" s="307">
        <v>1.0009844387722839</v>
      </c>
      <c r="V299" s="307">
        <v>1.0013525057299422</v>
      </c>
      <c r="W299" s="307">
        <v>1.0015627474630051</v>
      </c>
      <c r="X299" s="307">
        <v>1.002313415686505</v>
      </c>
      <c r="Y299" s="307">
        <v>1.0029529104600328</v>
      </c>
      <c r="Z299" s="307">
        <v>1.0032066448146129</v>
      </c>
      <c r="AA299" s="307">
        <v>1.0034678725479804</v>
      </c>
      <c r="AB299" s="308">
        <v>1.0039233385750226</v>
      </c>
      <c r="AC299" s="307">
        <v>1.0043899097759477</v>
      </c>
      <c r="AD299" s="307">
        <v>1.0047963849744104</v>
      </c>
      <c r="AE299" s="307">
        <v>1.0053347622859539</v>
      </c>
      <c r="AF299" s="307">
        <v>1.0054444699227063</v>
      </c>
      <c r="AG299" s="307">
        <v>1.0059818220918453</v>
      </c>
      <c r="AH299" s="307">
        <v>1.0063392324644229</v>
      </c>
      <c r="AI299" s="307">
        <v>1.0066562836600625</v>
      </c>
      <c r="AJ299" s="307">
        <v>1.007066042795475</v>
      </c>
      <c r="AK299" s="307">
        <v>1.0073957091567789</v>
      </c>
      <c r="AL299" s="308">
        <v>1.0079102414011281</v>
      </c>
      <c r="AM299" s="308">
        <f t="shared" ref="AM299:AM334" si="4">AL299</f>
        <v>1.0079102414011281</v>
      </c>
      <c r="AN299" s="237"/>
    </row>
    <row r="300" spans="1:40" x14ac:dyDescent="0.2">
      <c r="A300" s="352">
        <v>6</v>
      </c>
      <c r="B300" s="304">
        <v>0.97040188472696221</v>
      </c>
      <c r="C300" s="304">
        <v>0.97725450600569097</v>
      </c>
      <c r="D300" s="304">
        <v>0.98178510991210965</v>
      </c>
      <c r="E300" s="304">
        <v>0.98602761089423852</v>
      </c>
      <c r="F300" s="304">
        <v>0.98896976917982393</v>
      </c>
      <c r="G300" s="304">
        <v>0.99135204221204853</v>
      </c>
      <c r="H300" s="304">
        <v>0.99344513359599207</v>
      </c>
      <c r="I300" s="304">
        <v>0.99511214699538764</v>
      </c>
      <c r="J300" s="305">
        <v>0.99682939744820864</v>
      </c>
      <c r="K300" s="304">
        <v>0.99774917266471874</v>
      </c>
      <c r="L300" s="304">
        <v>0.99887364596565487</v>
      </c>
      <c r="M300" s="304">
        <v>1.0001180593871346</v>
      </c>
      <c r="N300" s="304">
        <v>1.0009084744793051</v>
      </c>
      <c r="O300" s="304">
        <v>1.0016867265214306</v>
      </c>
      <c r="P300" s="304">
        <v>1.0026249930560802</v>
      </c>
      <c r="Q300" s="304">
        <v>1.0030001887243429</v>
      </c>
      <c r="R300" s="304">
        <v>1.0037298663173488</v>
      </c>
      <c r="S300" s="305">
        <v>1.0045318677101605</v>
      </c>
      <c r="T300" s="304">
        <v>1.0048983615333231</v>
      </c>
      <c r="U300" s="304">
        <v>1.005561124728088</v>
      </c>
      <c r="V300" s="304">
        <v>1.0060410751790512</v>
      </c>
      <c r="W300" s="304">
        <v>1.006174484911289</v>
      </c>
      <c r="X300" s="304">
        <v>1.0070322854564671</v>
      </c>
      <c r="Y300" s="304">
        <v>1.0076101323299198</v>
      </c>
      <c r="Z300" s="304">
        <v>1.0078937383283173</v>
      </c>
      <c r="AA300" s="304">
        <v>1.0082279477127842</v>
      </c>
      <c r="AB300" s="305">
        <v>1.0086459279546742</v>
      </c>
      <c r="AC300" s="304">
        <v>1.009132393915299</v>
      </c>
      <c r="AD300" s="304">
        <v>1.0095586137939576</v>
      </c>
      <c r="AE300" s="304">
        <v>1.0100687244758566</v>
      </c>
      <c r="AF300" s="304">
        <v>1.0101103097794093</v>
      </c>
      <c r="AG300" s="304">
        <v>1.0106715786548941</v>
      </c>
      <c r="AH300" s="304">
        <v>1.0109646460162414</v>
      </c>
      <c r="AI300" s="304">
        <v>1.0113600396176921</v>
      </c>
      <c r="AJ300" s="304">
        <v>1.0118012114784927</v>
      </c>
      <c r="AK300" s="304">
        <v>1.011928368311741</v>
      </c>
      <c r="AL300" s="305">
        <v>1.0125811963865874</v>
      </c>
      <c r="AM300" s="305">
        <f t="shared" si="4"/>
        <v>1.0125811963865874</v>
      </c>
      <c r="AN300" s="237"/>
    </row>
    <row r="301" spans="1:40" x14ac:dyDescent="0.2">
      <c r="A301" s="352">
        <v>7</v>
      </c>
      <c r="B301" s="304">
        <v>0.97179332543292696</v>
      </c>
      <c r="C301" s="304">
        <v>0.97886668259992482</v>
      </c>
      <c r="D301" s="304">
        <v>0.98357126300345432</v>
      </c>
      <c r="E301" s="304">
        <v>0.98804287163052007</v>
      </c>
      <c r="F301" s="304">
        <v>0.99107878005807515</v>
      </c>
      <c r="G301" s="304">
        <v>0.99360253092455197</v>
      </c>
      <c r="H301" s="304">
        <v>0.99588390578472441</v>
      </c>
      <c r="I301" s="304">
        <v>0.99760410556765244</v>
      </c>
      <c r="J301" s="305">
        <v>0.99942354666678324</v>
      </c>
      <c r="K301" s="304">
        <v>1.0004330650302484</v>
      </c>
      <c r="L301" s="304">
        <v>1.0016172668670558</v>
      </c>
      <c r="M301" s="304">
        <v>1.0029645817144988</v>
      </c>
      <c r="N301" s="304">
        <v>1.0037691758212759</v>
      </c>
      <c r="O301" s="304">
        <v>1.0046630299848629</v>
      </c>
      <c r="P301" s="304">
        <v>1.0056232777105882</v>
      </c>
      <c r="Q301" s="304">
        <v>1.0059695507010655</v>
      </c>
      <c r="R301" s="304">
        <v>1.0067497724743517</v>
      </c>
      <c r="S301" s="305">
        <v>1.0075932553239517</v>
      </c>
      <c r="T301" s="304">
        <v>1.0080408735898105</v>
      </c>
      <c r="U301" s="304">
        <v>1.0086624941384321</v>
      </c>
      <c r="V301" s="304">
        <v>1.0092158026864904</v>
      </c>
      <c r="W301" s="304">
        <v>1.0093213835095729</v>
      </c>
      <c r="X301" s="304">
        <v>1.0102422318289397</v>
      </c>
      <c r="Y301" s="304">
        <v>1.0107925645290075</v>
      </c>
      <c r="Z301" s="304">
        <v>1.0111176842923828</v>
      </c>
      <c r="AA301" s="304">
        <v>1.0115113980145305</v>
      </c>
      <c r="AB301" s="305">
        <v>1.0119021858254702</v>
      </c>
      <c r="AC301" s="304">
        <v>1.0124188361120741</v>
      </c>
      <c r="AD301" s="304">
        <v>1.0128596594022214</v>
      </c>
      <c r="AE301" s="304">
        <v>1.0133503651660614</v>
      </c>
      <c r="AF301" s="304">
        <v>1.0133969893527377</v>
      </c>
      <c r="AG301" s="304">
        <v>1.0139716838366262</v>
      </c>
      <c r="AH301" s="304">
        <v>1.0142448049046706</v>
      </c>
      <c r="AI301" s="304">
        <v>1.0146862102314866</v>
      </c>
      <c r="AJ301" s="304">
        <v>1.0151320148813898</v>
      </c>
      <c r="AK301" s="304">
        <v>1.0151905895140194</v>
      </c>
      <c r="AL301" s="305">
        <v>1.0159094686679733</v>
      </c>
      <c r="AM301" s="305">
        <f t="shared" si="4"/>
        <v>1.0159094686679733</v>
      </c>
      <c r="AN301" s="237"/>
    </row>
    <row r="302" spans="1:40" x14ac:dyDescent="0.2">
      <c r="A302" s="352">
        <v>8</v>
      </c>
      <c r="B302" s="304">
        <v>0.97280454211371081</v>
      </c>
      <c r="C302" s="304">
        <v>0.98017185218240677</v>
      </c>
      <c r="D302" s="304">
        <v>0.98505778651448728</v>
      </c>
      <c r="E302" s="304">
        <v>0.98968627150615529</v>
      </c>
      <c r="F302" s="304">
        <v>0.99278352133149217</v>
      </c>
      <c r="G302" s="304">
        <v>0.996</v>
      </c>
      <c r="H302" s="304">
        <v>0.99777403485044291</v>
      </c>
      <c r="I302" s="304">
        <v>0.99951029193097374</v>
      </c>
      <c r="J302" s="305">
        <v>1.0013847024408815</v>
      </c>
      <c r="K302" s="304">
        <v>1.002436783236508</v>
      </c>
      <c r="L302" s="304">
        <v>1.00364963136977</v>
      </c>
      <c r="M302" s="304">
        <v>1.0050542144495331</v>
      </c>
      <c r="N302" s="304">
        <v>1.0058642958385824</v>
      </c>
      <c r="O302" s="304">
        <v>1.0068323505431014</v>
      </c>
      <c r="P302" s="304">
        <v>1.0077915220847564</v>
      </c>
      <c r="Q302" s="304">
        <v>1.0081508650463724</v>
      </c>
      <c r="R302" s="304">
        <v>1.0089553667338522</v>
      </c>
      <c r="S302" s="305">
        <v>1.0098298270710155</v>
      </c>
      <c r="T302" s="304">
        <v>1.0103566569232343</v>
      </c>
      <c r="U302" s="304">
        <v>1.0109579485281297</v>
      </c>
      <c r="V302" s="304">
        <v>1.0115723827965986</v>
      </c>
      <c r="W302" s="304">
        <v>1.0116895248992523</v>
      </c>
      <c r="X302" s="304">
        <v>1.0126613683571362</v>
      </c>
      <c r="Y302" s="304">
        <v>1.0132196081095683</v>
      </c>
      <c r="Z302" s="304">
        <v>1.0136074483870714</v>
      </c>
      <c r="AA302" s="304">
        <v>1.0140693101279445</v>
      </c>
      <c r="AB302" s="305">
        <v>1.0144595432779888</v>
      </c>
      <c r="AC302" s="304">
        <v>1.0150307387992783</v>
      </c>
      <c r="AD302" s="304">
        <v>1.0155052277693635</v>
      </c>
      <c r="AE302" s="304">
        <v>1.0160056813724503</v>
      </c>
      <c r="AF302" s="304">
        <v>1.0161177601249174</v>
      </c>
      <c r="AG302" s="304">
        <v>1.0167246584644962</v>
      </c>
      <c r="AH302" s="304">
        <v>1.0170268202694055</v>
      </c>
      <c r="AI302" s="304">
        <v>1.0175217002973003</v>
      </c>
      <c r="AJ302" s="304">
        <v>1.0179866120307475</v>
      </c>
      <c r="AK302" s="304">
        <v>1.0180753340207607</v>
      </c>
      <c r="AL302" s="305">
        <v>1.0188482201026052</v>
      </c>
      <c r="AM302" s="305">
        <f t="shared" si="4"/>
        <v>1.0188482201026052</v>
      </c>
      <c r="AN302" s="237"/>
    </row>
    <row r="303" spans="1:40" x14ac:dyDescent="0.2">
      <c r="A303" s="352">
        <v>9</v>
      </c>
      <c r="B303" s="304">
        <v>0.97374682676401991</v>
      </c>
      <c r="C303" s="304">
        <v>0.98117331750986436</v>
      </c>
      <c r="D303" s="304">
        <v>0.98612928839238512</v>
      </c>
      <c r="E303" s="304">
        <v>0.99083614402002707</v>
      </c>
      <c r="F303" s="304">
        <v>0.99398206588931337</v>
      </c>
      <c r="G303" s="304">
        <v>0.99666248539170565</v>
      </c>
      <c r="H303" s="304">
        <v>0.99913110312596598</v>
      </c>
      <c r="I303" s="304">
        <v>1.00089972638462</v>
      </c>
      <c r="J303" s="305">
        <v>1.0028371084658105</v>
      </c>
      <c r="K303" s="304">
        <v>1.0039369386357324</v>
      </c>
      <c r="L303" s="304">
        <v>1.0051896983354298</v>
      </c>
      <c r="M303" s="304">
        <v>1.0066479536858539</v>
      </c>
      <c r="N303" s="304">
        <v>1.008</v>
      </c>
      <c r="O303" s="304">
        <v>1.0085081666293796</v>
      </c>
      <c r="P303" s="304">
        <v>1.01</v>
      </c>
      <c r="Q303" s="304">
        <v>1.0098632465752959</v>
      </c>
      <c r="R303" s="304">
        <v>1.0106767928929252</v>
      </c>
      <c r="S303" s="305">
        <v>1.0115704578956342</v>
      </c>
      <c r="T303" s="304">
        <v>1.0121625981235169</v>
      </c>
      <c r="U303" s="304">
        <v>1.0127442678100635</v>
      </c>
      <c r="V303" s="304">
        <v>1.014</v>
      </c>
      <c r="W303" s="304">
        <v>1.0135238633296808</v>
      </c>
      <c r="X303" s="304">
        <v>1.0145141187779143</v>
      </c>
      <c r="Y303" s="304">
        <v>1.0150734650690856</v>
      </c>
      <c r="Z303" s="304">
        <v>1.0155037216807052</v>
      </c>
      <c r="AA303" s="304">
        <v>1.0160035656251329</v>
      </c>
      <c r="AB303" s="305">
        <v>1.0163735150313444</v>
      </c>
      <c r="AC303" s="304">
        <v>1.0169730750976171</v>
      </c>
      <c r="AD303" s="304">
        <v>1.0174514452777426</v>
      </c>
      <c r="AE303" s="304">
        <v>1.0179364558609909</v>
      </c>
      <c r="AF303" s="304">
        <v>1.0181002926216123</v>
      </c>
      <c r="AG303" s="304">
        <v>1.0187032096198541</v>
      </c>
      <c r="AH303" s="304">
        <v>1.019012726352946</v>
      </c>
      <c r="AI303" s="304">
        <v>1.0195143218159439</v>
      </c>
      <c r="AJ303" s="304">
        <v>1.0199564536554724</v>
      </c>
      <c r="AK303" s="304">
        <v>1.0200753750160549</v>
      </c>
      <c r="AL303" s="305">
        <v>1.0208403489296731</v>
      </c>
      <c r="AM303" s="305">
        <f t="shared" si="4"/>
        <v>1.0208403489296731</v>
      </c>
      <c r="AN303" s="237"/>
    </row>
    <row r="304" spans="1:40" x14ac:dyDescent="0.2">
      <c r="A304" s="353">
        <v>10</v>
      </c>
      <c r="B304" s="307">
        <v>0.97412029265470046</v>
      </c>
      <c r="C304" s="307">
        <v>0.9816487432459774</v>
      </c>
      <c r="D304" s="307">
        <v>0.98671347436024781</v>
      </c>
      <c r="E304" s="307">
        <v>0.99151457248251651</v>
      </c>
      <c r="F304" s="307">
        <v>0.99474152617619005</v>
      </c>
      <c r="G304" s="307">
        <v>0.99751401822634578</v>
      </c>
      <c r="H304" s="307">
        <v>1.0000724421056835</v>
      </c>
      <c r="I304" s="307">
        <v>1.0018950330328518</v>
      </c>
      <c r="J304" s="308">
        <v>1.0039079606109129</v>
      </c>
      <c r="K304" s="307">
        <v>1.0050650897023807</v>
      </c>
      <c r="L304" s="307">
        <v>1.0063709485138541</v>
      </c>
      <c r="M304" s="307">
        <v>1.0078859778104503</v>
      </c>
      <c r="N304" s="307">
        <v>1.0087511820082717</v>
      </c>
      <c r="O304" s="307">
        <v>1.0098419761655171</v>
      </c>
      <c r="P304" s="307">
        <v>1.0108026121627454</v>
      </c>
      <c r="Q304" s="307">
        <v>1.0112648579703245</v>
      </c>
      <c r="R304" s="307">
        <v>1.0120885577666536</v>
      </c>
      <c r="S304" s="308">
        <v>1.0130044314487585</v>
      </c>
      <c r="T304" s="307">
        <v>1.0136621270872417</v>
      </c>
      <c r="U304" s="307">
        <v>1.0142383220119773</v>
      </c>
      <c r="V304" s="307">
        <v>1.0149202343840402</v>
      </c>
      <c r="W304" s="307">
        <v>1.0150760918912556</v>
      </c>
      <c r="X304" s="307">
        <v>1.0160790388978527</v>
      </c>
      <c r="Y304" s="307">
        <v>1.0166507119467134</v>
      </c>
      <c r="Z304" s="307">
        <v>1.0171255410409064</v>
      </c>
      <c r="AA304" s="307">
        <v>1.0176606452015879</v>
      </c>
      <c r="AB304" s="308">
        <v>1.0180165355155797</v>
      </c>
      <c r="AC304" s="307">
        <v>1.0186453197415268</v>
      </c>
      <c r="AD304" s="307">
        <v>1.0191284103978266</v>
      </c>
      <c r="AE304" s="307">
        <v>1.0196028335345373</v>
      </c>
      <c r="AF304" s="307">
        <v>1.019826703622176</v>
      </c>
      <c r="AG304" s="307">
        <v>1.0209999999999999</v>
      </c>
      <c r="AH304" s="307">
        <v>1.0207478005838579</v>
      </c>
      <c r="AI304" s="307">
        <v>1.022</v>
      </c>
      <c r="AJ304" s="307">
        <v>1.0216668542044793</v>
      </c>
      <c r="AK304" s="307">
        <v>1.0218346998278713</v>
      </c>
      <c r="AL304" s="308">
        <v>1.0225778384690467</v>
      </c>
      <c r="AM304" s="308">
        <f t="shared" si="4"/>
        <v>1.0225778384690467</v>
      </c>
      <c r="AN304" s="237"/>
    </row>
    <row r="305" spans="1:40" x14ac:dyDescent="0.2">
      <c r="A305" s="352">
        <v>11</v>
      </c>
      <c r="B305" s="304">
        <v>0.97474731278312721</v>
      </c>
      <c r="C305" s="304">
        <v>0.98226746657633479</v>
      </c>
      <c r="D305" s="304">
        <v>0.98736277109386072</v>
      </c>
      <c r="E305" s="304">
        <v>0.99218843577029325</v>
      </c>
      <c r="F305" s="304">
        <v>0.99545308922015596</v>
      </c>
      <c r="G305" s="304">
        <v>0.99827611104491099</v>
      </c>
      <c r="H305" s="304">
        <v>1.0008828415732463</v>
      </c>
      <c r="I305" s="304">
        <v>1.0027359556508655</v>
      </c>
      <c r="J305" s="305">
        <v>1.0047998954912005</v>
      </c>
      <c r="K305" s="304">
        <v>1.0059924473713462</v>
      </c>
      <c r="L305" s="304">
        <v>1.0073357512895802</v>
      </c>
      <c r="M305" s="304">
        <v>1.0088878647575903</v>
      </c>
      <c r="N305" s="304">
        <v>1.0097792316003571</v>
      </c>
      <c r="O305" s="304">
        <v>1.0109122470874115</v>
      </c>
      <c r="P305" s="304">
        <v>1.0118698475305483</v>
      </c>
      <c r="Q305" s="304">
        <v>1.012394434770731</v>
      </c>
      <c r="R305" s="304">
        <v>1.0132181744447006</v>
      </c>
      <c r="S305" s="305">
        <v>1.0141475330038092</v>
      </c>
      <c r="T305" s="304">
        <v>1.0148593933802128</v>
      </c>
      <c r="U305" s="304">
        <v>1.0154316374825512</v>
      </c>
      <c r="V305" s="304">
        <v>1.016135434087194</v>
      </c>
      <c r="W305" s="304">
        <v>1.0163178367163321</v>
      </c>
      <c r="X305" s="304">
        <v>1.0173233300116897</v>
      </c>
      <c r="Y305" s="304">
        <v>1.0179084702740933</v>
      </c>
      <c r="Z305" s="304">
        <v>1.0184226681886313</v>
      </c>
      <c r="AA305" s="304">
        <v>1.0189857070467392</v>
      </c>
      <c r="AB305" s="305">
        <v>1.0193277559373644</v>
      </c>
      <c r="AC305" s="304">
        <v>1.0199813263901136</v>
      </c>
      <c r="AD305" s="304">
        <v>1.0204663942383263</v>
      </c>
      <c r="AE305" s="304">
        <v>1.0209308177297722</v>
      </c>
      <c r="AF305" s="304">
        <v>1.0212141489483537</v>
      </c>
      <c r="AG305" s="304">
        <v>1.0218033945757115</v>
      </c>
      <c r="AH305" s="304">
        <v>1.0221417029502868</v>
      </c>
      <c r="AI305" s="304">
        <v>1.0226367364544899</v>
      </c>
      <c r="AJ305" s="304">
        <v>1.0230289171638045</v>
      </c>
      <c r="AK305" s="304">
        <v>1.0232524618349466</v>
      </c>
      <c r="AL305" s="305">
        <v>1.023964895147421</v>
      </c>
      <c r="AM305" s="305">
        <f t="shared" si="4"/>
        <v>1.023964895147421</v>
      </c>
      <c r="AN305" s="237"/>
    </row>
    <row r="306" spans="1:40" x14ac:dyDescent="0.2">
      <c r="A306" s="352">
        <v>12</v>
      </c>
      <c r="B306" s="304">
        <v>0.9750212311831975</v>
      </c>
      <c r="C306" s="304">
        <v>0.98268355099844062</v>
      </c>
      <c r="D306" s="304">
        <v>0.98789682812798163</v>
      </c>
      <c r="E306" s="304">
        <v>0.99279155664069774</v>
      </c>
      <c r="F306" s="304">
        <v>0.99612484197619811</v>
      </c>
      <c r="G306" s="304">
        <v>0.99900984568825613</v>
      </c>
      <c r="H306" s="304">
        <v>1.0016629820083449</v>
      </c>
      <c r="I306" s="304">
        <v>1.0035474359511776</v>
      </c>
      <c r="J306" s="305">
        <v>1.0056553145622651</v>
      </c>
      <c r="K306" s="304">
        <v>1.0068734166174331</v>
      </c>
      <c r="L306" s="304">
        <v>1.0082451399593713</v>
      </c>
      <c r="M306" s="304">
        <v>1.0098197935549886</v>
      </c>
      <c r="N306" s="304">
        <v>1.0107281061270803</v>
      </c>
      <c r="O306" s="304">
        <v>1.0118863371438374</v>
      </c>
      <c r="P306" s="304">
        <v>1.0128317595386553</v>
      </c>
      <c r="Q306" s="304">
        <v>1.0134103093587183</v>
      </c>
      <c r="R306" s="304">
        <v>1.0142219788618188</v>
      </c>
      <c r="S306" s="305">
        <v>1.0151524832372036</v>
      </c>
      <c r="T306" s="304">
        <v>1.0159026527394177</v>
      </c>
      <c r="U306" s="304">
        <v>1.0164660231337634</v>
      </c>
      <c r="V306" s="304">
        <v>1.0171781608612611</v>
      </c>
      <c r="W306" s="304">
        <v>1.017379772600691</v>
      </c>
      <c r="X306" s="304">
        <v>1.0183747655721169</v>
      </c>
      <c r="Y306" s="304">
        <v>1.0189676024749259</v>
      </c>
      <c r="Z306" s="304">
        <v>1.019510622954436</v>
      </c>
      <c r="AA306" s="304">
        <v>1.0200903861439214</v>
      </c>
      <c r="AB306" s="305">
        <v>1.0204136720029102</v>
      </c>
      <c r="AC306" s="304">
        <v>1.0210829760604443</v>
      </c>
      <c r="AD306" s="304">
        <v>1.0215634896200856</v>
      </c>
      <c r="AE306" s="304">
        <v>1.0220141590040721</v>
      </c>
      <c r="AF306" s="304">
        <v>1.0223495450286608</v>
      </c>
      <c r="AG306" s="304">
        <v>1.0229246536634473</v>
      </c>
      <c r="AH306" s="304">
        <v>1.0232735324731963</v>
      </c>
      <c r="AI306" s="304">
        <v>1.023755103416168</v>
      </c>
      <c r="AJ306" s="304">
        <v>1.0241193723158353</v>
      </c>
      <c r="AK306" s="304">
        <v>1.0243967840528518</v>
      </c>
      <c r="AL306" s="305">
        <v>1.0250713400517131</v>
      </c>
      <c r="AM306" s="305">
        <f t="shared" si="4"/>
        <v>1.0250713400517131</v>
      </c>
      <c r="AN306" s="237"/>
    </row>
    <row r="307" spans="1:40" x14ac:dyDescent="0.2">
      <c r="A307" s="352">
        <v>13</v>
      </c>
      <c r="B307" s="304">
        <v>0.97552548018860508</v>
      </c>
      <c r="C307" s="304">
        <v>0.98312664818797935</v>
      </c>
      <c r="D307" s="304">
        <v>0.9883364339809817</v>
      </c>
      <c r="E307" s="304">
        <v>0.99322265827390432</v>
      </c>
      <c r="F307" s="304">
        <v>0.99658213294405285</v>
      </c>
      <c r="G307" s="304">
        <v>0.99950205947277282</v>
      </c>
      <c r="H307" s="304">
        <v>1.0021851775192583</v>
      </c>
      <c r="I307" s="304">
        <v>1.0040997226691315</v>
      </c>
      <c r="J307" s="305">
        <v>1.0062538269545613</v>
      </c>
      <c r="K307" s="304">
        <v>1.0075045701697216</v>
      </c>
      <c r="L307" s="304">
        <v>1.0089170514994312</v>
      </c>
      <c r="M307" s="304">
        <v>1.0105258122055929</v>
      </c>
      <c r="N307" s="304">
        <v>1.012</v>
      </c>
      <c r="O307" s="304">
        <v>1.0126652322082352</v>
      </c>
      <c r="P307" s="304">
        <v>1.0136195914816852</v>
      </c>
      <c r="Q307" s="304">
        <v>1.0142712102957891</v>
      </c>
      <c r="R307" s="304">
        <v>1.015090305366066</v>
      </c>
      <c r="S307" s="305">
        <v>1.0160404891668202</v>
      </c>
      <c r="T307" s="304">
        <v>1.0168435459848477</v>
      </c>
      <c r="U307" s="304">
        <v>1.017421651338098</v>
      </c>
      <c r="V307" s="304">
        <v>1.0181588273528202</v>
      </c>
      <c r="W307" s="304">
        <v>1.0183991165417581</v>
      </c>
      <c r="X307" s="304">
        <v>1.0193997944346873</v>
      </c>
      <c r="Y307" s="304">
        <v>1.0200203924288356</v>
      </c>
      <c r="Z307" s="304">
        <v>1.0206078437562445</v>
      </c>
      <c r="AA307" s="304">
        <v>1.021219334859492</v>
      </c>
      <c r="AB307" s="305">
        <v>1.0215433218587251</v>
      </c>
      <c r="AC307" s="304">
        <v>1.0222433043120343</v>
      </c>
      <c r="AD307" s="304">
        <v>1.0227362485779175</v>
      </c>
      <c r="AE307" s="304">
        <v>1.0231916276429445</v>
      </c>
      <c r="AF307" s="304">
        <v>1.0229999999999999</v>
      </c>
      <c r="AG307" s="304">
        <v>1.0241684551270738</v>
      </c>
      <c r="AH307" s="304">
        <v>1.024</v>
      </c>
      <c r="AI307" s="304">
        <v>1.025024817480459</v>
      </c>
      <c r="AJ307" s="304">
        <v>1.0253785199471177</v>
      </c>
      <c r="AK307" s="304">
        <v>1.0249999999999999</v>
      </c>
      <c r="AL307" s="305">
        <v>1.0263723123925557</v>
      </c>
      <c r="AM307" s="305">
        <f t="shared" si="4"/>
        <v>1.0263723123925557</v>
      </c>
      <c r="AN307" s="237"/>
    </row>
    <row r="308" spans="1:40" x14ac:dyDescent="0.2">
      <c r="A308" s="352">
        <v>14</v>
      </c>
      <c r="B308" s="304">
        <v>0.97565063434589705</v>
      </c>
      <c r="C308" s="304">
        <v>0.98331075901335119</v>
      </c>
      <c r="D308" s="304">
        <v>0.98861282079268098</v>
      </c>
      <c r="E308" s="304">
        <v>0.99356363244452939</v>
      </c>
      <c r="F308" s="304">
        <v>0.99700850676103447</v>
      </c>
      <c r="G308" s="304">
        <v>1.0000054032167047</v>
      </c>
      <c r="H308" s="304">
        <v>1.0027475010093356</v>
      </c>
      <c r="I308" s="304">
        <v>1.0047156048156136</v>
      </c>
      <c r="J308" s="305">
        <v>1.0069290323072617</v>
      </c>
      <c r="K308" s="304">
        <v>1.0082190250582803</v>
      </c>
      <c r="L308" s="304">
        <v>1.0096744731367258</v>
      </c>
      <c r="M308" s="304">
        <v>1.0113122631640392</v>
      </c>
      <c r="N308" s="304">
        <v>1.0122825150570398</v>
      </c>
      <c r="O308" s="304">
        <v>1.0129999999999999</v>
      </c>
      <c r="P308" s="304">
        <v>1.0144560214362233</v>
      </c>
      <c r="Q308" s="304">
        <v>1.0151621956760453</v>
      </c>
      <c r="R308" s="304">
        <v>1.015970204225132</v>
      </c>
      <c r="S308" s="305">
        <v>1.0169178876487206</v>
      </c>
      <c r="T308" s="304">
        <v>1.0177457662665403</v>
      </c>
      <c r="U308" s="304">
        <v>1.0183166923161293</v>
      </c>
      <c r="V308" s="304">
        <v>1.0190503037795953</v>
      </c>
      <c r="W308" s="304">
        <v>1.0193004407207269</v>
      </c>
      <c r="X308" s="304">
        <v>1.0202757230599853</v>
      </c>
      <c r="Y308" s="304">
        <v>1.0208942673481456</v>
      </c>
      <c r="Z308" s="304">
        <v>1.0214919917926775</v>
      </c>
      <c r="AA308" s="304">
        <v>1.0221003985743669</v>
      </c>
      <c r="AB308" s="305">
        <v>1.0223934625146378</v>
      </c>
      <c r="AC308" s="304">
        <v>1.023087983300258</v>
      </c>
      <c r="AD308" s="304">
        <v>1.0235590531691203</v>
      </c>
      <c r="AE308" s="304">
        <v>1.0239856931585178</v>
      </c>
      <c r="AF308" s="304">
        <v>1.024410330998301</v>
      </c>
      <c r="AG308" s="304">
        <v>1.0249528696884385</v>
      </c>
      <c r="AH308" s="304">
        <v>1.0253152390454128</v>
      </c>
      <c r="AI308" s="304">
        <v>1.0257600922453012</v>
      </c>
      <c r="AJ308" s="304">
        <v>1.0260689292320571</v>
      </c>
      <c r="AK308" s="304">
        <v>1.0264384361877499</v>
      </c>
      <c r="AL308" s="305">
        <v>1.0270258620297201</v>
      </c>
      <c r="AM308" s="305">
        <f t="shared" si="4"/>
        <v>1.0270258620297201</v>
      </c>
      <c r="AN308" s="237"/>
    </row>
    <row r="309" spans="1:40" x14ac:dyDescent="0.2">
      <c r="A309" s="353">
        <v>15</v>
      </c>
      <c r="B309" s="307">
        <v>0.975688756178687</v>
      </c>
      <c r="C309" s="307">
        <v>0.98350264296902457</v>
      </c>
      <c r="D309" s="307">
        <v>0.9888953977584356</v>
      </c>
      <c r="E309" s="307">
        <v>0.99386714230835982</v>
      </c>
      <c r="F309" s="307">
        <v>0.99733931164298339</v>
      </c>
      <c r="G309" s="307">
        <v>1.0003487735896668</v>
      </c>
      <c r="H309" s="307">
        <v>1.0030870323728569</v>
      </c>
      <c r="I309" s="307">
        <v>1.0050540557037717</v>
      </c>
      <c r="J309" s="308">
        <v>1.0072772431180956</v>
      </c>
      <c r="K309" s="307">
        <v>1.0085648296694456</v>
      </c>
      <c r="L309" s="307">
        <v>1.0100302016475906</v>
      </c>
      <c r="M309" s="307">
        <v>1.0116696923896451</v>
      </c>
      <c r="N309" s="307">
        <v>1.0126491494541521</v>
      </c>
      <c r="O309" s="307">
        <v>1.0138809135988123</v>
      </c>
      <c r="P309" s="307">
        <v>1.0148280148295161</v>
      </c>
      <c r="Q309" s="307">
        <v>1.0155863646523819</v>
      </c>
      <c r="R309" s="307">
        <v>1.0163903478219662</v>
      </c>
      <c r="S309" s="308">
        <v>1.0173460371086733</v>
      </c>
      <c r="T309" s="307">
        <v>1.0182101787021249</v>
      </c>
      <c r="U309" s="307">
        <v>1.0187966144888942</v>
      </c>
      <c r="V309" s="307">
        <v>1.0195494590153467</v>
      </c>
      <c r="W309" s="307">
        <v>1.0198359714698113</v>
      </c>
      <c r="X309" s="307">
        <v>1.0208161887357941</v>
      </c>
      <c r="Y309" s="307">
        <v>1.0214674196205209</v>
      </c>
      <c r="Z309" s="307">
        <v>1.0221104418862788</v>
      </c>
      <c r="AA309" s="307">
        <v>1.0227541647105842</v>
      </c>
      <c r="AB309" s="308">
        <v>1.0230606870166694</v>
      </c>
      <c r="AC309" s="307">
        <v>1.0237931324152763</v>
      </c>
      <c r="AD309" s="307">
        <v>1.0242904621758337</v>
      </c>
      <c r="AE309" s="307">
        <v>1.0247397762074564</v>
      </c>
      <c r="AF309" s="307">
        <v>1.0252359729841087</v>
      </c>
      <c r="AG309" s="307">
        <v>1.0257985730990224</v>
      </c>
      <c r="AH309" s="307">
        <v>1.0262029356282567</v>
      </c>
      <c r="AI309" s="307">
        <v>1.0266680083175102</v>
      </c>
      <c r="AJ309" s="307">
        <v>1.026993838631147</v>
      </c>
      <c r="AK309" s="307">
        <v>1.0274438965790651</v>
      </c>
      <c r="AL309" s="308">
        <v>1.0280320838706034</v>
      </c>
      <c r="AM309" s="308">
        <f t="shared" si="4"/>
        <v>1.0280320838706034</v>
      </c>
      <c r="AN309" s="237"/>
    </row>
    <row r="310" spans="1:40" x14ac:dyDescent="0.2">
      <c r="A310" s="352">
        <v>16</v>
      </c>
      <c r="B310" s="304">
        <v>0.97589417035965065</v>
      </c>
      <c r="C310" s="304">
        <v>0.98370788386236208</v>
      </c>
      <c r="D310" s="304">
        <v>0.98913094081342345</v>
      </c>
      <c r="E310" s="304">
        <v>0.99411001028933288</v>
      </c>
      <c r="F310" s="304">
        <v>0.99762049590909663</v>
      </c>
      <c r="G310" s="304">
        <v>1.0006636668069298</v>
      </c>
      <c r="H310" s="304">
        <v>1.0034244484027011</v>
      </c>
      <c r="I310" s="304">
        <v>1.0054202585277101</v>
      </c>
      <c r="J310" s="305">
        <v>1.0069999999999999</v>
      </c>
      <c r="K310" s="304">
        <v>1.0089930426999514</v>
      </c>
      <c r="L310" s="304">
        <v>1.0104933897297101</v>
      </c>
      <c r="M310" s="304">
        <v>1.0121556013221387</v>
      </c>
      <c r="N310" s="304">
        <v>1.0131634497867266</v>
      </c>
      <c r="O310" s="304">
        <v>1.014420002344059</v>
      </c>
      <c r="P310" s="304">
        <v>1.0153782018156792</v>
      </c>
      <c r="Q310" s="304">
        <v>1.0161958069423929</v>
      </c>
      <c r="R310" s="304">
        <v>1.0170048860309</v>
      </c>
      <c r="S310" s="305">
        <v>1.0179733259428609</v>
      </c>
      <c r="T310" s="304">
        <v>1.0188723499749952</v>
      </c>
      <c r="U310" s="304">
        <v>1.0194765197513156</v>
      </c>
      <c r="V310" s="304">
        <v>1.0202454740870301</v>
      </c>
      <c r="W310" s="304">
        <v>1.0205622600465869</v>
      </c>
      <c r="X310" s="304">
        <v>1.0215404346341759</v>
      </c>
      <c r="Y310" s="304">
        <v>1.022215775938383</v>
      </c>
      <c r="Z310" s="304">
        <v>1.0228914395324828</v>
      </c>
      <c r="AA310" s="304">
        <v>1.0235568711665837</v>
      </c>
      <c r="AB310" s="305">
        <v>1.0238644911363695</v>
      </c>
      <c r="AC310" s="304">
        <v>1.0246178660092382</v>
      </c>
      <c r="AD310" s="304">
        <v>1.025125418074778</v>
      </c>
      <c r="AE310" s="304">
        <v>1.0255809462361487</v>
      </c>
      <c r="AF310" s="304">
        <v>1.0261245735677387</v>
      </c>
      <c r="AG310" s="304">
        <v>1.0266876082447696</v>
      </c>
      <c r="AH310" s="304">
        <v>1.0271109478237714</v>
      </c>
      <c r="AI310" s="304">
        <v>1.0275742932899941</v>
      </c>
      <c r="AJ310" s="304">
        <v>1.0278968725381845</v>
      </c>
      <c r="AK310" s="304">
        <v>1.0283974498541224</v>
      </c>
      <c r="AL310" s="305">
        <v>1.0289632743822867</v>
      </c>
      <c r="AM310" s="305">
        <f t="shared" si="4"/>
        <v>1.0289632743822867</v>
      </c>
      <c r="AN310" s="237"/>
    </row>
    <row r="311" spans="1:40" x14ac:dyDescent="0.2">
      <c r="A311" s="352">
        <v>17</v>
      </c>
      <c r="B311" s="304">
        <v>0.97593249197910781</v>
      </c>
      <c r="C311" s="304">
        <v>0.98387083829244493</v>
      </c>
      <c r="D311" s="304">
        <v>0.98938122062561873</v>
      </c>
      <c r="E311" s="304">
        <v>0.99438943004093394</v>
      </c>
      <c r="F311" s="304">
        <v>0.99794001739712379</v>
      </c>
      <c r="G311" s="304">
        <v>1.0010057617963928</v>
      </c>
      <c r="H311" s="304">
        <v>1.003771550067722</v>
      </c>
      <c r="I311" s="304">
        <v>1.0057762034404174</v>
      </c>
      <c r="J311" s="305">
        <v>1.0080519619875248</v>
      </c>
      <c r="K311" s="304">
        <v>1.0093652647064513</v>
      </c>
      <c r="L311" s="304">
        <v>1.0108784245110138</v>
      </c>
      <c r="M311" s="304">
        <v>1.0125409450728502</v>
      </c>
      <c r="N311" s="304">
        <v>1.0135563733931932</v>
      </c>
      <c r="O311" s="304">
        <v>1.0148168694966624</v>
      </c>
      <c r="P311" s="304">
        <v>1.0157706181914481</v>
      </c>
      <c r="Q311" s="304">
        <v>1.0166268679762891</v>
      </c>
      <c r="R311" s="304">
        <v>1.0174270214383274</v>
      </c>
      <c r="S311" s="305">
        <v>1.0183937574137922</v>
      </c>
      <c r="T311" s="304">
        <v>1.0193110977700228</v>
      </c>
      <c r="U311" s="304">
        <v>1.0199229463397241</v>
      </c>
      <c r="V311" s="304">
        <v>1.0206967394119997</v>
      </c>
      <c r="W311" s="304">
        <v>1.0210323290482033</v>
      </c>
      <c r="X311" s="304">
        <v>1.0219997893677175</v>
      </c>
      <c r="Y311" s="304">
        <v>1.0226913542283491</v>
      </c>
      <c r="Z311" s="304">
        <v>1.0233908656351651</v>
      </c>
      <c r="AA311" s="304">
        <v>1.0240710299059856</v>
      </c>
      <c r="AB311" s="305">
        <v>1.0243761245568468</v>
      </c>
      <c r="AC311" s="304">
        <v>1.0251448401022769</v>
      </c>
      <c r="AD311" s="304">
        <v>1.0256601232214986</v>
      </c>
      <c r="AE311" s="304">
        <v>1.0261209119513279</v>
      </c>
      <c r="AF311" s="304">
        <v>1.0267055254370359</v>
      </c>
      <c r="AG311" s="304">
        <v>1.0272690262333923</v>
      </c>
      <c r="AH311" s="304">
        <v>1.0277096391079166</v>
      </c>
      <c r="AI311" s="304">
        <v>1.0281726755843072</v>
      </c>
      <c r="AJ311" s="304">
        <v>1.0284964595883335</v>
      </c>
      <c r="AK311" s="304">
        <v>1.0290435121267505</v>
      </c>
      <c r="AL311" s="305">
        <v>1.0295920079468761</v>
      </c>
      <c r="AM311" s="305">
        <f t="shared" si="4"/>
        <v>1.0295920079468761</v>
      </c>
      <c r="AN311" s="237"/>
    </row>
    <row r="312" spans="1:40" x14ac:dyDescent="0.2">
      <c r="A312" s="352">
        <v>18</v>
      </c>
      <c r="B312" s="304">
        <v>0.97599920856948286</v>
      </c>
      <c r="C312" s="304">
        <v>0.98390401746679235</v>
      </c>
      <c r="D312" s="304">
        <v>0.98944401575568708</v>
      </c>
      <c r="E312" s="304">
        <v>0.99447450004033955</v>
      </c>
      <c r="F312" s="304">
        <v>0.99808305643325279</v>
      </c>
      <c r="G312" s="304">
        <v>1.0012004680126534</v>
      </c>
      <c r="H312" s="304">
        <v>1.0040060641083961</v>
      </c>
      <c r="I312" s="304">
        <v>1.0060563356157155</v>
      </c>
      <c r="J312" s="305">
        <v>1.0083818344681528</v>
      </c>
      <c r="K312" s="304">
        <v>1.0097296977539008</v>
      </c>
      <c r="L312" s="304">
        <v>1.0112862537760456</v>
      </c>
      <c r="M312" s="304">
        <v>1.0129756943124502</v>
      </c>
      <c r="N312" s="304">
        <v>1.0140221436093877</v>
      </c>
      <c r="O312" s="304">
        <v>1.015305784150113</v>
      </c>
      <c r="P312" s="304">
        <v>1.0162744416918437</v>
      </c>
      <c r="Q312" s="304">
        <v>1.0171789952396451</v>
      </c>
      <c r="R312" s="304">
        <v>1.0179821869432479</v>
      </c>
      <c r="S312" s="305">
        <v>1.0189544461127402</v>
      </c>
      <c r="T312" s="304">
        <v>1.0198912827000866</v>
      </c>
      <c r="U312" s="304">
        <v>1.0205139169286781</v>
      </c>
      <c r="V312" s="304">
        <v>1.0212911807418728</v>
      </c>
      <c r="W312" s="304">
        <v>1.0216400994511172</v>
      </c>
      <c r="X312" s="304">
        <v>1.0225911170893149</v>
      </c>
      <c r="Y312" s="304">
        <v>1.0232903465913312</v>
      </c>
      <c r="Z312" s="304">
        <v>1.0240014886402546</v>
      </c>
      <c r="AA312" s="304">
        <v>1.0246831617815346</v>
      </c>
      <c r="AB312" s="305">
        <v>1.0249727998101068</v>
      </c>
      <c r="AC312" s="304">
        <v>1.0257396357214761</v>
      </c>
      <c r="AD312" s="304">
        <v>1.0262459553902656</v>
      </c>
      <c r="AE312" s="304">
        <v>1.0266943980329719</v>
      </c>
      <c r="AF312" s="304">
        <v>1.0272949502705742</v>
      </c>
      <c r="AG312" s="304">
        <v>1.0278381885529098</v>
      </c>
      <c r="AH312" s="304">
        <v>1.0282715832176597</v>
      </c>
      <c r="AI312" s="304">
        <v>1.0287112510602037</v>
      </c>
      <c r="AJ312" s="304">
        <v>1.0290141881065404</v>
      </c>
      <c r="AK312" s="304">
        <v>1.0295754997167241</v>
      </c>
      <c r="AL312" s="305">
        <v>1.0300822357387918</v>
      </c>
      <c r="AM312" s="305">
        <f t="shared" si="4"/>
        <v>1.0300822357387918</v>
      </c>
      <c r="AN312" s="237"/>
    </row>
    <row r="313" spans="1:40" x14ac:dyDescent="0.2">
      <c r="A313" s="352">
        <v>19</v>
      </c>
      <c r="B313" s="304">
        <v>0.976035735107039</v>
      </c>
      <c r="C313" s="304">
        <v>0.98395228566410453</v>
      </c>
      <c r="D313" s="304">
        <v>0.98952567548440284</v>
      </c>
      <c r="E313" s="304">
        <v>0.99456562725082853</v>
      </c>
      <c r="F313" s="304">
        <v>0.99821136852675418</v>
      </c>
      <c r="G313" s="304">
        <v>1.0013568432083466</v>
      </c>
      <c r="H313" s="304">
        <v>1.0041799159858718</v>
      </c>
      <c r="I313" s="304">
        <v>1.0062558170519718</v>
      </c>
      <c r="J313" s="305">
        <v>1.008</v>
      </c>
      <c r="K313" s="304">
        <v>1.0099809016489116</v>
      </c>
      <c r="L313" s="304">
        <v>1.0115696695429683</v>
      </c>
      <c r="M313" s="304">
        <v>1.0132774142434826</v>
      </c>
      <c r="N313" s="304">
        <v>1.014349231723614</v>
      </c>
      <c r="O313" s="304">
        <v>1.0156526875702254</v>
      </c>
      <c r="P313" s="304">
        <v>1.0166387116659532</v>
      </c>
      <c r="Q313" s="304">
        <v>1.0175901840473476</v>
      </c>
      <c r="R313" s="304">
        <v>1.0184028294396978</v>
      </c>
      <c r="S313" s="305">
        <v>1.0193874925999467</v>
      </c>
      <c r="T313" s="304">
        <v>1.0203497180237382</v>
      </c>
      <c r="U313" s="304">
        <v>1.0209949785107169</v>
      </c>
      <c r="V313" s="304">
        <v>1.0217877470747363</v>
      </c>
      <c r="W313" s="304">
        <v>1.0221617260408076</v>
      </c>
      <c r="X313" s="304">
        <v>1.0231117333788267</v>
      </c>
      <c r="Y313" s="304">
        <v>1.0238344726363477</v>
      </c>
      <c r="Z313" s="304">
        <v>1.0245729643955599</v>
      </c>
      <c r="AA313" s="304">
        <v>1.0252739710193013</v>
      </c>
      <c r="AB313" s="305">
        <v>1.0255688918454791</v>
      </c>
      <c r="AC313" s="304">
        <v>1.0263532479782937</v>
      </c>
      <c r="AD313" s="304">
        <v>1.0268729494477962</v>
      </c>
      <c r="AE313" s="304">
        <v>1.0273327686808078</v>
      </c>
      <c r="AF313" s="304">
        <v>1.0279680810536596</v>
      </c>
      <c r="AG313" s="304">
        <v>1.0285161504863614</v>
      </c>
      <c r="AH313" s="304">
        <v>1.0289656577426545</v>
      </c>
      <c r="AI313" s="304">
        <v>1.0294086703091614</v>
      </c>
      <c r="AJ313" s="304">
        <v>1.0297200242425728</v>
      </c>
      <c r="AK313" s="304">
        <v>1.0303165500759248</v>
      </c>
      <c r="AL313" s="305">
        <v>1.0308118832810678</v>
      </c>
      <c r="AM313" s="305">
        <f t="shared" si="4"/>
        <v>1.0308118832810678</v>
      </c>
      <c r="AN313" s="237"/>
    </row>
    <row r="314" spans="1:40" x14ac:dyDescent="0.2">
      <c r="A314" s="353">
        <v>20</v>
      </c>
      <c r="B314" s="307">
        <v>0.97664242315285588</v>
      </c>
      <c r="C314" s="307">
        <v>0.98441114313104938</v>
      </c>
      <c r="D314" s="307">
        <v>0.98992090088873774</v>
      </c>
      <c r="E314" s="307">
        <v>0.99490791314504912</v>
      </c>
      <c r="F314" s="307">
        <v>0.998</v>
      </c>
      <c r="G314" s="307">
        <v>1.0009999999999999</v>
      </c>
      <c r="H314" s="307">
        <v>1.0044967373732923</v>
      </c>
      <c r="I314" s="307">
        <v>1.0065735331449277</v>
      </c>
      <c r="J314" s="308">
        <v>1.0089388953672858</v>
      </c>
      <c r="K314" s="307">
        <v>1.0103046706898686</v>
      </c>
      <c r="L314" s="307">
        <v>1.0119039147655411</v>
      </c>
      <c r="M314" s="307">
        <v>1.0136077637611458</v>
      </c>
      <c r="N314" s="307">
        <v>1.0146822183782966</v>
      </c>
      <c r="O314" s="307">
        <v>1.0159819989734697</v>
      </c>
      <c r="P314" s="307">
        <v>1.0169641027596728</v>
      </c>
      <c r="Q314" s="307">
        <v>1.0179344341944123</v>
      </c>
      <c r="R314" s="307">
        <v>1.0187332402011067</v>
      </c>
      <c r="S314" s="308">
        <v>1.0197047403679653</v>
      </c>
      <c r="T314" s="307">
        <v>1.0206633611089708</v>
      </c>
      <c r="U314" s="307">
        <v>1.0213052658072255</v>
      </c>
      <c r="V314" s="307">
        <v>1.0220857400126515</v>
      </c>
      <c r="W314" s="307">
        <v>1.0224543929598437</v>
      </c>
      <c r="X314" s="307">
        <v>1.0233747817823562</v>
      </c>
      <c r="Y314" s="307">
        <v>1.0240907559710744</v>
      </c>
      <c r="Z314" s="307">
        <v>1.0248246194735877</v>
      </c>
      <c r="AA314" s="307">
        <v>1.0255134336948588</v>
      </c>
      <c r="AB314" s="308">
        <v>1.025783253739446</v>
      </c>
      <c r="AC314" s="307">
        <v>1.0265521721306405</v>
      </c>
      <c r="AD314" s="307">
        <v>1.0270537660137917</v>
      </c>
      <c r="AE314" s="307">
        <v>1.027493506993904</v>
      </c>
      <c r="AF314" s="307">
        <v>1.0281263555140383</v>
      </c>
      <c r="AG314" s="307">
        <v>1.0286469933260096</v>
      </c>
      <c r="AH314" s="307">
        <v>1.0290776108223147</v>
      </c>
      <c r="AI314" s="307">
        <v>1.0294913960977916</v>
      </c>
      <c r="AJ314" s="307">
        <v>1.0297800528734811</v>
      </c>
      <c r="AK314" s="307">
        <v>1.0303718268746072</v>
      </c>
      <c r="AL314" s="308">
        <v>1.0308242890835166</v>
      </c>
      <c r="AM314" s="308">
        <f t="shared" si="4"/>
        <v>1.0308242890835166</v>
      </c>
      <c r="AN314" s="237"/>
    </row>
    <row r="315" spans="1:40" x14ac:dyDescent="0.2">
      <c r="A315" s="352">
        <v>21</v>
      </c>
      <c r="B315" s="304">
        <v>0.97659102557856303</v>
      </c>
      <c r="C315" s="304">
        <v>0.98428257225139815</v>
      </c>
      <c r="D315" s="304">
        <v>0.98978313871332579</v>
      </c>
      <c r="E315" s="304">
        <v>0.99476602352078514</v>
      </c>
      <c r="F315" s="304">
        <v>0.999</v>
      </c>
      <c r="G315" s="304">
        <v>1.0016145823144562</v>
      </c>
      <c r="H315" s="304">
        <v>1.004458844859931</v>
      </c>
      <c r="I315" s="304">
        <v>1.0065790373807137</v>
      </c>
      <c r="J315" s="305">
        <v>1.0089947739613034</v>
      </c>
      <c r="K315" s="304">
        <v>1.0109999999999999</v>
      </c>
      <c r="L315" s="304">
        <v>1.0120547376927951</v>
      </c>
      <c r="M315" s="304">
        <v>1.0137984343505893</v>
      </c>
      <c r="N315" s="304">
        <v>1.014919381275269</v>
      </c>
      <c r="O315" s="304">
        <v>1.0162596447205066</v>
      </c>
      <c r="P315" s="304">
        <v>1.0172848276748185</v>
      </c>
      <c r="Q315" s="304">
        <v>1.0183154175994811</v>
      </c>
      <c r="R315" s="304">
        <v>1.0191473322183999</v>
      </c>
      <c r="S315" s="305">
        <v>1.0201512954439544</v>
      </c>
      <c r="T315" s="304">
        <v>1.0211495314575292</v>
      </c>
      <c r="U315" s="304">
        <v>1.0218346907988078</v>
      </c>
      <c r="V315" s="304">
        <v>1.0226486282197076</v>
      </c>
      <c r="W315" s="304">
        <v>1.0230557342560771</v>
      </c>
      <c r="X315" s="304">
        <v>1.0239927063853065</v>
      </c>
      <c r="Y315" s="304">
        <v>1.0247468810003135</v>
      </c>
      <c r="Z315" s="304">
        <v>1.0255200355688894</v>
      </c>
      <c r="AA315" s="304">
        <v>1.0262414614934241</v>
      </c>
      <c r="AB315" s="305">
        <v>1.0265323366093271</v>
      </c>
      <c r="AC315" s="304">
        <v>1.0273299417562896</v>
      </c>
      <c r="AD315" s="304">
        <v>1.0278592130691275</v>
      </c>
      <c r="AE315" s="304">
        <v>1.0283249067105342</v>
      </c>
      <c r="AF315" s="304">
        <v>1.0289961094932856</v>
      </c>
      <c r="AG315" s="304">
        <v>1.0295350683660733</v>
      </c>
      <c r="AH315" s="304">
        <v>1.0299900671633422</v>
      </c>
      <c r="AI315" s="304">
        <v>1.0304204434295665</v>
      </c>
      <c r="AJ315" s="304">
        <v>1.0307336368376674</v>
      </c>
      <c r="AK315" s="304">
        <v>1.0313595011303955</v>
      </c>
      <c r="AL315" s="305">
        <v>1.0318162898964616</v>
      </c>
      <c r="AM315" s="305">
        <f t="shared" si="4"/>
        <v>1.0318162898964616</v>
      </c>
      <c r="AN315" s="237"/>
    </row>
    <row r="316" spans="1:40" x14ac:dyDescent="0.2">
      <c r="A316" s="352">
        <v>22</v>
      </c>
      <c r="B316" s="304">
        <v>0.97670872516408869</v>
      </c>
      <c r="C316" s="304">
        <v>0.98458409064998043</v>
      </c>
      <c r="D316" s="304">
        <v>0.99018325680664621</v>
      </c>
      <c r="E316" s="304">
        <v>0.99519077570735015</v>
      </c>
      <c r="F316" s="304">
        <v>0.99888479301769073</v>
      </c>
      <c r="G316" s="304">
        <v>1.0020515054508325</v>
      </c>
      <c r="H316" s="304">
        <v>1.0048717278730108</v>
      </c>
      <c r="I316" s="304">
        <v>1.0069716597627645</v>
      </c>
      <c r="J316" s="305">
        <v>1.0093704111062176</v>
      </c>
      <c r="K316" s="304">
        <v>1.0107504749267828</v>
      </c>
      <c r="L316" s="304">
        <v>1.0129999999999999</v>
      </c>
      <c r="M316" s="304">
        <v>1.0141100311447384</v>
      </c>
      <c r="N316" s="304">
        <v>1.0152150207919592</v>
      </c>
      <c r="O316" s="304">
        <v>1.0165363911918774</v>
      </c>
      <c r="P316" s="304">
        <v>1.0175507437722402</v>
      </c>
      <c r="Q316" s="304">
        <v>1.0185853568425975</v>
      </c>
      <c r="R316" s="304">
        <v>1.0194025853890758</v>
      </c>
      <c r="S316" s="305">
        <v>1.0203930434453397</v>
      </c>
      <c r="T316" s="304">
        <v>1.0213857360881384</v>
      </c>
      <c r="U316" s="304">
        <v>1.0220750161543251</v>
      </c>
      <c r="V316" s="304">
        <v>1.0228855293033556</v>
      </c>
      <c r="W316" s="304">
        <v>1.0232950297117731</v>
      </c>
      <c r="X316" s="304">
        <v>1.0242176693405156</v>
      </c>
      <c r="Y316" s="304">
        <v>1.024980448820191</v>
      </c>
      <c r="Z316" s="304">
        <v>1.0257649189571039</v>
      </c>
      <c r="AA316" s="304">
        <v>1.0264942786871267</v>
      </c>
      <c r="AB316" s="305">
        <v>1.0267850640256984</v>
      </c>
      <c r="AC316" s="304">
        <v>1.0275905977946853</v>
      </c>
      <c r="AD316" s="304">
        <v>1.0281304938481683</v>
      </c>
      <c r="AE316" s="304">
        <v>1.0286073565702614</v>
      </c>
      <c r="AF316" s="304">
        <v>1.0292992203887594</v>
      </c>
      <c r="AG316" s="304">
        <v>1.0298454097486247</v>
      </c>
      <c r="AH316" s="304">
        <v>1.0303131521303424</v>
      </c>
      <c r="AI316" s="304">
        <v>1.0307527339557203</v>
      </c>
      <c r="AJ316" s="304">
        <v>1.0310860469719514</v>
      </c>
      <c r="AK316" s="304">
        <v>1.0317352171923959</v>
      </c>
      <c r="AL316" s="305">
        <v>1.0321951891475294</v>
      </c>
      <c r="AM316" s="305">
        <f t="shared" si="4"/>
        <v>1.0321951891475294</v>
      </c>
      <c r="AN316" s="237"/>
    </row>
    <row r="317" spans="1:40" x14ac:dyDescent="0.2">
      <c r="A317" s="352">
        <v>23</v>
      </c>
      <c r="B317" s="304">
        <v>0.97670934469389148</v>
      </c>
      <c r="C317" s="304">
        <v>0.98461065181193863</v>
      </c>
      <c r="D317" s="304">
        <v>0.99025243488239634</v>
      </c>
      <c r="E317" s="304">
        <v>0.99528147750676055</v>
      </c>
      <c r="F317" s="304">
        <v>0.99901696911903581</v>
      </c>
      <c r="G317" s="304">
        <v>1.002211585597486</v>
      </c>
      <c r="H317" s="304">
        <v>1.0050499598892906</v>
      </c>
      <c r="I317" s="304">
        <v>1.0071734738724927</v>
      </c>
      <c r="J317" s="305">
        <v>1.0089999999999999</v>
      </c>
      <c r="K317" s="304">
        <v>1.0109936550179444</v>
      </c>
      <c r="L317" s="304">
        <v>1.0126611351743473</v>
      </c>
      <c r="M317" s="304">
        <v>1.0143914371486276</v>
      </c>
      <c r="N317" s="304">
        <v>1.015513171664322</v>
      </c>
      <c r="O317" s="304">
        <v>1.0168452843978009</v>
      </c>
      <c r="P317" s="304">
        <v>1.0178772589992577</v>
      </c>
      <c r="Q317" s="304">
        <v>1.0189358536550377</v>
      </c>
      <c r="R317" s="304">
        <v>1.0197602486445554</v>
      </c>
      <c r="S317" s="305">
        <v>1.0207547774769026</v>
      </c>
      <c r="T317" s="304">
        <v>1.0217545046247838</v>
      </c>
      <c r="U317" s="304">
        <v>1.022460465675382</v>
      </c>
      <c r="V317" s="304">
        <v>1.0232770201080563</v>
      </c>
      <c r="W317" s="304">
        <v>1.0236939763770363</v>
      </c>
      <c r="X317" s="304">
        <v>1.024607445301486</v>
      </c>
      <c r="Y317" s="304">
        <v>1.025380504370045</v>
      </c>
      <c r="Z317" s="304">
        <v>1.0261751604232299</v>
      </c>
      <c r="AA317" s="304">
        <v>1.026910277730599</v>
      </c>
      <c r="AB317" s="305">
        <v>1.0271980911913379</v>
      </c>
      <c r="AC317" s="304">
        <v>1.0280053091661929</v>
      </c>
      <c r="AD317" s="304">
        <v>1.0285494743516521</v>
      </c>
      <c r="AE317" s="304">
        <v>1.0290298519956145</v>
      </c>
      <c r="AF317" s="304">
        <v>1.0297287590271864</v>
      </c>
      <c r="AG317" s="304">
        <v>1.0302717255302181</v>
      </c>
      <c r="AH317" s="304">
        <v>1.0307382788183479</v>
      </c>
      <c r="AI317" s="304">
        <v>1.031174415044124</v>
      </c>
      <c r="AJ317" s="304">
        <v>1.0315152841038233</v>
      </c>
      <c r="AK317" s="304">
        <v>1.0321666090769352</v>
      </c>
      <c r="AL317" s="305">
        <v>1.0326154306362005</v>
      </c>
      <c r="AM317" s="305">
        <f t="shared" si="4"/>
        <v>1.0326154306362005</v>
      </c>
      <c r="AN317" s="237"/>
    </row>
    <row r="318" spans="1:40" x14ac:dyDescent="0.2">
      <c r="A318" s="352">
        <v>24</v>
      </c>
      <c r="B318" s="304">
        <v>0.97677938541148057</v>
      </c>
      <c r="C318" s="304">
        <v>0.984616146114484</v>
      </c>
      <c r="D318" s="304">
        <v>0.99025097981901289</v>
      </c>
      <c r="E318" s="304">
        <v>0.99527632180855785</v>
      </c>
      <c r="F318" s="304">
        <v>0.999039995693628</v>
      </c>
      <c r="G318" s="304">
        <v>1.0022570674872844</v>
      </c>
      <c r="H318" s="304">
        <v>1.00511394068029</v>
      </c>
      <c r="I318" s="304">
        <v>1.0072639831897479</v>
      </c>
      <c r="J318" s="305">
        <v>1.0089999999999999</v>
      </c>
      <c r="K318" s="304">
        <v>1.0111361740302187</v>
      </c>
      <c r="L318" s="304">
        <v>1.0128371216522871</v>
      </c>
      <c r="M318" s="304">
        <v>1.014585882499166</v>
      </c>
      <c r="N318" s="304">
        <v>1.0157309429260661</v>
      </c>
      <c r="O318" s="304">
        <v>1.0170805265541807</v>
      </c>
      <c r="P318" s="304">
        <v>1.0181384844276808</v>
      </c>
      <c r="Q318" s="304">
        <v>1.0192240683927267</v>
      </c>
      <c r="R318" s="304">
        <v>1.0200630309421514</v>
      </c>
      <c r="S318" s="305">
        <v>1.0210673908440668</v>
      </c>
      <c r="T318" s="304">
        <v>1.0220774771611185</v>
      </c>
      <c r="U318" s="304">
        <v>1.0228054271484197</v>
      </c>
      <c r="V318" s="304">
        <v>1.0236324894391817</v>
      </c>
      <c r="W318" s="304">
        <v>1.0240589981066357</v>
      </c>
      <c r="X318" s="304">
        <v>1.0249673090127291</v>
      </c>
      <c r="Y318" s="304">
        <v>1.025752914226667</v>
      </c>
      <c r="Z318" s="304">
        <v>1.026558961055144</v>
      </c>
      <c r="AA318" s="304">
        <v>1.0273015075222023</v>
      </c>
      <c r="AB318" s="305">
        <v>1.0275886497986586</v>
      </c>
      <c r="AC318" s="304">
        <v>1.0283979903887925</v>
      </c>
      <c r="AD318" s="304">
        <v>1.028947933189309</v>
      </c>
      <c r="AE318" s="304">
        <v>1.0294332083108895</v>
      </c>
      <c r="AF318" s="304">
        <v>1.0301359985505556</v>
      </c>
      <c r="AG318" s="304">
        <v>1.0306765729891176</v>
      </c>
      <c r="AH318" s="304">
        <v>1.0311404049636419</v>
      </c>
      <c r="AI318" s="304">
        <v>1.0315737054744289</v>
      </c>
      <c r="AJ318" s="304">
        <v>1.0319236139755343</v>
      </c>
      <c r="AK318" s="304">
        <v>1.0325712404141885</v>
      </c>
      <c r="AL318" s="305">
        <v>1.0330103362618552</v>
      </c>
      <c r="AM318" s="305">
        <f t="shared" si="4"/>
        <v>1.0330103362618552</v>
      </c>
      <c r="AN318" s="237"/>
    </row>
    <row r="319" spans="1:40" x14ac:dyDescent="0.2">
      <c r="A319" s="353">
        <v>25</v>
      </c>
      <c r="B319" s="307">
        <v>0.97656898724408026</v>
      </c>
      <c r="C319" s="307">
        <v>0.984547347303798</v>
      </c>
      <c r="D319" s="307">
        <v>0.99026391737838459</v>
      </c>
      <c r="E319" s="307">
        <v>0.99531743860996702</v>
      </c>
      <c r="F319" s="307">
        <v>0.99910979445780934</v>
      </c>
      <c r="G319" s="307">
        <v>1.0023344951853987</v>
      </c>
      <c r="H319" s="307">
        <v>1.0051888535876388</v>
      </c>
      <c r="I319" s="307">
        <v>1.007341534107508</v>
      </c>
      <c r="J319" s="308">
        <v>1.009804034009419</v>
      </c>
      <c r="K319" s="307">
        <v>1.012</v>
      </c>
      <c r="L319" s="307">
        <v>1.0129364476981002</v>
      </c>
      <c r="M319" s="307">
        <v>1.0146885401275003</v>
      </c>
      <c r="N319" s="307">
        <v>1.015844896507025</v>
      </c>
      <c r="O319" s="307">
        <v>1.0172038953940441</v>
      </c>
      <c r="P319" s="307">
        <v>1.0182850876682372</v>
      </c>
      <c r="Q319" s="307">
        <v>1.0193936548820612</v>
      </c>
      <c r="R319" s="307">
        <v>1.0202510984836561</v>
      </c>
      <c r="S319" s="308">
        <v>1.0212712610799879</v>
      </c>
      <c r="T319" s="307">
        <v>1.0222988675386853</v>
      </c>
      <c r="U319" s="307">
        <v>1.023061048559496</v>
      </c>
      <c r="V319" s="307">
        <v>1.0239132932024018</v>
      </c>
      <c r="W319" s="307">
        <v>1.0243647212929847</v>
      </c>
      <c r="X319" s="307">
        <v>1.0252879409464732</v>
      </c>
      <c r="Y319" s="307">
        <v>1.0261071151629886</v>
      </c>
      <c r="Z319" s="307">
        <v>1.0269471473634115</v>
      </c>
      <c r="AA319" s="307">
        <v>1.027722561007673</v>
      </c>
      <c r="AB319" s="308">
        <v>1.0280372760612959</v>
      </c>
      <c r="AC319" s="307">
        <v>1.0288773942928138</v>
      </c>
      <c r="AD319" s="307">
        <v>1.0294647771922603</v>
      </c>
      <c r="AE319" s="307">
        <v>1.029988377292961</v>
      </c>
      <c r="AF319" s="307">
        <v>1.0307260176891255</v>
      </c>
      <c r="AG319" s="307">
        <v>1.0313006345748148</v>
      </c>
      <c r="AH319" s="307">
        <v>1.0317975435203164</v>
      </c>
      <c r="AI319" s="307">
        <v>1.0322673825391333</v>
      </c>
      <c r="AJ319" s="307">
        <v>1.0326679267824683</v>
      </c>
      <c r="AK319" s="307">
        <v>1.0333478780264367</v>
      </c>
      <c r="AL319" s="308">
        <v>1.0338214981020446</v>
      </c>
      <c r="AM319" s="308">
        <f t="shared" si="4"/>
        <v>1.0338214981020446</v>
      </c>
      <c r="AN319" s="237"/>
    </row>
    <row r="320" spans="1:40" x14ac:dyDescent="0.2">
      <c r="A320" s="352">
        <v>26</v>
      </c>
      <c r="B320" s="304">
        <v>0.97684291362559117</v>
      </c>
      <c r="C320" s="304">
        <v>0.9847053377413848</v>
      </c>
      <c r="D320" s="304">
        <v>0.99036929332492663</v>
      </c>
      <c r="E320" s="304">
        <v>0.99538239441883669</v>
      </c>
      <c r="F320" s="304">
        <v>0.99916846293085682</v>
      </c>
      <c r="G320" s="304">
        <v>1.00238511041458</v>
      </c>
      <c r="H320" s="304">
        <v>1.0052326308106463</v>
      </c>
      <c r="I320" s="304">
        <v>1.007388418362807</v>
      </c>
      <c r="J320" s="305">
        <v>1.0098603284377612</v>
      </c>
      <c r="K320" s="304">
        <v>1.012</v>
      </c>
      <c r="L320" s="304">
        <v>1.0130131584685633</v>
      </c>
      <c r="M320" s="304">
        <v>1.0147694548972956</v>
      </c>
      <c r="N320" s="304">
        <v>1.0159354932954585</v>
      </c>
      <c r="O320" s="304">
        <v>1.0173004382948467</v>
      </c>
      <c r="P320" s="304">
        <v>1.0184006007976383</v>
      </c>
      <c r="Q320" s="304">
        <v>1.0189999999999999</v>
      </c>
      <c r="R320" s="304">
        <v>1.0203877547290374</v>
      </c>
      <c r="S320" s="305">
        <v>1.0214111454304944</v>
      </c>
      <c r="T320" s="304">
        <v>1.0224397268743868</v>
      </c>
      <c r="U320" s="304">
        <v>1.0232194313625278</v>
      </c>
      <c r="V320" s="304">
        <v>1.0240778848064784</v>
      </c>
      <c r="W320" s="304">
        <v>1.0245314830173839</v>
      </c>
      <c r="X320" s="304">
        <v>1.0254472027047401</v>
      </c>
      <c r="Y320" s="304">
        <v>1.0262744650016025</v>
      </c>
      <c r="Z320" s="304">
        <v>1.0271208273203549</v>
      </c>
      <c r="AA320" s="304">
        <v>1.0279006617360427</v>
      </c>
      <c r="AB320" s="305">
        <v>1.0282138275984976</v>
      </c>
      <c r="AC320" s="304">
        <v>1.0290529225556253</v>
      </c>
      <c r="AD320" s="304">
        <v>1.0296458471434837</v>
      </c>
      <c r="AE320" s="304">
        <v>1.0301747699356381</v>
      </c>
      <c r="AF320" s="304">
        <v>1.0309093661078919</v>
      </c>
      <c r="AG320" s="304">
        <v>1.0314828396486129</v>
      </c>
      <c r="AH320" s="304">
        <v>1.0319747191614028</v>
      </c>
      <c r="AI320" s="304">
        <v>1.0324442102810851</v>
      </c>
      <c r="AJ320" s="304">
        <v>1.0328585069233931</v>
      </c>
      <c r="AK320" s="304">
        <v>1.0335266938730583</v>
      </c>
      <c r="AL320" s="305">
        <v>1.0339967273432487</v>
      </c>
      <c r="AM320" s="305">
        <f t="shared" si="4"/>
        <v>1.0339967273432487</v>
      </c>
      <c r="AN320" s="237"/>
    </row>
    <row r="321" spans="1:40" x14ac:dyDescent="0.2">
      <c r="A321" s="352">
        <v>27</v>
      </c>
      <c r="B321" s="304">
        <v>0.97684205573281457</v>
      </c>
      <c r="C321" s="304">
        <v>0.98474245454513887</v>
      </c>
      <c r="D321" s="304">
        <v>0.99099999999999999</v>
      </c>
      <c r="E321" s="304">
        <v>0.99554303121692822</v>
      </c>
      <c r="F321" s="304">
        <v>1</v>
      </c>
      <c r="G321" s="304">
        <v>1.0026653191975554</v>
      </c>
      <c r="H321" s="304">
        <v>1.0055529617051862</v>
      </c>
      <c r="I321" s="304">
        <v>1.007747718646093</v>
      </c>
      <c r="J321" s="305">
        <v>1.0102560174742419</v>
      </c>
      <c r="K321" s="304">
        <v>1.0116990306180837</v>
      </c>
      <c r="L321" s="304">
        <v>1.0134631916095826</v>
      </c>
      <c r="M321" s="304">
        <v>1.015232423335217</v>
      </c>
      <c r="N321" s="304">
        <v>1.0164118557115225</v>
      </c>
      <c r="O321" s="304">
        <v>1.0177829521619906</v>
      </c>
      <c r="P321" s="304">
        <v>1.0189002989311726</v>
      </c>
      <c r="Q321" s="304">
        <v>1.0200235252033325</v>
      </c>
      <c r="R321" s="304">
        <v>1.0208920539628588</v>
      </c>
      <c r="S321" s="305">
        <v>1.0219078085142894</v>
      </c>
      <c r="T321" s="304">
        <v>1.0229228304303488</v>
      </c>
      <c r="U321" s="304">
        <v>1.0237054998901303</v>
      </c>
      <c r="V321" s="304">
        <v>1.0245538291916694</v>
      </c>
      <c r="W321" s="304">
        <v>1.0249900510004035</v>
      </c>
      <c r="X321" s="304">
        <v>1.0258795309621438</v>
      </c>
      <c r="Y321" s="304">
        <v>1.0266936768887895</v>
      </c>
      <c r="Z321" s="304">
        <v>1.0275236563500101</v>
      </c>
      <c r="AA321" s="304">
        <v>1.0282849903557099</v>
      </c>
      <c r="AB321" s="305">
        <v>1.0285735572335724</v>
      </c>
      <c r="AC321" s="304">
        <v>1.0293866223125518</v>
      </c>
      <c r="AD321" s="304">
        <v>1.0299605210951381</v>
      </c>
      <c r="AE321" s="304">
        <v>1.0304696850034862</v>
      </c>
      <c r="AF321" s="304">
        <v>1.0311720977050858</v>
      </c>
      <c r="AG321" s="304">
        <v>1.031718367067503</v>
      </c>
      <c r="AH321" s="304">
        <v>1.0321769092277169</v>
      </c>
      <c r="AI321" s="304">
        <v>1.0326194207849519</v>
      </c>
      <c r="AJ321" s="304">
        <v>1.0330213028994901</v>
      </c>
      <c r="AK321" s="304">
        <v>1.0336452405540197</v>
      </c>
      <c r="AL321" s="305">
        <v>1.0340853497065408</v>
      </c>
      <c r="AM321" s="305">
        <f t="shared" si="4"/>
        <v>1.0340853497065408</v>
      </c>
      <c r="AN321" s="237"/>
    </row>
    <row r="322" spans="1:40" x14ac:dyDescent="0.2">
      <c r="A322" s="352">
        <v>28</v>
      </c>
      <c r="B322" s="304">
        <v>0.97684840923417537</v>
      </c>
      <c r="C322" s="304">
        <v>0.98477851282703655</v>
      </c>
      <c r="D322" s="304">
        <v>0.99054151707010607</v>
      </c>
      <c r="E322" s="304">
        <v>0.99562370345109263</v>
      </c>
      <c r="F322" s="304">
        <v>0.9995038777953158</v>
      </c>
      <c r="G322" s="304">
        <v>1.0027834999892273</v>
      </c>
      <c r="H322" s="304">
        <v>1.0056788008035367</v>
      </c>
      <c r="I322" s="304">
        <v>1.0078855402357685</v>
      </c>
      <c r="J322" s="305">
        <v>1.0104091141660858</v>
      </c>
      <c r="K322" s="304">
        <v>1.0118604075220359</v>
      </c>
      <c r="L322" s="304">
        <v>1.0136459229502479</v>
      </c>
      <c r="M322" s="304">
        <v>1.0154234953461319</v>
      </c>
      <c r="N322" s="304">
        <v>1.0166157727845397</v>
      </c>
      <c r="O322" s="304">
        <v>1.0179970546979229</v>
      </c>
      <c r="P322" s="304">
        <v>1.0191407100741066</v>
      </c>
      <c r="Q322" s="304">
        <v>1.0202753362988317</v>
      </c>
      <c r="R322" s="304">
        <v>1.0211612972349444</v>
      </c>
      <c r="S322" s="305">
        <v>1.0221869979905454</v>
      </c>
      <c r="T322" s="304">
        <v>1.0232071807330105</v>
      </c>
      <c r="U322" s="304">
        <v>1.0240155978197525</v>
      </c>
      <c r="V322" s="304">
        <v>1.0248787170163844</v>
      </c>
      <c r="W322" s="304">
        <v>1.0253228258550688</v>
      </c>
      <c r="X322" s="304">
        <v>1.0262152299776623</v>
      </c>
      <c r="Y322" s="304">
        <v>1.0270458837346197</v>
      </c>
      <c r="Z322" s="304">
        <v>1.0278902887929258</v>
      </c>
      <c r="AA322" s="304">
        <v>1.0286661003909712</v>
      </c>
      <c r="AB322" s="305">
        <v>1.0289650574723186</v>
      </c>
      <c r="AC322" s="304">
        <v>1.029787236095796</v>
      </c>
      <c r="AD322" s="304">
        <v>1.0303794695189255</v>
      </c>
      <c r="AE322" s="304">
        <v>1.0309074049271345</v>
      </c>
      <c r="AF322" s="304">
        <v>1.0316138886895827</v>
      </c>
      <c r="AG322" s="304">
        <v>1.0321735178339819</v>
      </c>
      <c r="AH322" s="304">
        <v>1.032638457384027</v>
      </c>
      <c r="AI322" s="304">
        <v>1.033096516128456</v>
      </c>
      <c r="AJ322" s="304">
        <v>1.033530022289971</v>
      </c>
      <c r="AK322" s="304">
        <v>1.0341488051801524</v>
      </c>
      <c r="AL322" s="305">
        <v>1.0346048508833179</v>
      </c>
      <c r="AM322" s="305">
        <f t="shared" si="4"/>
        <v>1.0346048508833179</v>
      </c>
      <c r="AN322" s="237"/>
    </row>
    <row r="323" spans="1:40" x14ac:dyDescent="0.2">
      <c r="A323" s="352">
        <v>29</v>
      </c>
      <c r="B323" s="304">
        <v>0.97687301273778104</v>
      </c>
      <c r="C323" s="304">
        <v>0.9849157046398771</v>
      </c>
      <c r="D323" s="304">
        <v>0.99073576720019485</v>
      </c>
      <c r="E323" s="304">
        <v>0.99583016309628736</v>
      </c>
      <c r="F323" s="304">
        <v>0.99971914994371924</v>
      </c>
      <c r="G323" s="304">
        <v>1.0029870839776875</v>
      </c>
      <c r="H323" s="304">
        <v>1.0058639793664754</v>
      </c>
      <c r="I323" s="304">
        <v>1.0080552100995703</v>
      </c>
      <c r="J323" s="305">
        <v>1.01</v>
      </c>
      <c r="K323" s="304">
        <v>1.0120010372269326</v>
      </c>
      <c r="L323" s="304">
        <v>1.0137840220431862</v>
      </c>
      <c r="M323" s="304">
        <v>1.0155481584372663</v>
      </c>
      <c r="N323" s="304">
        <v>1.0167330263822143</v>
      </c>
      <c r="O323" s="304">
        <v>1.0181067154419412</v>
      </c>
      <c r="P323" s="304">
        <v>1.0192620962730308</v>
      </c>
      <c r="Q323" s="304">
        <v>1.0203917085516268</v>
      </c>
      <c r="R323" s="304">
        <v>1.021284276416683</v>
      </c>
      <c r="S323" s="305">
        <v>1.0223099941504783</v>
      </c>
      <c r="T323" s="304">
        <v>1.0233257153797015</v>
      </c>
      <c r="U323" s="304">
        <v>1.0241533794422355</v>
      </c>
      <c r="V323" s="304">
        <v>1.0250262856971821</v>
      </c>
      <c r="W323" s="304">
        <v>1.0254731165675324</v>
      </c>
      <c r="X323" s="304">
        <v>1.0263665996234512</v>
      </c>
      <c r="Y323" s="304">
        <v>1.0272119877603603</v>
      </c>
      <c r="Z323" s="304">
        <v>1.028069914822296</v>
      </c>
      <c r="AA323" s="304">
        <v>1.0288611316467322</v>
      </c>
      <c r="AB323" s="305">
        <v>1.0291731022482762</v>
      </c>
      <c r="AC323" s="304">
        <v>1.0300070392161786</v>
      </c>
      <c r="AD323" s="304">
        <v>1.0306222223427648</v>
      </c>
      <c r="AE323" s="304">
        <v>1.0311745556065695</v>
      </c>
      <c r="AF323" s="304">
        <v>1.0318885497401746</v>
      </c>
      <c r="AG323" s="304">
        <v>1.0324690038202711</v>
      </c>
      <c r="AH323" s="304">
        <v>1.0329470015134083</v>
      </c>
      <c r="AI323" s="304">
        <v>1.0334299152736686</v>
      </c>
      <c r="AJ323" s="304">
        <v>1.0339057703982903</v>
      </c>
      <c r="AK323" s="304">
        <v>1.034525489804379</v>
      </c>
      <c r="AL323" s="305">
        <v>1.0350100120424974</v>
      </c>
      <c r="AM323" s="305">
        <f t="shared" si="4"/>
        <v>1.0350100120424974</v>
      </c>
      <c r="AN323" s="237"/>
    </row>
    <row r="324" spans="1:40" x14ac:dyDescent="0.2">
      <c r="A324" s="353">
        <v>30</v>
      </c>
      <c r="B324" s="307">
        <v>0.97718807683224362</v>
      </c>
      <c r="C324" s="307">
        <v>0.98507272977553662</v>
      </c>
      <c r="D324" s="307">
        <v>0.99082983842486783</v>
      </c>
      <c r="E324" s="307">
        <v>0.99589638671122649</v>
      </c>
      <c r="F324" s="307">
        <v>0.99979569577159288</v>
      </c>
      <c r="G324" s="307">
        <v>1.0030771125294045</v>
      </c>
      <c r="H324" s="307">
        <v>1.0059742217879326</v>
      </c>
      <c r="I324" s="307">
        <v>1.0081942479582693</v>
      </c>
      <c r="J324" s="308">
        <v>1.01</v>
      </c>
      <c r="K324" s="307">
        <v>1.0122045974382741</v>
      </c>
      <c r="L324" s="307">
        <v>1.0140304373765918</v>
      </c>
      <c r="M324" s="307">
        <v>1.0158243509293601</v>
      </c>
      <c r="N324" s="307">
        <v>1.0170416222945686</v>
      </c>
      <c r="O324" s="307">
        <v>1.0184447673095782</v>
      </c>
      <c r="P324" s="307">
        <v>1.0196466593676345</v>
      </c>
      <c r="Q324" s="307">
        <v>1.0207990850398674</v>
      </c>
      <c r="R324" s="307">
        <v>1.021726246570541</v>
      </c>
      <c r="S324" s="308">
        <v>1.022775836879559</v>
      </c>
      <c r="T324" s="307">
        <v>1.0238064575400263</v>
      </c>
      <c r="U324" s="307">
        <v>1.0246710314555145</v>
      </c>
      <c r="V324" s="307">
        <v>1.0255684453617417</v>
      </c>
      <c r="W324" s="307">
        <v>1.0260283603639673</v>
      </c>
      <c r="X324" s="307">
        <v>1.0269324645851428</v>
      </c>
      <c r="Y324" s="307">
        <v>1.0277983858810926</v>
      </c>
      <c r="Z324" s="307">
        <v>1.0286728869722586</v>
      </c>
      <c r="AA324" s="307">
        <v>1.0294808913816902</v>
      </c>
      <c r="AB324" s="308">
        <v>1.029805611897272</v>
      </c>
      <c r="AC324" s="307">
        <v>1.0306480196686649</v>
      </c>
      <c r="AD324" s="307">
        <v>1.0312818123017928</v>
      </c>
      <c r="AE324" s="307">
        <v>1.0318523960871993</v>
      </c>
      <c r="AF324" s="307">
        <v>1.0325630936340522</v>
      </c>
      <c r="AG324" s="307">
        <v>1.033154882237389</v>
      </c>
      <c r="AH324" s="307">
        <v>1.0336333313202313</v>
      </c>
      <c r="AI324" s="307">
        <v>1.034128767049624</v>
      </c>
      <c r="AJ324" s="307">
        <v>1.0346338306990011</v>
      </c>
      <c r="AK324" s="307">
        <v>1.0352349591732435</v>
      </c>
      <c r="AL324" s="308">
        <v>1.035732617282451</v>
      </c>
      <c r="AM324" s="308">
        <f t="shared" si="4"/>
        <v>1.035732617282451</v>
      </c>
      <c r="AN324" s="237"/>
    </row>
    <row r="325" spans="1:40" x14ac:dyDescent="0.2">
      <c r="A325" s="352">
        <v>31</v>
      </c>
      <c r="B325" s="304">
        <v>0.97707743042307593</v>
      </c>
      <c r="C325" s="304">
        <v>0.98508605046467923</v>
      </c>
      <c r="D325" s="304">
        <v>0.99091662676733838</v>
      </c>
      <c r="E325" s="304">
        <v>0.99601458729513748</v>
      </c>
      <c r="F325" s="304">
        <v>0.99993746443257658</v>
      </c>
      <c r="G325" s="304">
        <v>1.0032193119704493</v>
      </c>
      <c r="H325" s="304">
        <v>1.00610864769126</v>
      </c>
      <c r="I325" s="304">
        <v>1.008319757825948</v>
      </c>
      <c r="J325" s="305">
        <v>1.01</v>
      </c>
      <c r="K325" s="304">
        <v>1.0123068993951647</v>
      </c>
      <c r="L325" s="304">
        <v>1.0141298821001232</v>
      </c>
      <c r="M325" s="304">
        <v>1.0159084886361671</v>
      </c>
      <c r="N325" s="304">
        <v>1.0171137476253418</v>
      </c>
      <c r="O325" s="304">
        <v>1.0185040021911922</v>
      </c>
      <c r="P325" s="304">
        <v>1.0197129793452642</v>
      </c>
      <c r="Q325" s="304">
        <v>1.0208475245866779</v>
      </c>
      <c r="R325" s="304">
        <v>1.0217741208968252</v>
      </c>
      <c r="S325" s="305">
        <v>1.0228138702227807</v>
      </c>
      <c r="T325" s="304">
        <v>1.0238266935529512</v>
      </c>
      <c r="U325" s="304">
        <v>1.0246989485391427</v>
      </c>
      <c r="V325" s="304">
        <v>1.025593842087811</v>
      </c>
      <c r="W325" s="304">
        <v>1.0260404471367612</v>
      </c>
      <c r="X325" s="304">
        <v>1.0269326053016292</v>
      </c>
      <c r="Y325" s="304">
        <v>1.0277973177067654</v>
      </c>
      <c r="Z325" s="304">
        <v>1.0286682710781447</v>
      </c>
      <c r="AA325" s="304">
        <v>1.029475378944962</v>
      </c>
      <c r="AB325" s="305">
        <v>1.0297974229606921</v>
      </c>
      <c r="AC325" s="304">
        <v>1.0306336868572599</v>
      </c>
      <c r="AD325" s="304">
        <v>1.0312739557130859</v>
      </c>
      <c r="AE325" s="304">
        <v>1.0318522658957519</v>
      </c>
      <c r="AF325" s="304">
        <v>1.0325479271312905</v>
      </c>
      <c r="AG325" s="304">
        <v>1.0331435715801824</v>
      </c>
      <c r="AH325" s="304">
        <v>1.0336149310983362</v>
      </c>
      <c r="AI325" s="304">
        <v>1.0341183653232091</v>
      </c>
      <c r="AJ325" s="304">
        <v>1.0346499577915873</v>
      </c>
      <c r="AK325" s="304">
        <v>1.0352262968505235</v>
      </c>
      <c r="AL325" s="305">
        <v>1.0357372542249461</v>
      </c>
      <c r="AM325" s="305">
        <f t="shared" si="4"/>
        <v>1.0357372542249461</v>
      </c>
      <c r="AN325" s="237"/>
    </row>
    <row r="326" spans="1:40" x14ac:dyDescent="0.2">
      <c r="A326" s="352">
        <v>32</v>
      </c>
      <c r="B326" s="304">
        <v>0.97710858388865662</v>
      </c>
      <c r="C326" s="304">
        <v>0.98512104961967184</v>
      </c>
      <c r="D326" s="304">
        <v>0.99096332904895235</v>
      </c>
      <c r="E326" s="304">
        <v>0.99606415583152885</v>
      </c>
      <c r="F326" s="304">
        <v>0.99999931743281234</v>
      </c>
      <c r="G326" s="304">
        <v>1.0032813762226476</v>
      </c>
      <c r="H326" s="304">
        <v>1.0061700281448425</v>
      </c>
      <c r="I326" s="304">
        <v>1.0083826965447005</v>
      </c>
      <c r="J326" s="305">
        <v>1.0109257774669047</v>
      </c>
      <c r="K326" s="304">
        <v>1.0129999999999999</v>
      </c>
      <c r="L326" s="304">
        <v>1.0142084060962888</v>
      </c>
      <c r="M326" s="304">
        <v>1.0159866472363348</v>
      </c>
      <c r="N326" s="304">
        <v>1.0171941021204887</v>
      </c>
      <c r="O326" s="304">
        <v>1.0185856482920772</v>
      </c>
      <c r="P326" s="304">
        <v>1.0198162039056879</v>
      </c>
      <c r="Q326" s="304">
        <v>1.0209434895648783</v>
      </c>
      <c r="R326" s="304">
        <v>1.0218825623160319</v>
      </c>
      <c r="S326" s="305">
        <v>1.0229239987028365</v>
      </c>
      <c r="T326" s="304">
        <v>1.0239286327262183</v>
      </c>
      <c r="U326" s="304">
        <v>1.0248185540520705</v>
      </c>
      <c r="V326" s="304">
        <v>1.0257202099065459</v>
      </c>
      <c r="W326" s="304">
        <v>1.0261606329761026</v>
      </c>
      <c r="X326" s="304">
        <v>1.0270489510583953</v>
      </c>
      <c r="Y326" s="304">
        <v>1.0279187482324224</v>
      </c>
      <c r="Z326" s="304">
        <v>1.0287915177428144</v>
      </c>
      <c r="AA326" s="304">
        <v>1.0296030178527642</v>
      </c>
      <c r="AB326" s="305">
        <v>1.0299275051771914</v>
      </c>
      <c r="AC326" s="304">
        <v>1.0307613291550182</v>
      </c>
      <c r="AD326" s="304">
        <v>1.0314120093784038</v>
      </c>
      <c r="AE326" s="304">
        <v>1.0320014777173245</v>
      </c>
      <c r="AF326" s="304">
        <v>1.0326824676716448</v>
      </c>
      <c r="AG326" s="304">
        <v>1.0332845030421987</v>
      </c>
      <c r="AH326" s="304">
        <v>1.0337494747959612</v>
      </c>
      <c r="AI326" s="304">
        <v>1.0342627691249544</v>
      </c>
      <c r="AJ326" s="304">
        <v>1.0348228510131361</v>
      </c>
      <c r="AK326" s="304">
        <v>1.0353714866338177</v>
      </c>
      <c r="AL326" s="305">
        <v>1.0358973593180596</v>
      </c>
      <c r="AM326" s="305">
        <f t="shared" si="4"/>
        <v>1.0358973593180596</v>
      </c>
      <c r="AN326" s="237"/>
    </row>
    <row r="327" spans="1:40" x14ac:dyDescent="0.2">
      <c r="A327" s="352">
        <v>33</v>
      </c>
      <c r="B327" s="304">
        <v>0.97714433477242224</v>
      </c>
      <c r="C327" s="304">
        <v>0.98516022918954049</v>
      </c>
      <c r="D327" s="304">
        <v>0.99101042085967528</v>
      </c>
      <c r="E327" s="304">
        <v>0.99611106278619999</v>
      </c>
      <c r="F327" s="304">
        <v>1.0000548660650885</v>
      </c>
      <c r="G327" s="304">
        <v>1.0033345031448331</v>
      </c>
      <c r="H327" s="304">
        <v>1.0062215185742507</v>
      </c>
      <c r="I327" s="304">
        <v>1.0084352354270285</v>
      </c>
      <c r="J327" s="305">
        <v>1.0109833721704491</v>
      </c>
      <c r="K327" s="304">
        <v>1.0129999999999999</v>
      </c>
      <c r="L327" s="304">
        <v>1.0142808916941095</v>
      </c>
      <c r="M327" s="304">
        <v>1.0160620712759405</v>
      </c>
      <c r="N327" s="304">
        <v>1.0172752442771973</v>
      </c>
      <c r="O327" s="304">
        <v>1.018672655402006</v>
      </c>
      <c r="P327" s="304">
        <v>1.0199307583900108</v>
      </c>
      <c r="Q327" s="304">
        <v>1.0210542467950221</v>
      </c>
      <c r="R327" s="304">
        <v>1.0220127064423969</v>
      </c>
      <c r="S327" s="305">
        <v>1.0230624461697553</v>
      </c>
      <c r="T327" s="304">
        <v>1.0240648059934061</v>
      </c>
      <c r="U327" s="304">
        <v>1.0249797004379126</v>
      </c>
      <c r="V327" s="304">
        <v>1.0258958116563499</v>
      </c>
      <c r="W327" s="304">
        <v>1.0263366788409818</v>
      </c>
      <c r="X327" s="304">
        <v>1.0272296622965014</v>
      </c>
      <c r="Y327" s="304">
        <v>1.0281122095836019</v>
      </c>
      <c r="Z327" s="304">
        <v>1.0289944457856532</v>
      </c>
      <c r="AA327" s="304">
        <v>1.029818729950903</v>
      </c>
      <c r="AB327" s="305">
        <v>1.0301546493659768</v>
      </c>
      <c r="AC327" s="304">
        <v>1.0309944255320671</v>
      </c>
      <c r="AD327" s="304">
        <v>1.0316648141199334</v>
      </c>
      <c r="AE327" s="304">
        <v>1.0322749151400046</v>
      </c>
      <c r="AF327" s="304">
        <v>1.0329484484957843</v>
      </c>
      <c r="AG327" s="304">
        <v>1.033566730544796</v>
      </c>
      <c r="AH327" s="304">
        <v>1.0340340010677322</v>
      </c>
      <c r="AI327" s="304">
        <v>1.0345674805661909</v>
      </c>
      <c r="AJ327" s="304">
        <v>1.0351669656536227</v>
      </c>
      <c r="AK327" s="304">
        <v>1.0356946971284511</v>
      </c>
      <c r="AL327" s="305">
        <v>1.0362470374841337</v>
      </c>
      <c r="AM327" s="305">
        <f t="shared" si="4"/>
        <v>1.0362470374841337</v>
      </c>
      <c r="AN327" s="237"/>
    </row>
    <row r="328" spans="1:40" x14ac:dyDescent="0.2">
      <c r="A328" s="352">
        <v>34</v>
      </c>
      <c r="B328" s="304">
        <v>0.97714401285203889</v>
      </c>
      <c r="C328" s="304">
        <v>0.98523106826358409</v>
      </c>
      <c r="D328" s="304">
        <v>0.99111087488490901</v>
      </c>
      <c r="E328" s="304">
        <v>0.99621224409265174</v>
      </c>
      <c r="F328" s="304">
        <v>1.000153882693315</v>
      </c>
      <c r="G328" s="304">
        <v>1.003415581214794</v>
      </c>
      <c r="H328" s="304">
        <v>1.0062843880330821</v>
      </c>
      <c r="I328" s="304">
        <v>1.0084820630381821</v>
      </c>
      <c r="J328" s="305">
        <v>1.0110191392256977</v>
      </c>
      <c r="K328" s="304">
        <v>1.0129999999999999</v>
      </c>
      <c r="L328" s="304">
        <v>1.0143047048883567</v>
      </c>
      <c r="M328" s="304">
        <v>1.0160784108041832</v>
      </c>
      <c r="N328" s="304">
        <v>1.0172884025842177</v>
      </c>
      <c r="O328" s="304">
        <v>1.0186851423285979</v>
      </c>
      <c r="P328" s="304">
        <v>1.0199669017604591</v>
      </c>
      <c r="Q328" s="304">
        <v>1.0210816516219521</v>
      </c>
      <c r="R328" s="304">
        <v>1.022059099371404</v>
      </c>
      <c r="S328" s="305">
        <v>1.0231176917368532</v>
      </c>
      <c r="T328" s="304">
        <v>1.024118840309836</v>
      </c>
      <c r="U328" s="304">
        <v>1.0250621692337911</v>
      </c>
      <c r="V328" s="304">
        <v>1.0259976383050442</v>
      </c>
      <c r="W328" s="304">
        <v>1.0264438303387227</v>
      </c>
      <c r="X328" s="304">
        <v>1.0273490961834082</v>
      </c>
      <c r="Y328" s="304">
        <v>1.0282520898013656</v>
      </c>
      <c r="Z328" s="304">
        <v>1.0291523299825309</v>
      </c>
      <c r="AA328" s="304">
        <v>1.0299994361849789</v>
      </c>
      <c r="AB328" s="305">
        <v>1.0303581327914333</v>
      </c>
      <c r="AC328" s="304">
        <v>1.031215363891874</v>
      </c>
      <c r="AD328" s="304">
        <v>1.0319184858501305</v>
      </c>
      <c r="AE328" s="304">
        <v>1.0325630444846923</v>
      </c>
      <c r="AF328" s="304">
        <v>1.0332414238417935</v>
      </c>
      <c r="AG328" s="304">
        <v>1.0338913191485868</v>
      </c>
      <c r="AH328" s="304">
        <v>1.0343756892069218</v>
      </c>
      <c r="AI328" s="304">
        <v>1.0349462211259</v>
      </c>
      <c r="AJ328" s="304">
        <v>1.0356030057173329</v>
      </c>
      <c r="AK328" s="304">
        <v>1.0361243074391289</v>
      </c>
      <c r="AL328" s="305">
        <v>1.036722530173094</v>
      </c>
      <c r="AM328" s="305">
        <f t="shared" si="4"/>
        <v>1.036722530173094</v>
      </c>
      <c r="AN328" s="237"/>
    </row>
    <row r="329" spans="1:40" x14ac:dyDescent="0.2">
      <c r="A329" s="353">
        <v>35</v>
      </c>
      <c r="B329" s="307">
        <v>0.97717754284147496</v>
      </c>
      <c r="C329" s="307">
        <v>0.98522851257273469</v>
      </c>
      <c r="D329" s="307">
        <v>0.991155325348687</v>
      </c>
      <c r="E329" s="307">
        <v>0.99632855755979777</v>
      </c>
      <c r="F329" s="307">
        <v>1.0003577918660411</v>
      </c>
      <c r="G329" s="307">
        <v>1.0036951073809701</v>
      </c>
      <c r="H329" s="307">
        <v>1.0066355752245608</v>
      </c>
      <c r="I329" s="307">
        <v>1.0088983059987096</v>
      </c>
      <c r="J329" s="308">
        <v>1.0114953692016009</v>
      </c>
      <c r="K329" s="307">
        <v>1.0129775496619593</v>
      </c>
      <c r="L329" s="307">
        <v>1.0148795075993733</v>
      </c>
      <c r="M329" s="307">
        <v>1.0166854491467172</v>
      </c>
      <c r="N329" s="307">
        <v>1.0179216451039066</v>
      </c>
      <c r="O329" s="307">
        <v>1.0193382021206689</v>
      </c>
      <c r="P329" s="307">
        <v>1.0206560962805498</v>
      </c>
      <c r="Q329" s="307">
        <v>1.0217637662263881</v>
      </c>
      <c r="R329" s="307">
        <v>1.0227569896482565</v>
      </c>
      <c r="S329" s="308">
        <v>1.0238135735914708</v>
      </c>
      <c r="T329" s="307">
        <v>1.0247951874134285</v>
      </c>
      <c r="U329" s="307">
        <v>1.0257434689898941</v>
      </c>
      <c r="V329" s="307">
        <v>1.0266693114780001</v>
      </c>
      <c r="W329" s="307">
        <v>1.0270854068109916</v>
      </c>
      <c r="X329" s="307">
        <v>1.0279641712118055</v>
      </c>
      <c r="Y329" s="307">
        <v>1.0288433299769006</v>
      </c>
      <c r="Z329" s="307">
        <v>1.0297129213221932</v>
      </c>
      <c r="AA329" s="307">
        <v>1.0305307898787932</v>
      </c>
      <c r="AB329" s="308">
        <v>1.0308569241678898</v>
      </c>
      <c r="AC329" s="307">
        <v>1.0316722186819067</v>
      </c>
      <c r="AD329" s="307">
        <v>1.0323461813567063</v>
      </c>
      <c r="AE329" s="307">
        <v>1.0329603763795596</v>
      </c>
      <c r="AF329" s="307">
        <v>1.0335739051935522</v>
      </c>
      <c r="AG329" s="307">
        <v>1.03418538399215</v>
      </c>
      <c r="AH329" s="307">
        <v>1.0346132619855268</v>
      </c>
      <c r="AI329" s="307">
        <v>1.0351463751383283</v>
      </c>
      <c r="AJ329" s="307">
        <v>1.0357842850397101</v>
      </c>
      <c r="AK329" s="307">
        <v>1.0362172508846414</v>
      </c>
      <c r="AL329" s="308">
        <v>1.0367817790083169</v>
      </c>
      <c r="AM329" s="308">
        <f t="shared" si="4"/>
        <v>1.0367817790083169</v>
      </c>
      <c r="AN329" s="237"/>
    </row>
    <row r="330" spans="1:40" x14ac:dyDescent="0.2">
      <c r="A330" s="352">
        <v>36</v>
      </c>
      <c r="B330" s="304">
        <v>0.97765018640154788</v>
      </c>
      <c r="C330" s="304">
        <v>0.98551132985142953</v>
      </c>
      <c r="D330" s="304">
        <v>0.99133190116392211</v>
      </c>
      <c r="E330" s="304">
        <v>0.9964389727963654</v>
      </c>
      <c r="F330" s="304">
        <v>1.0004345040454852</v>
      </c>
      <c r="G330" s="304">
        <v>1.0037440788503793</v>
      </c>
      <c r="H330" s="304">
        <v>1.0066700885843685</v>
      </c>
      <c r="I330" s="304">
        <v>1.0089263344928645</v>
      </c>
      <c r="J330" s="305">
        <v>1.0109999999999999</v>
      </c>
      <c r="K330" s="304">
        <v>1.0130090136339898</v>
      </c>
      <c r="L330" s="304">
        <v>1.0149273725023393</v>
      </c>
      <c r="M330" s="304">
        <v>1.016740319490899</v>
      </c>
      <c r="N330" s="304">
        <v>1.0179856156161502</v>
      </c>
      <c r="O330" s="304">
        <v>1.0194129464680848</v>
      </c>
      <c r="P330" s="304">
        <v>1.020765447692018</v>
      </c>
      <c r="Q330" s="304">
        <v>1.0218681341842415</v>
      </c>
      <c r="R330" s="304">
        <v>1.0228873398928626</v>
      </c>
      <c r="S330" s="305">
        <v>1.0239565538735516</v>
      </c>
      <c r="T330" s="304">
        <v>1.0249369325267308</v>
      </c>
      <c r="U330" s="304">
        <v>1.0259134143078557</v>
      </c>
      <c r="V330" s="304">
        <v>1.0268567566428222</v>
      </c>
      <c r="W330" s="304">
        <v>1.0272721383004666</v>
      </c>
      <c r="X330" s="304">
        <v>1.0281583248242936</v>
      </c>
      <c r="Y330" s="304">
        <v>1.0290494765258567</v>
      </c>
      <c r="Z330" s="304">
        <v>1.0299267056763379</v>
      </c>
      <c r="AA330" s="304">
        <v>1.0307565000313987</v>
      </c>
      <c r="AB330" s="305">
        <v>1.0310937765243837</v>
      </c>
      <c r="AC330" s="304">
        <v>1.0319122575443951</v>
      </c>
      <c r="AD330" s="304">
        <v>1.0326046839413228</v>
      </c>
      <c r="AE330" s="304">
        <v>1.0332378932614434</v>
      </c>
      <c r="AF330" s="304">
        <v>1.0338355610123013</v>
      </c>
      <c r="AG330" s="304">
        <v>1.0344612208567774</v>
      </c>
      <c r="AH330" s="304">
        <v>1.0348854934270184</v>
      </c>
      <c r="AI330" s="304">
        <v>1.0354366602045535</v>
      </c>
      <c r="AJ330" s="304">
        <v>1.0361127327761146</v>
      </c>
      <c r="AK330" s="304">
        <v>1.0365119603491832</v>
      </c>
      <c r="AL330" s="305">
        <v>1.0371023853867429</v>
      </c>
      <c r="AM330" s="305">
        <f t="shared" si="4"/>
        <v>1.0371023853867429</v>
      </c>
      <c r="AN330" s="237"/>
    </row>
    <row r="331" spans="1:40" x14ac:dyDescent="0.2">
      <c r="A331" s="352">
        <v>37</v>
      </c>
      <c r="B331" s="304">
        <v>0.97764104006336972</v>
      </c>
      <c r="C331" s="304">
        <v>0.98568350048847586</v>
      </c>
      <c r="D331" s="304">
        <v>0.99157983934023242</v>
      </c>
      <c r="E331" s="304">
        <v>0.99670457867432982</v>
      </c>
      <c r="F331" s="304">
        <v>1.0006944836401557</v>
      </c>
      <c r="G331" s="304">
        <v>1.0039736539767685</v>
      </c>
      <c r="H331" s="304">
        <v>1.0068658690286509</v>
      </c>
      <c r="I331" s="304">
        <v>1.0090866419612472</v>
      </c>
      <c r="J331" s="305">
        <v>1.0109999999999999</v>
      </c>
      <c r="K331" s="304">
        <v>1.0131055743585544</v>
      </c>
      <c r="L331" s="304">
        <v>1.0150070613373665</v>
      </c>
      <c r="M331" s="304">
        <v>1.016796024225685</v>
      </c>
      <c r="N331" s="304">
        <v>1.01802182346894</v>
      </c>
      <c r="O331" s="304">
        <v>1.0194349748305154</v>
      </c>
      <c r="P331" s="304">
        <v>1.0208012134327298</v>
      </c>
      <c r="Q331" s="304">
        <v>1.0218792194145228</v>
      </c>
      <c r="R331" s="304">
        <v>1.0229107211542749</v>
      </c>
      <c r="S331" s="305">
        <v>1.0239818637708291</v>
      </c>
      <c r="T331" s="304">
        <v>1.0249529267096715</v>
      </c>
      <c r="U331" s="304">
        <v>1.0259536267120686</v>
      </c>
      <c r="V331" s="304">
        <v>1.0269138376695686</v>
      </c>
      <c r="W331" s="304">
        <v>1.0273298470220029</v>
      </c>
      <c r="X331" s="304">
        <v>1.028229095328042</v>
      </c>
      <c r="Y331" s="304">
        <v>1.0291397722130471</v>
      </c>
      <c r="Z331" s="304">
        <v>1.0300347037612434</v>
      </c>
      <c r="AA331" s="304">
        <v>1.0308894838665064</v>
      </c>
      <c r="AB331" s="305">
        <v>1.0312536892176332</v>
      </c>
      <c r="AC331" s="304">
        <v>1.0320928672365173</v>
      </c>
      <c r="AD331" s="304">
        <v>1.0328240395169379</v>
      </c>
      <c r="AE331" s="304">
        <v>1.0334986409802229</v>
      </c>
      <c r="AF331" s="304">
        <v>1.0341029249040732</v>
      </c>
      <c r="AG331" s="304">
        <v>1.0347691300475104</v>
      </c>
      <c r="AH331" s="304">
        <v>1.0352169195735081</v>
      </c>
      <c r="AI331" s="304">
        <v>1.0358162054084046</v>
      </c>
      <c r="AJ331" s="304">
        <v>1.0365624735798808</v>
      </c>
      <c r="AK331" s="304">
        <v>1.0369581898943139</v>
      </c>
      <c r="AL331" s="305">
        <v>1.0376099694166412</v>
      </c>
      <c r="AM331" s="305">
        <f t="shared" si="4"/>
        <v>1.0376099694166412</v>
      </c>
      <c r="AN331" s="237"/>
    </row>
    <row r="332" spans="1:40" x14ac:dyDescent="0.2">
      <c r="A332" s="352">
        <v>38</v>
      </c>
      <c r="B332" s="304">
        <v>0.97767502214487689</v>
      </c>
      <c r="C332" s="304">
        <v>0.98572231874054839</v>
      </c>
      <c r="D332" s="304">
        <v>0.99162817198516684</v>
      </c>
      <c r="E332" s="304">
        <v>0.996759481881762</v>
      </c>
      <c r="F332" s="304">
        <v>1.0007588434010877</v>
      </c>
      <c r="G332" s="304">
        <v>1.0040358960544125</v>
      </c>
      <c r="H332" s="304">
        <v>1.0069285456137684</v>
      </c>
      <c r="I332" s="304">
        <v>1.0091486583732343</v>
      </c>
      <c r="J332" s="305">
        <v>1.0109999999999999</v>
      </c>
      <c r="K332" s="304">
        <v>1.0131682110145339</v>
      </c>
      <c r="L332" s="304">
        <v>1.0150801304561177</v>
      </c>
      <c r="M332" s="304">
        <v>1.0168687519211206</v>
      </c>
      <c r="N332" s="304">
        <v>1.0180942753580589</v>
      </c>
      <c r="O332" s="304">
        <v>1.0195088385493625</v>
      </c>
      <c r="P332" s="304">
        <v>1.020901032526377</v>
      </c>
      <c r="Q332" s="304">
        <v>1.0219605035447867</v>
      </c>
      <c r="R332" s="304">
        <v>1.0230091157479566</v>
      </c>
      <c r="S332" s="305">
        <v>1.0240830265786911</v>
      </c>
      <c r="T332" s="304">
        <v>1.0250415631128131</v>
      </c>
      <c r="U332" s="304">
        <v>1.0260608831997011</v>
      </c>
      <c r="V332" s="304">
        <v>1.027029598910937</v>
      </c>
      <c r="W332" s="304">
        <v>1.0274340765086125</v>
      </c>
      <c r="X332" s="304">
        <v>1.028332942825164</v>
      </c>
      <c r="Y332" s="304">
        <v>1.0292463976568906</v>
      </c>
      <c r="Z332" s="304">
        <v>1.0301398789622351</v>
      </c>
      <c r="AA332" s="304">
        <v>1.0309987792480757</v>
      </c>
      <c r="AB332" s="305">
        <v>1.0313673190045085</v>
      </c>
      <c r="AC332" s="304">
        <v>1.0322021667559647</v>
      </c>
      <c r="AD332" s="304">
        <v>1.0329458273988863</v>
      </c>
      <c r="AE332" s="304">
        <v>1.0336339028670303</v>
      </c>
      <c r="AF332" s="304">
        <v>1.0342135404674453</v>
      </c>
      <c r="AG332" s="304">
        <v>1.0348894460093496</v>
      </c>
      <c r="AH332" s="304">
        <v>1.0353275378128104</v>
      </c>
      <c r="AI332" s="304">
        <v>1.0359415943463199</v>
      </c>
      <c r="AJ332" s="304">
        <v>1.0367237940776648</v>
      </c>
      <c r="AK332" s="304">
        <v>1.0370774055550034</v>
      </c>
      <c r="AL332" s="305">
        <v>1.0377544164721515</v>
      </c>
      <c r="AM332" s="305">
        <f t="shared" si="4"/>
        <v>1.0377544164721515</v>
      </c>
      <c r="AN332" s="237"/>
    </row>
    <row r="333" spans="1:40" x14ac:dyDescent="0.2">
      <c r="A333" s="352">
        <v>39</v>
      </c>
      <c r="B333" s="304">
        <v>0.97770959077383357</v>
      </c>
      <c r="C333" s="304">
        <v>0.98576189588450924</v>
      </c>
      <c r="D333" s="304">
        <v>0.9916769722692671</v>
      </c>
      <c r="E333" s="304">
        <v>0.9968154058137022</v>
      </c>
      <c r="F333" s="304">
        <v>1.0008238223159596</v>
      </c>
      <c r="G333" s="304">
        <v>1.0040984579137979</v>
      </c>
      <c r="H333" s="304">
        <v>1.0069917373369373</v>
      </c>
      <c r="I333" s="304">
        <v>1.0092108800627912</v>
      </c>
      <c r="J333" s="305">
        <v>1.0117828238989404</v>
      </c>
      <c r="K333" s="304">
        <v>1.014</v>
      </c>
      <c r="L333" s="304">
        <v>1.0151527962379245</v>
      </c>
      <c r="M333" s="304">
        <v>1.0169411017697914</v>
      </c>
      <c r="N333" s="304">
        <v>1.0181659993899741</v>
      </c>
      <c r="O333" s="304">
        <v>1.0195820178835149</v>
      </c>
      <c r="P333" s="304">
        <v>1.0210007432537758</v>
      </c>
      <c r="Q333" s="304">
        <v>1.0220401146987226</v>
      </c>
      <c r="R333" s="304">
        <v>1.0231064714239093</v>
      </c>
      <c r="S333" s="305">
        <v>1.0241833056346668</v>
      </c>
      <c r="T333" s="304">
        <v>1.0251287491006713</v>
      </c>
      <c r="U333" s="304">
        <v>1.0261667807435595</v>
      </c>
      <c r="V333" s="304">
        <v>1.0271442540534879</v>
      </c>
      <c r="W333" s="304">
        <v>1.0275364565230416</v>
      </c>
      <c r="X333" s="304">
        <v>1.0284354416502757</v>
      </c>
      <c r="Y333" s="304">
        <v>1.0293513383290336</v>
      </c>
      <c r="Z333" s="304">
        <v>1.0302429282026657</v>
      </c>
      <c r="AA333" s="304">
        <v>1.0311059241268887</v>
      </c>
      <c r="AB333" s="305">
        <v>1.0314790466870143</v>
      </c>
      <c r="AC333" s="304">
        <v>1.0323093158616616</v>
      </c>
      <c r="AD333" s="304">
        <v>1.0330657434561621</v>
      </c>
      <c r="AE333" s="304">
        <v>1.0337675928757724</v>
      </c>
      <c r="AF333" s="304">
        <v>1.0343212269672604</v>
      </c>
      <c r="AG333" s="304">
        <v>1.0350072872432357</v>
      </c>
      <c r="AH333" s="304">
        <v>1.0354352269069369</v>
      </c>
      <c r="AI333" s="304">
        <v>1.0360647366042754</v>
      </c>
      <c r="AJ333" s="304">
        <v>1.0368838644044001</v>
      </c>
      <c r="AK333" s="304">
        <v>1.0371933945044518</v>
      </c>
      <c r="AL333" s="305">
        <v>1.0378970674696451</v>
      </c>
      <c r="AM333" s="305">
        <f t="shared" si="4"/>
        <v>1.0378970674696451</v>
      </c>
      <c r="AN333" s="237"/>
    </row>
    <row r="334" spans="1:40" ht="13.5" thickBot="1" x14ac:dyDescent="0.25">
      <c r="A334" s="354">
        <v>40</v>
      </c>
      <c r="B334" s="310">
        <v>0.97787764073276384</v>
      </c>
      <c r="C334" s="310">
        <v>0.98591274713903698</v>
      </c>
      <c r="D334" s="310">
        <v>0.99181661667281174</v>
      </c>
      <c r="E334" s="310">
        <v>0.99694508243945146</v>
      </c>
      <c r="F334" s="310">
        <v>1.0009469291483772</v>
      </c>
      <c r="G334" s="310">
        <v>1.0042057573807228</v>
      </c>
      <c r="H334" s="310">
        <v>1.0070886159701735</v>
      </c>
      <c r="I334" s="310">
        <v>1.0092968732587453</v>
      </c>
      <c r="J334" s="311">
        <v>1.0118622077307657</v>
      </c>
      <c r="K334" s="310">
        <v>1.014</v>
      </c>
      <c r="L334" s="310">
        <v>1.0152276081134615</v>
      </c>
      <c r="M334" s="310">
        <v>1.017010703055232</v>
      </c>
      <c r="N334" s="310">
        <v>1.0182305629001402</v>
      </c>
      <c r="O334" s="310">
        <v>1.0196447585425532</v>
      </c>
      <c r="P334" s="310">
        <v>1.0210879010821103</v>
      </c>
      <c r="Q334" s="310">
        <v>1.0221036314948884</v>
      </c>
      <c r="R334" s="310">
        <v>1.0231868199081986</v>
      </c>
      <c r="S334" s="311">
        <v>1.0242656997138644</v>
      </c>
      <c r="T334" s="310">
        <v>1.0251969332571997</v>
      </c>
      <c r="U334" s="310">
        <v>1.026253567490333</v>
      </c>
      <c r="V334" s="310">
        <v>1.0272402183681413</v>
      </c>
      <c r="W334" s="310">
        <v>1.0276199474949175</v>
      </c>
      <c r="X334" s="310">
        <v>1.0285203444957789</v>
      </c>
      <c r="Y334" s="310">
        <v>1.0294394491820138</v>
      </c>
      <c r="Z334" s="310">
        <v>1.0303300750117843</v>
      </c>
      <c r="AA334" s="310">
        <v>1.0311987248429508</v>
      </c>
      <c r="AB334" s="311">
        <v>1.0315784581981786</v>
      </c>
      <c r="AC334" s="310">
        <v>1.0324059100291945</v>
      </c>
      <c r="AD334" s="310">
        <v>1.0331775455323928</v>
      </c>
      <c r="AE334" s="310">
        <v>1.033895798153019</v>
      </c>
      <c r="AF334" s="310">
        <v>1.0344246515340667</v>
      </c>
      <c r="AG334" s="310">
        <v>1.0351239513242378</v>
      </c>
      <c r="AH334" s="310">
        <v>1.0355440983188049</v>
      </c>
      <c r="AI334" s="310">
        <v>1.0361926273663848</v>
      </c>
      <c r="AJ334" s="310">
        <v>1.0370526574309191</v>
      </c>
      <c r="AK334" s="310">
        <v>1.0373193774538749</v>
      </c>
      <c r="AL334" s="311">
        <v>1.0380543207670954</v>
      </c>
      <c r="AM334" s="311">
        <f t="shared" si="4"/>
        <v>1.0380543207670954</v>
      </c>
      <c r="AN334" s="237"/>
    </row>
    <row r="335" spans="1:40" ht="14.25" thickTop="1" thickBot="1" x14ac:dyDescent="0.25">
      <c r="A335" s="354">
        <f>A334+0.001</f>
        <v>40.000999999999998</v>
      </c>
      <c r="B335" s="310">
        <f>B334</f>
        <v>0.97787764073276384</v>
      </c>
      <c r="C335" s="310">
        <f t="shared" ref="C335:AL335" si="5">C334</f>
        <v>0.98591274713903698</v>
      </c>
      <c r="D335" s="310">
        <f t="shared" si="5"/>
        <v>0.99181661667281174</v>
      </c>
      <c r="E335" s="310">
        <f t="shared" si="5"/>
        <v>0.99694508243945146</v>
      </c>
      <c r="F335" s="310">
        <f t="shared" si="5"/>
        <v>1.0009469291483772</v>
      </c>
      <c r="G335" s="310">
        <f t="shared" si="5"/>
        <v>1.0042057573807228</v>
      </c>
      <c r="H335" s="310">
        <f t="shared" si="5"/>
        <v>1.0070886159701735</v>
      </c>
      <c r="I335" s="310">
        <f t="shared" si="5"/>
        <v>1.0092968732587453</v>
      </c>
      <c r="J335" s="311">
        <f t="shared" si="5"/>
        <v>1.0118622077307657</v>
      </c>
      <c r="K335" s="310">
        <f t="shared" si="5"/>
        <v>1.014</v>
      </c>
      <c r="L335" s="310">
        <f t="shared" si="5"/>
        <v>1.0152276081134615</v>
      </c>
      <c r="M335" s="310">
        <f t="shared" si="5"/>
        <v>1.017010703055232</v>
      </c>
      <c r="N335" s="310">
        <f t="shared" si="5"/>
        <v>1.0182305629001402</v>
      </c>
      <c r="O335" s="310">
        <f t="shared" si="5"/>
        <v>1.0196447585425532</v>
      </c>
      <c r="P335" s="310">
        <f t="shared" si="5"/>
        <v>1.0210879010821103</v>
      </c>
      <c r="Q335" s="310">
        <f t="shared" si="5"/>
        <v>1.0221036314948884</v>
      </c>
      <c r="R335" s="310">
        <f t="shared" si="5"/>
        <v>1.0231868199081986</v>
      </c>
      <c r="S335" s="311">
        <f t="shared" si="5"/>
        <v>1.0242656997138644</v>
      </c>
      <c r="T335" s="310">
        <f t="shared" si="5"/>
        <v>1.0251969332571997</v>
      </c>
      <c r="U335" s="310">
        <f t="shared" si="5"/>
        <v>1.026253567490333</v>
      </c>
      <c r="V335" s="310">
        <f t="shared" si="5"/>
        <v>1.0272402183681413</v>
      </c>
      <c r="W335" s="310">
        <f t="shared" si="5"/>
        <v>1.0276199474949175</v>
      </c>
      <c r="X335" s="310">
        <f t="shared" si="5"/>
        <v>1.0285203444957789</v>
      </c>
      <c r="Y335" s="310">
        <f t="shared" si="5"/>
        <v>1.0294394491820138</v>
      </c>
      <c r="Z335" s="310">
        <f t="shared" si="5"/>
        <v>1.0303300750117843</v>
      </c>
      <c r="AA335" s="310">
        <f t="shared" si="5"/>
        <v>1.0311987248429508</v>
      </c>
      <c r="AB335" s="311">
        <f t="shared" si="5"/>
        <v>1.0315784581981786</v>
      </c>
      <c r="AC335" s="310">
        <f t="shared" si="5"/>
        <v>1.0324059100291945</v>
      </c>
      <c r="AD335" s="310">
        <f t="shared" si="5"/>
        <v>1.0331775455323928</v>
      </c>
      <c r="AE335" s="310">
        <f t="shared" si="5"/>
        <v>1.033895798153019</v>
      </c>
      <c r="AF335" s="310">
        <f t="shared" si="5"/>
        <v>1.0344246515340667</v>
      </c>
      <c r="AG335" s="310">
        <f t="shared" si="5"/>
        <v>1.0351239513242378</v>
      </c>
      <c r="AH335" s="310">
        <f t="shared" si="5"/>
        <v>1.0355440983188049</v>
      </c>
      <c r="AI335" s="310">
        <f t="shared" si="5"/>
        <v>1.0361926273663848</v>
      </c>
      <c r="AJ335" s="310">
        <f t="shared" si="5"/>
        <v>1.0370526574309191</v>
      </c>
      <c r="AK335" s="310">
        <f t="shared" si="5"/>
        <v>1.0373193774538749</v>
      </c>
      <c r="AL335" s="311">
        <f t="shared" si="5"/>
        <v>1.0380543207670954</v>
      </c>
      <c r="AM335" s="311">
        <f>AL334</f>
        <v>1.0380543207670954</v>
      </c>
      <c r="AN335" s="237"/>
    </row>
    <row r="336" spans="1:40" ht="14.25" thickTop="1" thickBot="1" x14ac:dyDescent="0.25">
      <c r="A336" s="312"/>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c r="AA336" s="313"/>
      <c r="AB336" s="313"/>
      <c r="AC336" s="313"/>
      <c r="AD336" s="313"/>
      <c r="AE336" s="313"/>
      <c r="AF336" s="313"/>
      <c r="AG336" s="313"/>
      <c r="AH336" s="313"/>
      <c r="AI336" s="313"/>
      <c r="AJ336" s="313"/>
      <c r="AK336" s="313"/>
      <c r="AL336" s="313"/>
      <c r="AM336" s="313"/>
      <c r="AN336" s="314"/>
    </row>
    <row r="337" ht="13.5" thickTop="1" x14ac:dyDescent="0.2"/>
  </sheetData>
  <mergeCells count="10">
    <mergeCell ref="A3:D3"/>
    <mergeCell ref="A234:D234"/>
    <mergeCell ref="A295:D295"/>
    <mergeCell ref="B296:J296"/>
    <mergeCell ref="A128:F128"/>
    <mergeCell ref="A27:D27"/>
    <mergeCell ref="B85:J85"/>
    <mergeCell ref="A84:D84"/>
    <mergeCell ref="A19:D19"/>
    <mergeCell ref="A15:D15"/>
  </mergeCells>
  <phoneticPr fontId="0" type="noConversion"/>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34"/>
  <sheetViews>
    <sheetView showGridLines="0" zoomScale="98" zoomScaleNormal="98" zoomScaleSheetLayoutView="75" workbookViewId="0">
      <selection activeCell="F34" sqref="F34"/>
    </sheetView>
  </sheetViews>
  <sheetFormatPr defaultRowHeight="12.75" x14ac:dyDescent="0.2"/>
  <cols>
    <col min="1" max="1" width="9.42578125" style="65" customWidth="1"/>
    <col min="2" max="2" width="10.7109375" style="65" customWidth="1"/>
    <col min="3" max="6" width="18.7109375" style="65" customWidth="1"/>
    <col min="7" max="7" width="2" style="65" customWidth="1"/>
    <col min="8" max="16384" width="9.140625" style="65"/>
  </cols>
  <sheetData>
    <row r="1" spans="1:13" ht="25.15" customHeight="1" x14ac:dyDescent="0.2">
      <c r="A1" s="580" t="s">
        <v>164</v>
      </c>
      <c r="B1" s="581"/>
      <c r="C1" s="581"/>
      <c r="D1" s="581"/>
      <c r="E1" s="581"/>
      <c r="F1" s="582"/>
      <c r="G1" s="140"/>
      <c r="H1" s="141"/>
      <c r="I1" s="141"/>
      <c r="J1" s="141"/>
      <c r="K1" s="141"/>
      <c r="L1" s="141"/>
      <c r="M1" s="141"/>
    </row>
    <row r="2" spans="1:13" ht="19.149999999999999" customHeight="1" x14ac:dyDescent="0.2">
      <c r="A2" s="583" t="s">
        <v>165</v>
      </c>
      <c r="B2" s="584"/>
      <c r="C2" s="584"/>
      <c r="D2" s="584"/>
      <c r="E2" s="584"/>
      <c r="F2" s="585"/>
      <c r="G2" s="142"/>
      <c r="H2" s="143"/>
      <c r="I2" s="143"/>
      <c r="J2" s="143"/>
      <c r="K2" s="143"/>
      <c r="L2" s="143"/>
      <c r="M2" s="143"/>
    </row>
    <row r="3" spans="1:13" ht="15.75" x14ac:dyDescent="0.25">
      <c r="A3" s="591" t="s">
        <v>0</v>
      </c>
      <c r="B3" s="592"/>
      <c r="C3" s="144">
        <f>'Data Entry'!$C$1</f>
        <v>0</v>
      </c>
      <c r="D3" s="593" t="str">
        <f>IF('Data Calculations'!B83,"Extended Distance","")</f>
        <v/>
      </c>
      <c r="E3" s="593"/>
      <c r="F3" s="146"/>
      <c r="G3" s="147"/>
      <c r="I3" s="34"/>
    </row>
    <row r="4" spans="1:13" ht="15.75" x14ac:dyDescent="0.25">
      <c r="A4" s="591" t="s">
        <v>1</v>
      </c>
      <c r="B4" s="592"/>
      <c r="C4" s="148">
        <f>'Data Entry'!C2</f>
        <v>0</v>
      </c>
      <c r="D4" s="453" t="str">
        <f>IF('Data Calculations'!B179,"Shielding","")</f>
        <v/>
      </c>
      <c r="E4" s="145" t="str">
        <f>IF('Data Calculations'!B94,"Bolus","")</f>
        <v/>
      </c>
      <c r="F4" s="150"/>
      <c r="G4" s="147"/>
      <c r="I4" s="34"/>
    </row>
    <row r="5" spans="1:13" ht="15.75" x14ac:dyDescent="0.25">
      <c r="A5" s="596" t="s">
        <v>2</v>
      </c>
      <c r="B5" s="597"/>
      <c r="C5" s="597"/>
      <c r="D5" s="151" t="str">
        <f>CONCATENATE(TEXT('Data Entry'!C4,"0.#")," / ",TEXT('Data Entry'!C5,0))</f>
        <v>0. / 0</v>
      </c>
      <c r="E5" s="149"/>
      <c r="F5" s="150"/>
      <c r="G5" s="147"/>
      <c r="I5" s="34"/>
    </row>
    <row r="6" spans="1:13" ht="18.75" thickBot="1" x14ac:dyDescent="0.3">
      <c r="A6" s="594" t="s">
        <v>162</v>
      </c>
      <c r="B6" s="595"/>
      <c r="C6" s="152">
        <f>'Data Entry'!C3</f>
        <v>0</v>
      </c>
      <c r="D6" s="587" t="str">
        <f ca="1">IF('Data Calculations'!C228,"","DATA ERROR!!!")</f>
        <v/>
      </c>
      <c r="E6" s="587"/>
      <c r="F6" s="153"/>
      <c r="G6" s="147"/>
      <c r="I6" s="34"/>
    </row>
    <row r="7" spans="1:13" ht="13.5" thickBot="1" x14ac:dyDescent="0.25">
      <c r="A7" s="579" t="s">
        <v>160</v>
      </c>
      <c r="B7" s="579"/>
      <c r="C7" s="415">
        <f>'Data Entry'!C$8</f>
        <v>0</v>
      </c>
      <c r="D7" s="416">
        <f>'Data Entry'!D$8</f>
        <v>0</v>
      </c>
      <c r="E7" s="416">
        <f>'Data Entry'!E$8</f>
        <v>0</v>
      </c>
      <c r="F7" s="417">
        <f>'Data Entry'!F$8</f>
        <v>0</v>
      </c>
      <c r="G7" s="1"/>
    </row>
    <row r="8" spans="1:13" ht="13.5" thickTop="1" x14ac:dyDescent="0.2">
      <c r="A8" s="590" t="s">
        <v>14</v>
      </c>
      <c r="B8" s="590"/>
      <c r="C8" s="418" t="e">
        <f>'Data Entry'!C$9*100</f>
        <v>#VALUE!</v>
      </c>
      <c r="D8" s="419" t="e">
        <f>'Data Entry'!D$9*100</f>
        <v>#VALUE!</v>
      </c>
      <c r="E8" s="419" t="e">
        <f>'Data Entry'!E$9*100</f>
        <v>#VALUE!</v>
      </c>
      <c r="F8" s="420" t="e">
        <f>'Data Entry'!F$9*100</f>
        <v>#VALUE!</v>
      </c>
      <c r="G8" s="1"/>
      <c r="I8" s="34"/>
    </row>
    <row r="9" spans="1:13" x14ac:dyDescent="0.2">
      <c r="A9" s="569" t="s">
        <v>155</v>
      </c>
      <c r="B9" s="569"/>
      <c r="C9" s="421" t="str">
        <f>'Data Entry'!C10</f>
        <v/>
      </c>
      <c r="D9" s="93" t="str">
        <f>'Data Entry'!D10</f>
        <v/>
      </c>
      <c r="E9" s="93" t="str">
        <f>'Data Entry'!E10</f>
        <v/>
      </c>
      <c r="F9" s="422" t="str">
        <f>'Data Entry'!F10</f>
        <v/>
      </c>
      <c r="G9" s="1"/>
    </row>
    <row r="10" spans="1:13" x14ac:dyDescent="0.2">
      <c r="A10" s="569" t="s">
        <v>150</v>
      </c>
      <c r="B10" s="569"/>
      <c r="C10" s="423">
        <f>'Data Entry'!C5</f>
        <v>0</v>
      </c>
      <c r="D10" s="424">
        <f>'Data Entry'!D5</f>
        <v>0</v>
      </c>
      <c r="E10" s="424">
        <f>'Data Entry'!E5</f>
        <v>0</v>
      </c>
      <c r="F10" s="425">
        <f>'Data Entry'!F5</f>
        <v>0</v>
      </c>
      <c r="G10" s="1"/>
    </row>
    <row r="11" spans="1:13" x14ac:dyDescent="0.2">
      <c r="A11" s="569" t="s">
        <v>3</v>
      </c>
      <c r="B11" s="569"/>
      <c r="C11" s="421" t="str">
        <f>'Data Entry'!C11</f>
        <v/>
      </c>
      <c r="D11" s="93" t="str">
        <f>'Data Entry'!D11</f>
        <v/>
      </c>
      <c r="E11" s="93" t="str">
        <f>'Data Entry'!E11</f>
        <v/>
      </c>
      <c r="F11" s="422" t="str">
        <f>'Data Entry'!F11</f>
        <v/>
      </c>
      <c r="G11" s="1"/>
    </row>
    <row r="12" spans="1:13" x14ac:dyDescent="0.2">
      <c r="A12" s="569" t="s">
        <v>70</v>
      </c>
      <c r="B12" s="569"/>
      <c r="C12" s="426" t="str">
        <f>'Data Entry'!C13</f>
        <v/>
      </c>
      <c r="D12" s="427" t="str">
        <f>'Data Entry'!D13</f>
        <v/>
      </c>
      <c r="E12" s="427" t="str">
        <f>'Data Entry'!E13</f>
        <v/>
      </c>
      <c r="F12" s="428" t="str">
        <f>'Data Entry'!F13</f>
        <v/>
      </c>
      <c r="G12" s="1"/>
    </row>
    <row r="13" spans="1:13" x14ac:dyDescent="0.2">
      <c r="A13" s="569" t="s">
        <v>185</v>
      </c>
      <c r="B13" s="569"/>
      <c r="C13" s="421">
        <f>'Data Entry'!C14</f>
        <v>0</v>
      </c>
      <c r="D13" s="93">
        <f>'Data Entry'!D14</f>
        <v>0</v>
      </c>
      <c r="E13" s="93">
        <f>'Data Entry'!E14</f>
        <v>0</v>
      </c>
      <c r="F13" s="422">
        <f>'Data Entry'!F14</f>
        <v>0</v>
      </c>
      <c r="G13" s="1"/>
    </row>
    <row r="14" spans="1:13" x14ac:dyDescent="0.2">
      <c r="A14" s="588" t="str">
        <f>IF('Data Calculations'!$B$83,"Collimator (cm) X×Y","")</f>
        <v/>
      </c>
      <c r="B14" s="589"/>
      <c r="C14" s="426" t="str">
        <f>'Data Entry'!C30</f>
        <v/>
      </c>
      <c r="D14" s="427" t="str">
        <f>'Data Entry'!D30</f>
        <v/>
      </c>
      <c r="E14" s="427" t="str">
        <f>'Data Entry'!E30</f>
        <v/>
      </c>
      <c r="F14" s="428" t="str">
        <f>'Data Entry'!F30</f>
        <v/>
      </c>
      <c r="G14" s="1"/>
    </row>
    <row r="15" spans="1:13" x14ac:dyDescent="0.2">
      <c r="A15" s="569" t="s">
        <v>141</v>
      </c>
      <c r="B15" s="569"/>
      <c r="C15" s="426" t="str">
        <f>'Data Entry'!C31</f>
        <v/>
      </c>
      <c r="D15" s="427" t="str">
        <f>'Data Entry'!D31</f>
        <v/>
      </c>
      <c r="E15" s="427" t="str">
        <f>'Data Entry'!E31</f>
        <v/>
      </c>
      <c r="F15" s="428" t="str">
        <f>'Data Entry'!F31</f>
        <v/>
      </c>
      <c r="G15" s="1"/>
    </row>
    <row r="16" spans="1:13" ht="14.25" x14ac:dyDescent="0.2">
      <c r="A16" s="569" t="s">
        <v>68</v>
      </c>
      <c r="B16" s="569"/>
      <c r="C16" s="421" t="str">
        <f>'Data Entry'!C32</f>
        <v/>
      </c>
      <c r="D16" s="93" t="str">
        <f>'Data Entry'!D32</f>
        <v/>
      </c>
      <c r="E16" s="93" t="str">
        <f>'Data Entry'!E32</f>
        <v/>
      </c>
      <c r="F16" s="422" t="str">
        <f>'Data Entry'!F32</f>
        <v/>
      </c>
      <c r="G16" s="1"/>
    </row>
    <row r="17" spans="1:7" x14ac:dyDescent="0.2">
      <c r="A17" s="569" t="s">
        <v>5</v>
      </c>
      <c r="B17" s="569"/>
      <c r="C17" s="421" t="str">
        <f>'Data Entry'!C18</f>
        <v/>
      </c>
      <c r="D17" s="93" t="str">
        <f>'Data Entry'!D18</f>
        <v/>
      </c>
      <c r="E17" s="93" t="str">
        <f>'Data Entry'!E18</f>
        <v/>
      </c>
      <c r="F17" s="422" t="str">
        <f>'Data Entry'!F18</f>
        <v/>
      </c>
      <c r="G17" s="1"/>
    </row>
    <row r="18" spans="1:7" x14ac:dyDescent="0.2">
      <c r="A18" s="569" t="str">
        <f>IF('Data Calculations'!B94,"Bolus Thickness (cm)","")</f>
        <v/>
      </c>
      <c r="B18" s="569"/>
      <c r="C18" s="421" t="str">
        <f>'Data Entry'!C21</f>
        <v/>
      </c>
      <c r="D18" s="93" t="str">
        <f>'Data Entry'!D21</f>
        <v/>
      </c>
      <c r="E18" s="93" t="str">
        <f>'Data Entry'!E21</f>
        <v/>
      </c>
      <c r="F18" s="422" t="str">
        <f>'Data Entry'!F21</f>
        <v/>
      </c>
      <c r="G18" s="1"/>
    </row>
    <row r="19" spans="1:7" x14ac:dyDescent="0.2">
      <c r="A19" s="586" t="str">
        <f>IF('Data Calculations'!B103,'Data Entry'!B22,"")</f>
        <v/>
      </c>
      <c r="B19" s="586"/>
      <c r="C19" s="421">
        <f>'Data Entry'!C22</f>
        <v>0</v>
      </c>
      <c r="D19" s="93">
        <f>'Data Entry'!D22</f>
        <v>0</v>
      </c>
      <c r="E19" s="93">
        <f>'Data Entry'!E22</f>
        <v>0</v>
      </c>
      <c r="F19" s="422">
        <f>'Data Entry'!F22</f>
        <v>0</v>
      </c>
      <c r="G19" s="1"/>
    </row>
    <row r="20" spans="1:7" ht="13.5" thickBot="1" x14ac:dyDescent="0.25">
      <c r="A20" s="569" t="s">
        <v>6</v>
      </c>
      <c r="B20" s="569"/>
      <c r="C20" s="429" t="str">
        <f>'Data Entry'!C23</f>
        <v/>
      </c>
      <c r="D20" s="430" t="str">
        <f>'Data Entry'!D23</f>
        <v/>
      </c>
      <c r="E20" s="430" t="str">
        <f>'Data Entry'!E23</f>
        <v/>
      </c>
      <c r="F20" s="431" t="str">
        <f>'Data Entry'!F23</f>
        <v/>
      </c>
      <c r="G20" s="1"/>
    </row>
    <row r="21" spans="1:7" ht="15" customHeight="1" x14ac:dyDescent="0.2">
      <c r="A21" s="570" t="s">
        <v>7</v>
      </c>
      <c r="B21" s="570"/>
      <c r="C21" s="432">
        <v>1</v>
      </c>
      <c r="D21" s="433">
        <v>1</v>
      </c>
      <c r="E21" s="433">
        <v>1</v>
      </c>
      <c r="F21" s="434">
        <v>1</v>
      </c>
      <c r="G21" s="1"/>
    </row>
    <row r="22" spans="1:7" x14ac:dyDescent="0.2">
      <c r="A22" s="571" t="s">
        <v>8</v>
      </c>
      <c r="B22" s="571"/>
      <c r="C22" s="435" t="str">
        <f>'Data Entry'!C35</f>
        <v/>
      </c>
      <c r="D22" s="436" t="str">
        <f>'Data Entry'!D35</f>
        <v/>
      </c>
      <c r="E22" s="436" t="str">
        <f>'Data Entry'!E35</f>
        <v/>
      </c>
      <c r="F22" s="437" t="str">
        <f>'Data Entry'!F35</f>
        <v/>
      </c>
      <c r="G22" s="1"/>
    </row>
    <row r="23" spans="1:7" x14ac:dyDescent="0.2">
      <c r="A23" s="572" t="str">
        <f>'Data Entry'!B36</f>
        <v>RDF</v>
      </c>
      <c r="B23" s="573"/>
      <c r="C23" s="435" t="str">
        <f>'Data Entry'!C36</f>
        <v/>
      </c>
      <c r="D23" s="436" t="str">
        <f>'Data Entry'!D36</f>
        <v/>
      </c>
      <c r="E23" s="436" t="str">
        <f>'Data Entry'!E36</f>
        <v/>
      </c>
      <c r="F23" s="437" t="str">
        <f>'Data Entry'!F36</f>
        <v/>
      </c>
      <c r="G23" s="1"/>
    </row>
    <row r="24" spans="1:7" x14ac:dyDescent="0.2">
      <c r="A24" s="572" t="str">
        <f>'Data Entry'!B37</f>
        <v/>
      </c>
      <c r="B24" s="573"/>
      <c r="C24" s="435" t="str">
        <f>'Data Entry'!C37</f>
        <v/>
      </c>
      <c r="D24" s="436" t="str">
        <f>'Data Entry'!D37</f>
        <v/>
      </c>
      <c r="E24" s="436" t="str">
        <f>'Data Entry'!E37</f>
        <v/>
      </c>
      <c r="F24" s="437" t="str">
        <f>'Data Entry'!F37</f>
        <v/>
      </c>
      <c r="G24" s="1"/>
    </row>
    <row r="25" spans="1:7" x14ac:dyDescent="0.2">
      <c r="A25" s="572" t="str">
        <f>'Data Entry'!B38</f>
        <v/>
      </c>
      <c r="B25" s="573"/>
      <c r="C25" s="435" t="str">
        <f>'Data Entry'!C38</f>
        <v/>
      </c>
      <c r="D25" s="436" t="str">
        <f>'Data Entry'!D38</f>
        <v/>
      </c>
      <c r="E25" s="436" t="str">
        <f>'Data Entry'!E38</f>
        <v/>
      </c>
      <c r="F25" s="437" t="str">
        <f>'Data Entry'!F38</f>
        <v/>
      </c>
      <c r="G25" s="1"/>
    </row>
    <row r="26" spans="1:7" x14ac:dyDescent="0.2">
      <c r="A26" s="572" t="str">
        <f>'Data Entry'!B39</f>
        <v/>
      </c>
      <c r="B26" s="573"/>
      <c r="C26" s="435" t="str">
        <f>'Data Entry'!C39</f>
        <v/>
      </c>
      <c r="D26" s="436" t="str">
        <f>'Data Entry'!D39</f>
        <v/>
      </c>
      <c r="E26" s="436" t="str">
        <f>'Data Entry'!E39</f>
        <v/>
      </c>
      <c r="F26" s="437" t="str">
        <f>'Data Entry'!F39</f>
        <v/>
      </c>
      <c r="G26" s="1"/>
    </row>
    <row r="27" spans="1:7" ht="13.15" customHeight="1" x14ac:dyDescent="0.2">
      <c r="A27" s="575" t="s">
        <v>10</v>
      </c>
      <c r="B27" s="575"/>
      <c r="C27" s="426"/>
      <c r="D27" s="427"/>
      <c r="E27" s="427"/>
      <c r="F27" s="428"/>
      <c r="G27" s="1"/>
    </row>
    <row r="28" spans="1:7" x14ac:dyDescent="0.2">
      <c r="A28" s="575" t="s">
        <v>11</v>
      </c>
      <c r="B28" s="575"/>
      <c r="C28" s="435"/>
      <c r="D28" s="436"/>
      <c r="E28" s="436"/>
      <c r="F28" s="437"/>
      <c r="G28" s="1"/>
    </row>
    <row r="29" spans="1:7" x14ac:dyDescent="0.2">
      <c r="A29" s="576" t="str">
        <f>'Data Entry'!B34</f>
        <v/>
      </c>
      <c r="B29" s="576"/>
      <c r="C29" s="435" t="str">
        <f>'Data Entry'!C34</f>
        <v/>
      </c>
      <c r="D29" s="436" t="str">
        <f>'Data Entry'!D34</f>
        <v/>
      </c>
      <c r="E29" s="436" t="str">
        <f>'Data Entry'!E34</f>
        <v/>
      </c>
      <c r="F29" s="437" t="str">
        <f>'Data Entry'!F34</f>
        <v/>
      </c>
      <c r="G29" s="1"/>
    </row>
    <row r="30" spans="1:7" x14ac:dyDescent="0.2">
      <c r="A30" s="576" t="str">
        <f>'Data Entry'!B40</f>
        <v/>
      </c>
      <c r="B30" s="576"/>
      <c r="C30" s="435" t="str">
        <f>'Data Entry'!C40</f>
        <v/>
      </c>
      <c r="D30" s="436" t="str">
        <f>'Data Entry'!D40</f>
        <v/>
      </c>
      <c r="E30" s="436" t="str">
        <f>'Data Entry'!E40</f>
        <v/>
      </c>
      <c r="F30" s="437" t="str">
        <f>'Data Entry'!F40</f>
        <v/>
      </c>
      <c r="G30" s="1"/>
    </row>
    <row r="31" spans="1:7" x14ac:dyDescent="0.2">
      <c r="A31" s="577" t="s">
        <v>255</v>
      </c>
      <c r="B31" s="578"/>
      <c r="C31" s="435"/>
      <c r="D31" s="436"/>
      <c r="E31" s="436"/>
      <c r="F31" s="437"/>
      <c r="G31" s="1"/>
    </row>
    <row r="32" spans="1:7" ht="33.75" customHeight="1" x14ac:dyDescent="0.2">
      <c r="A32" s="574" t="s">
        <v>12</v>
      </c>
      <c r="B32" s="574"/>
      <c r="C32" s="435" t="str">
        <f>'Data Entry'!C43</f>
        <v/>
      </c>
      <c r="D32" s="436" t="str">
        <f>'Data Entry'!D43</f>
        <v/>
      </c>
      <c r="E32" s="436" t="str">
        <f>'Data Entry'!E43</f>
        <v/>
      </c>
      <c r="F32" s="437" t="str">
        <f>'Data Entry'!F43</f>
        <v/>
      </c>
      <c r="G32" s="1"/>
    </row>
    <row r="33" spans="1:7" ht="13.15" customHeight="1" thickBot="1" x14ac:dyDescent="0.3">
      <c r="A33" s="568" t="s">
        <v>13</v>
      </c>
      <c r="B33" s="568"/>
      <c r="C33" s="438" t="str">
        <f>'Data Entry'!C45</f>
        <v/>
      </c>
      <c r="D33" s="439" t="str">
        <f>'Data Entry'!D45</f>
        <v/>
      </c>
      <c r="E33" s="439" t="str">
        <f>'Data Entry'!E45</f>
        <v/>
      </c>
      <c r="F33" s="440" t="str">
        <f>'Data Entry'!F45</f>
        <v/>
      </c>
      <c r="G33" s="1"/>
    </row>
    <row r="34" spans="1:7" ht="15" x14ac:dyDescent="0.25">
      <c r="A34" s="154" t="s">
        <v>360</v>
      </c>
      <c r="F34" s="452">
        <f ca="1">TODAY()</f>
        <v>43012</v>
      </c>
    </row>
  </sheetData>
  <mergeCells count="35">
    <mergeCell ref="A1:F1"/>
    <mergeCell ref="A2:F2"/>
    <mergeCell ref="A19:B19"/>
    <mergeCell ref="A12:B12"/>
    <mergeCell ref="D6:E6"/>
    <mergeCell ref="A14:B14"/>
    <mergeCell ref="A8:B8"/>
    <mergeCell ref="A9:B9"/>
    <mergeCell ref="A10:B10"/>
    <mergeCell ref="A11:B11"/>
    <mergeCell ref="A18:B18"/>
    <mergeCell ref="A4:B4"/>
    <mergeCell ref="A3:B3"/>
    <mergeCell ref="D3:E3"/>
    <mergeCell ref="A6:B6"/>
    <mergeCell ref="A5:C5"/>
    <mergeCell ref="A7:B7"/>
    <mergeCell ref="A13:B13"/>
    <mergeCell ref="A15:B15"/>
    <mergeCell ref="A16:B16"/>
    <mergeCell ref="A17:B17"/>
    <mergeCell ref="A33:B33"/>
    <mergeCell ref="A20:B20"/>
    <mergeCell ref="A21:B21"/>
    <mergeCell ref="A22:B22"/>
    <mergeCell ref="A24:B24"/>
    <mergeCell ref="A26:B26"/>
    <mergeCell ref="A32:B32"/>
    <mergeCell ref="A25:B25"/>
    <mergeCell ref="A23:B23"/>
    <mergeCell ref="A27:B27"/>
    <mergeCell ref="A28:B28"/>
    <mergeCell ref="A29:B29"/>
    <mergeCell ref="A30:B30"/>
    <mergeCell ref="A31:B31"/>
  </mergeCells>
  <phoneticPr fontId="0" type="noConversion"/>
  <printOptions horizontalCentered="1" verticalCentered="1"/>
  <pageMargins left="0.39370078740157483" right="0.39370078740157483" top="0.39370078740157483" bottom="0.39370078740157483" header="0.39370078740157483" footer="0.39370078740157483"/>
  <pageSetup scale="88"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13" stopIfTrue="1" id="{967E3C0A-14FE-47BF-A659-1A417EA8385D}">
            <xm:f>NOT('Data Calculations'!$D$24)</xm:f>
            <x14:dxf>
              <font>
                <b/>
                <i val="0"/>
                <u/>
                <color theme="9"/>
              </font>
            </x14:dxf>
          </x14:cfRule>
          <xm:sqref>C3</xm:sqref>
        </x14:conditionalFormatting>
        <x14:conditionalFormatting xmlns:xm="http://schemas.microsoft.com/office/excel/2006/main">
          <x14:cfRule type="expression" priority="14" stopIfTrue="1" id="{62242C07-4DBA-448A-AC00-9561CF6A48AA}">
            <xm:f>NOT('Data Calculations'!$D$25)</xm:f>
            <x14:dxf>
              <font>
                <b/>
                <i val="0"/>
                <u/>
                <color theme="9"/>
              </font>
            </x14:dxf>
          </x14:cfRule>
          <xm:sqref>C4</xm:sqref>
        </x14:conditionalFormatting>
        <x14:conditionalFormatting xmlns:xm="http://schemas.microsoft.com/office/excel/2006/main">
          <x14:cfRule type="expression" priority="17" stopIfTrue="1" id="{28F65F69-F9D5-43A6-9326-AB7BF27F599C}">
            <xm:f>NOT('Data Calculations'!C$100)</xm:f>
            <x14:dxf>
              <font>
                <b/>
                <i val="0"/>
                <u/>
                <color theme="9"/>
              </font>
            </x14:dxf>
          </x14:cfRule>
          <xm:sqref>C18:F18</xm:sqref>
        </x14:conditionalFormatting>
        <x14:conditionalFormatting xmlns:xm="http://schemas.microsoft.com/office/excel/2006/main">
          <x14:cfRule type="expression" priority="18" stopIfTrue="1" id="{25890460-B997-42DD-98C0-D8BD06C4A837}">
            <xm:f>NOT('Data Calculations'!C$108)</xm:f>
            <x14:dxf>
              <font>
                <b/>
                <i val="0"/>
                <u/>
                <color theme="9"/>
              </font>
            </x14:dxf>
          </x14:cfRule>
          <xm:sqref>C19:F19</xm:sqref>
        </x14:conditionalFormatting>
        <x14:conditionalFormatting xmlns:xm="http://schemas.microsoft.com/office/excel/2006/main">
          <x14:cfRule type="expression" priority="16" stopIfTrue="1" id="{532BC946-21BB-4208-AC8B-4EFFCA40C3B3}">
            <xm:f>NOT(AND('Data Calculations'!$C$202,'Data Calculations'!$C$206))</xm:f>
            <x14:dxf>
              <font>
                <b/>
                <i val="0"/>
                <u/>
                <color theme="9"/>
              </font>
            </x14:dxf>
          </x14:cfRule>
          <xm:sqref>D5</xm:sqref>
        </x14:conditionalFormatting>
        <x14:conditionalFormatting xmlns:xm="http://schemas.microsoft.com/office/excel/2006/main">
          <x14:cfRule type="expression" priority="19" stopIfTrue="1" id="{1F8D0C02-D218-440A-8B82-E5958D129B6F}">
            <xm:f>NOT('Data Calculations'!C$233)</xm:f>
            <x14:dxf>
              <font>
                <b/>
                <i val="0"/>
                <u/>
                <color theme="9"/>
              </font>
            </x14:dxf>
          </x14:cfRule>
          <xm:sqref>C32:F32</xm:sqref>
        </x14:conditionalFormatting>
        <x14:conditionalFormatting xmlns:xm="http://schemas.microsoft.com/office/excel/2006/main">
          <x14:cfRule type="expression" priority="20" stopIfTrue="1" id="{3BF21DB0-B015-41EA-B84C-84FFB1D3133D}">
            <xm:f>NOT('Data Calculations'!C$237)</xm:f>
            <x14:dxf>
              <font>
                <b/>
                <i val="0"/>
                <u/>
                <color theme="9"/>
              </font>
            </x14:dxf>
          </x14:cfRule>
          <xm:sqref>C33:F33</xm:sqref>
        </x14:conditionalFormatting>
        <x14:conditionalFormatting xmlns:xm="http://schemas.microsoft.com/office/excel/2006/main">
          <x14:cfRule type="expression" priority="1" stopIfTrue="1" id="{02AB4D66-12FF-419C-A0CB-6EC9FF32B019}">
            <xm:f>NOT('Data Calculations'!$D$26)</xm:f>
            <x14:dxf>
              <font>
                <b/>
                <i val="0"/>
                <u/>
                <color theme="9"/>
              </font>
            </x14:dxf>
          </x14:cfRule>
          <xm:sqref>F4</xm:sqref>
        </x14:conditionalFormatting>
        <x14:conditionalFormatting xmlns:xm="http://schemas.microsoft.com/office/excel/2006/main">
          <x14:cfRule type="expression" priority="1653" stopIfTrue="1" id="{84806D45-9B25-4BDA-B1FB-6081B70275E0}">
            <xm:f>NOT(AND('Data Calculations'!C$34,'Data Calculations'!C$229))</xm:f>
            <x14:dxf>
              <font>
                <color theme="0"/>
              </font>
              <fill>
                <patternFill>
                  <bgColor theme="0"/>
                </patternFill>
              </fill>
              <border>
                <vertical/>
                <horizontal/>
              </border>
            </x14:dxf>
          </x14:cfRule>
          <xm:sqref>C7:F33</xm:sqref>
        </x14:conditionalFormatting>
        <x14:conditionalFormatting xmlns:xm="http://schemas.microsoft.com/office/excel/2006/main">
          <x14:cfRule type="expression" priority="1654" id="{E03E9BFE-E7AB-4E31-8111-CBE04D80E7F1}">
            <xm:f>AND('Data Calculations'!C$34,'Data Calculations'!C$229)</xm:f>
            <x14:dxf>
              <fill>
                <patternFill>
                  <bgColor theme="0"/>
                </patternFill>
              </fill>
              <border>
                <left style="thin">
                  <color auto="1"/>
                </left>
                <right style="thin">
                  <color auto="1"/>
                </right>
                <vertical/>
                <horizontal/>
              </border>
            </x14:dxf>
          </x14:cfRule>
          <xm:sqref>C33:F33 C20:F20 C7:F7</xm:sqref>
        </x14:conditionalFormatting>
        <x14:conditionalFormatting xmlns:xm="http://schemas.microsoft.com/office/excel/2006/main">
          <x14:cfRule type="expression" priority="1657" id="{BD7314CE-A80A-4BD1-A443-7A4047E7F301}">
            <xm:f>AND('Data Calculations'!C$34,'Data Calculations'!C$229)</xm:f>
            <x14:dxf>
              <fill>
                <patternFill>
                  <bgColor theme="0"/>
                </patternFill>
              </fill>
              <border>
                <left style="thin">
                  <color auto="1"/>
                </left>
                <right style="thin">
                  <color auto="1"/>
                </right>
                <bottom style="thin">
                  <color auto="1"/>
                </bottom>
                <vertical/>
                <horizontal/>
              </border>
            </x14:dxf>
          </x14:cfRule>
          <xm:sqref>C21:F32 C8:F19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51"/>
  <sheetViews>
    <sheetView zoomScale="75" zoomScaleNormal="75" workbookViewId="0">
      <selection activeCell="D14" sqref="D14"/>
    </sheetView>
  </sheetViews>
  <sheetFormatPr defaultColWidth="8.85546875" defaultRowHeight="17.100000000000001" customHeight="1" x14ac:dyDescent="0.2"/>
  <cols>
    <col min="1" max="1" width="13.42578125" style="4" customWidth="1"/>
    <col min="2" max="2" width="31.85546875" style="4" customWidth="1"/>
    <col min="3" max="3" width="23.42578125" style="4" customWidth="1"/>
    <col min="4" max="4" width="24.28515625" style="4" customWidth="1"/>
    <col min="5"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47" t="s">
        <v>17</v>
      </c>
      <c r="B1" s="11" t="s">
        <v>0</v>
      </c>
      <c r="C1" s="604" t="str">
        <f>IF('Data Calculations'!D24,"","Patient Name not text")</f>
        <v>Patient Name not text</v>
      </c>
      <c r="D1" s="604"/>
      <c r="E1" s="604"/>
      <c r="F1" s="604"/>
      <c r="H1" s="47"/>
      <c r="I1" s="4" t="s">
        <v>263</v>
      </c>
    </row>
    <row r="2" spans="1:10" ht="17.100000000000001" customHeight="1" x14ac:dyDescent="0.2">
      <c r="A2" s="548"/>
      <c r="B2" s="5" t="s">
        <v>1</v>
      </c>
      <c r="C2" s="605" t="str">
        <f>IF('Data Calculations'!D25,"","Chart number should be 7 digits")</f>
        <v>Chart number should be 7 digits</v>
      </c>
      <c r="D2" s="605"/>
      <c r="E2" s="605"/>
      <c r="F2" s="605"/>
      <c r="H2" s="6"/>
      <c r="I2" s="7" t="s">
        <v>265</v>
      </c>
    </row>
    <row r="3" spans="1:10" ht="17.100000000000001" customHeight="1" thickBot="1" x14ac:dyDescent="0.25">
      <c r="A3" s="22" t="s">
        <v>161</v>
      </c>
      <c r="B3" s="10" t="s">
        <v>162</v>
      </c>
      <c r="C3" s="556" t="str">
        <f>IF('Data Calculations'!D26,"","Plan ID not text")</f>
        <v>Plan ID not text</v>
      </c>
      <c r="D3" s="556"/>
      <c r="E3" s="556"/>
      <c r="F3" s="556"/>
      <c r="H3" s="26"/>
      <c r="I3" s="4" t="s">
        <v>266</v>
      </c>
    </row>
    <row r="4" spans="1:10" ht="17.100000000000001" customHeight="1" thickTop="1" x14ac:dyDescent="0.2">
      <c r="A4" s="560" t="s">
        <v>16</v>
      </c>
      <c r="B4" s="561"/>
      <c r="C4" s="606" t="str">
        <f>IF('Data Calculations'!C202:F202,"","Total Dose out of expected range")</f>
        <v>Total Dose out of expected range</v>
      </c>
      <c r="D4" s="606"/>
      <c r="E4" s="606"/>
      <c r="F4" s="606"/>
      <c r="H4" s="55"/>
      <c r="I4" s="7" t="s">
        <v>184</v>
      </c>
    </row>
    <row r="5" spans="1:10" ht="17.100000000000001" customHeight="1" thickBot="1" x14ac:dyDescent="0.3">
      <c r="A5" s="564" t="s">
        <v>15</v>
      </c>
      <c r="B5" s="565"/>
      <c r="C5" s="599" t="str">
        <f>IF('Data Calculations'!C206:F206,"","# Fractions out of expected range")</f>
        <v># Fractions out of expected range</v>
      </c>
      <c r="D5" s="599"/>
      <c r="E5" s="599"/>
      <c r="F5" s="599"/>
      <c r="H5" s="361">
        <v>0</v>
      </c>
      <c r="I5" s="4" t="s">
        <v>224</v>
      </c>
    </row>
    <row r="6" spans="1:10" ht="17.100000000000001" customHeight="1" thickTop="1" x14ac:dyDescent="0.2">
      <c r="A6" s="402"/>
      <c r="B6" s="402"/>
      <c r="C6" s="403"/>
      <c r="D6" s="403"/>
      <c r="E6" s="403"/>
      <c r="F6" s="403"/>
      <c r="H6" s="13"/>
      <c r="I6" s="4" t="s">
        <v>264</v>
      </c>
    </row>
    <row r="7" spans="1:10" ht="17.100000000000001" customHeight="1" thickBot="1" x14ac:dyDescent="0.3">
      <c r="A7" s="404"/>
      <c r="B7" s="404"/>
      <c r="C7" s="404"/>
      <c r="D7" s="598"/>
      <c r="E7" s="598"/>
      <c r="F7" s="598"/>
      <c r="H7" s="390">
        <v>0</v>
      </c>
      <c r="I7" s="4" t="s">
        <v>339</v>
      </c>
    </row>
    <row r="8" spans="1:10" ht="33" customHeight="1" thickTop="1" x14ac:dyDescent="0.25">
      <c r="A8" s="550" t="s">
        <v>149</v>
      </c>
      <c r="B8" s="365" t="s">
        <v>19</v>
      </c>
      <c r="C8" s="369" t="str">
        <f>IF(ISBLANK('Data Entry'!C$8 ),
          "",
          IF('Data Calculations'!C$34,
                    "",
                    "Field Names must be unique and not all spaces"))</f>
        <v/>
      </c>
      <c r="D8" s="369" t="str">
        <f>IF(ISBLANK('Data Entry'!D$8 ),
          "",
          IF('Data Calculations'!D$34,
                    "",
                    "Field Names must be unique and not all spaces"))</f>
        <v/>
      </c>
      <c r="E8" s="369" t="str">
        <f>IF(ISBLANK('Data Entry'!E$8 ),
          "",
          IF('Data Calculations'!E$34,
                    "",
                    "Field Names must be unique and not all spaces"))</f>
        <v/>
      </c>
      <c r="F8" s="369" t="str">
        <f>IF(ISBLANK('Data Entry'!F$8 ),
          "",
          IF('Data Calculations'!F$34,
                    "",
                    "Field Names must be unique and not all spaces"))</f>
        <v/>
      </c>
      <c r="H8" s="364">
        <v>0</v>
      </c>
      <c r="I8" s="4" t="s">
        <v>338</v>
      </c>
    </row>
    <row r="9" spans="1:10" ht="33" customHeight="1" x14ac:dyDescent="0.25">
      <c r="A9" s="551"/>
      <c r="B9" s="366" t="s">
        <v>166</v>
      </c>
      <c r="C9" s="392" t="str">
        <f>IF('Data Calculations'!C$34,
          IF('Data Calculations'!C$211,
                    IF('Data Calculations'!$C$213,
                              IF('Data Calculations'!C$210,
                                        "",
                                        "Manual Beam Weight"),
                              "Beam Weight Total does not add up to 1"),
                    "Beam Weight must be between 0 and 1"),
          "Not Used")</f>
        <v>Not Used</v>
      </c>
      <c r="D9" s="392" t="str">
        <f>IF('Data Calculations'!D$34,
          IF('Data Calculations'!D$211,
                    IF('Data Calculations'!$C$213,
                              IF('Data Calculations'!D$210,
                                        "",
                                        "Manual Beam Weight"),
                              "Beam Weight Total does not add up to 1"),
                    "Beam Weight must be between 0 and 1"),
          "Not Used")</f>
        <v>Not Used</v>
      </c>
      <c r="E9" s="392" t="str">
        <f>IF('Data Calculations'!E$34,
          IF('Data Calculations'!E$211,
                    IF('Data Calculations'!$C$213,
                              IF('Data Calculations'!E$210,
                                        "",
                                        "Manual Beam Weight"),
                              "Beam Weight Total does not add up to 1"),
                    "Beam Weight must be between 0 and 1"),
          "Not Used")</f>
        <v>Not Used</v>
      </c>
      <c r="F9" s="392" t="str">
        <f>IF('Data Calculations'!F$34,
          IF('Data Calculations'!F$211,
                    IF('Data Calculations'!$C$213,
                              IF('Data Calculations'!F$210,
                                        "",
                                        "Manual Beam Weight"),
                              "Beam Weight Total does not add up to 1"),
                    "Beam Weight must be between 0 and 1"),
          "Not Used")</f>
        <v>Not Used</v>
      </c>
      <c r="H9" s="391">
        <v>0</v>
      </c>
      <c r="I9" s="4" t="s">
        <v>337</v>
      </c>
      <c r="J9" s="8"/>
    </row>
    <row r="10" spans="1:10" ht="33" customHeight="1" x14ac:dyDescent="0.2">
      <c r="A10" s="551"/>
      <c r="B10" s="366" t="s">
        <v>114</v>
      </c>
      <c r="C10" s="393" t="str">
        <f>IF('Data Calculations'!C34,"","Not Used")</f>
        <v>Not Used</v>
      </c>
      <c r="D10" s="393" t="str">
        <f>IF('Data Calculations'!D34,"","Not Used")</f>
        <v>Not Used</v>
      </c>
      <c r="E10" s="393" t="str">
        <f>IF('Data Calculations'!E34,"","Not Used")</f>
        <v>Not Used</v>
      </c>
      <c r="F10" s="393" t="str">
        <f>IF('Data Calculations'!F34,"","Not Used")</f>
        <v>Not Used</v>
      </c>
    </row>
    <row r="11" spans="1:10" ht="33" customHeight="1" x14ac:dyDescent="0.2">
      <c r="A11" s="551"/>
      <c r="B11" s="366" t="s">
        <v>182</v>
      </c>
      <c r="C11" s="393" t="str">
        <f>IF('Data Calculations'!C34,"","Not Used")</f>
        <v>Not Used</v>
      </c>
      <c r="D11" s="393" t="str">
        <f>IF('Data Calculations'!D34,"","Not Used")</f>
        <v>Not Used</v>
      </c>
      <c r="E11" s="393" t="str">
        <f>IF('Data Calculations'!E34,"","Not Used")</f>
        <v>Not Used</v>
      </c>
      <c r="F11" s="393" t="str">
        <f>IF('Data Calculations'!F34,"","Not Used")</f>
        <v>Not Used</v>
      </c>
    </row>
    <row r="12" spans="1:10" ht="12" customHeight="1" x14ac:dyDescent="0.2">
      <c r="A12" s="602"/>
      <c r="B12" s="413"/>
      <c r="C12" s="414"/>
      <c r="D12" s="414"/>
      <c r="E12" s="414"/>
      <c r="F12" s="414"/>
    </row>
    <row r="13" spans="1:10" ht="33" customHeight="1" thickBot="1" x14ac:dyDescent="0.25">
      <c r="A13" s="552"/>
      <c r="B13" s="367" t="s">
        <v>70</v>
      </c>
      <c r="C13" s="370" t="str">
        <f>IF('Data Calculations'!C$34,
          IF('Data Calculations'!C$72,
                    "",
                    "Beam Energy not valid"),
          "Not Used")</f>
        <v>Not Used</v>
      </c>
      <c r="D13" s="370" t="str">
        <f>IF('Data Calculations'!D$34,
          IF('Data Calculations'!D$72,
                    "",
                    "Beam Energy not valid"),
          "Not Used")</f>
        <v>Not Used</v>
      </c>
      <c r="E13" s="370" t="str">
        <f>IF('Data Calculations'!E$34,
          IF('Data Calculations'!E$72,
                    "",
                    "Beam Energy not valid"),
          "Not Used")</f>
        <v>Not Used</v>
      </c>
      <c r="F13" s="370" t="str">
        <f>IF('Data Calculations'!F$34,
          IF('Data Calculations'!F$72,
                    "",
                    "Beam Energy not valid"),
          "Not Used")</f>
        <v>Not Used</v>
      </c>
    </row>
    <row r="14" spans="1:10" ht="65.25" customHeight="1" thickTop="1" x14ac:dyDescent="0.2">
      <c r="A14" s="551" t="s">
        <v>336</v>
      </c>
      <c r="B14" s="382" t="s">
        <v>185</v>
      </c>
      <c r="C14" s="383" t="str">
        <f>IF('Data Calculations'!C$34,
          IF('Data Calculations'!C$86,
                    IF('Data Calculations'!C$115,
                              "",
                              "Depth not in valid range"),
                    "SSD must be less than 100, or Extended distance must be enabled"),
           "Not Used")</f>
        <v>Not Used</v>
      </c>
      <c r="D14" s="383" t="str">
        <f>IF('Data Calculations'!D$34,
          IF('Data Calculations'!D$86,
                    IF('Data Calculations'!D$115,
                              "",
                              "Depth not in valid range"),
                    "SSD must be less than 100, or Extended distance must be enabled"),
           "Not Used")</f>
        <v>Not Used</v>
      </c>
      <c r="E14" s="383" t="str">
        <f>IF('Data Calculations'!E$34,
          IF('Data Calculations'!E$86,
                    IF('Data Calculations'!E$115,
                              "",
                              "Depth not in valid range"),
                    "SSD must be less than 100, or Extended distance must be enabled"),
           "Not Used")</f>
        <v>Not Used</v>
      </c>
      <c r="F14" s="383" t="str">
        <f>IF('Data Calculations'!F$34,
          IF('Data Calculations'!F$86,
                    IF('Data Calculations'!F$115,
                              "",
                              "Depth not in valid range"),
                    "SSD must be less than 100, or Extended distance must be enabled"),
           "Not Used")</f>
        <v>Not Used</v>
      </c>
    </row>
    <row r="15" spans="1:10" ht="33" customHeight="1" x14ac:dyDescent="0.2">
      <c r="A15" s="551"/>
      <c r="B15" s="366" t="s">
        <v>327</v>
      </c>
      <c r="C15" s="371" t="str">
        <f>IF('Data Calculations'!C$34,
          IF('Data Calculations'!C$87,
                    IF('Data Calculations'!C$115,
                                 "",
                              "Depth not in valid range"),
                      "Not Used"),
          "Not Used")</f>
        <v>Not Used</v>
      </c>
      <c r="D15" s="371" t="str">
        <f>IF('Data Calculations'!D$34,
          IF('Data Calculations'!D$87,
                    IF('Data Calculations'!D$115,
                                 "",
                              "Depth not in valid range"),
                      "Not Used"),
          "Not Used")</f>
        <v>Not Used</v>
      </c>
      <c r="E15" s="371" t="str">
        <f>IF('Data Calculations'!E$34,
          IF('Data Calculations'!E$87,
                    IF('Data Calculations'!E$115,
                                 "",
                              "Depth not in valid range"),
                      "Not Used"),
          "Not Used")</f>
        <v>Not Used</v>
      </c>
      <c r="F15" s="371" t="str">
        <f>IF('Data Calculations'!F$34,
          IF('Data Calculations'!F$87,
                    IF('Data Calculations'!F$115,
                                 "",
                              "Depth not in valid range"),
                      "Not Used"),
          "Not Used")</f>
        <v>Not Used</v>
      </c>
    </row>
    <row r="16" spans="1:10" ht="33" customHeight="1" x14ac:dyDescent="0.2">
      <c r="A16" s="551"/>
      <c r="B16" s="366" t="s">
        <v>222</v>
      </c>
      <c r="C16" s="394" t="str">
        <f>IF('Data Calculations'!C$34,
          IF('Data Calculations'!C$87,
                    "",
                    "Not Used"),
          "Not Used")</f>
        <v>Not Used</v>
      </c>
      <c r="D16" s="395" t="str">
        <f>IF('Data Calculations'!D$34,
          IF('Data Calculations'!D$87,
                    "",
                    "Not Used"),
          "Not Used")</f>
        <v>Not Used</v>
      </c>
      <c r="E16" s="395" t="str">
        <f>IF('Data Calculations'!E$34,
          IF('Data Calculations'!E$87,
                    "",
                    "Not Used"),
          "Not Used")</f>
        <v>Not Used</v>
      </c>
      <c r="F16" s="395" t="str">
        <f>IF('Data Calculations'!F$34,
          IF('Data Calculations'!F$87,
                    "",
                    "Not Used"),
          "Not Used")</f>
        <v>Not Used</v>
      </c>
    </row>
    <row r="17" spans="1:6" ht="33" customHeight="1" x14ac:dyDescent="0.2">
      <c r="A17" s="551"/>
      <c r="B17" s="366" t="s">
        <v>139</v>
      </c>
      <c r="C17" s="372" t="str">
        <f>IF('Data Calculations'!C$34,
          IF('Data Calculations'!C$87,
                    "",
                    "Not Used"),
          "Not Used")</f>
        <v>Not Used</v>
      </c>
      <c r="D17" s="372" t="str">
        <f>IF('Data Calculations'!D$34,
          IF('Data Calculations'!D$87,
                    "",
                    "Not Used"),
          "Not Used")</f>
        <v>Not Used</v>
      </c>
      <c r="E17" s="372" t="str">
        <f>IF('Data Calculations'!E$34,
          IF('Data Calculations'!E$87,
                    "",
                    "Not Used"),
          "Not Used")</f>
        <v>Not Used</v>
      </c>
      <c r="F17" s="372" t="str">
        <f>IF('Data Calculations'!F$34,
          IF('Data Calculations'!F$87,
                    "",
                    "Not Used"),
          "Not Used")</f>
        <v>Not Used</v>
      </c>
    </row>
    <row r="18" spans="1:6" ht="33" customHeight="1" thickBot="1" x14ac:dyDescent="0.25">
      <c r="A18" s="552"/>
      <c r="B18" s="367" t="s">
        <v>5</v>
      </c>
      <c r="C18" s="396" t="str">
        <f>IF('Data Calculations'!C$34,
          IF('Data Calculations'!C$115,
                    "",
                    "Depth not in valid range"),
          "Not Used")</f>
        <v>Not Used</v>
      </c>
      <c r="D18" s="396" t="str">
        <f>IF('Data Calculations'!D$34,
          IF('Data Calculations'!D$115,
                    "",
                    "Depth not in valid range"),
          "Not Used")</f>
        <v>Not Used</v>
      </c>
      <c r="E18" s="396" t="str">
        <f>IF('Data Calculations'!E$34,
          IF('Data Calculations'!E$115,
                    "",
                    "Depth not in valid range"),
          "Not Used")</f>
        <v>Not Used</v>
      </c>
      <c r="F18" s="396" t="str">
        <f>IF('Data Calculations'!F$34,
          IF('Data Calculations'!F$115,
                    "",
                    "Depth not in valid range"),
          "Not Used")</f>
        <v>Not Used</v>
      </c>
    </row>
    <row r="19" spans="1:6" ht="51.75" customHeight="1" thickTop="1" x14ac:dyDescent="0.2">
      <c r="A19" s="550" t="s">
        <v>69</v>
      </c>
      <c r="B19" s="365" t="s">
        <v>189</v>
      </c>
      <c r="C19" s="373" t="str">
        <f>IF('Data Calculations'!C$34,
          IF('Data Calculations'!C$96,
                    IF('Data Calculations'!C$101,
                               IF('Data Calculations'!C$100,
                                        "",
                                        "Effective Thickness larger than expected"),
                              "Effective Thickness less than Nominal Thickness"),
                    "Not Used"),
          "Not Used")</f>
        <v>Not Used</v>
      </c>
      <c r="D19" s="373" t="str">
        <f>IF('Data Calculations'!D$34,
          IF('Data Calculations'!D$96,
                    IF('Data Calculations'!D$101,
                               IF('Data Calculations'!D$100,
                                        "",
                                        "Effective Thickness larger than expected"),
                              "Effective Thickness less than Nominal Thickness"),
                    "Not Used"),
          "Not Used")</f>
        <v>Not Used</v>
      </c>
      <c r="E19" s="373" t="str">
        <f>IF('Data Calculations'!E$34,
          IF('Data Calculations'!E$96,
                    IF('Data Calculations'!E$101,
                               IF('Data Calculations'!E$100,
                                        "",
                                        "Effective Thickness larger than expected"),
                              "Effective Thickness less than Nominal Thickness"),
                    "Not Used"),
          "Not Used")</f>
        <v>Not Used</v>
      </c>
      <c r="F19" s="373" t="str">
        <f>IF('Data Calculations'!F$34,
          IF('Data Calculations'!F$96,
                    IF('Data Calculations'!F$101,
                               IF('Data Calculations'!F$100,
                                        "",
                                        "Effective Thickness larger than expected"),
                              "Effective Thickness less than Nominal Thickness"),
                    "Not Used"),
          "Not Used")</f>
        <v>Not Used</v>
      </c>
    </row>
    <row r="20" spans="1:6" ht="51" customHeight="1" x14ac:dyDescent="0.2">
      <c r="A20" s="551"/>
      <c r="B20" s="18" t="s">
        <v>328</v>
      </c>
      <c r="C20" s="371" t="str">
        <f>IF('Data Calculations'!C$34,
          IF('Data Calculations'!$B$94,
                    IF('Data Calculations'!C$101,
                              IF('Data Calculations'!C$100,
                                         IF('Data Calculations'!C$115,
                                                  "",
                                                  "Depth not in valid range"),
                                        "Effective Thickness larger than expected"),
                              "Effective Thickness less than Nominal Thickness"),
                     "Not Used"),
          "Not Used")</f>
        <v>Not Used</v>
      </c>
      <c r="D20" s="371" t="str">
        <f>IF('Data Calculations'!D$34,
          IF('Data Calculations'!$B$94,
                    IF('Data Calculations'!D$101,
                              IF('Data Calculations'!D$100,
                                         IF('Data Calculations'!D$115,
                                                  "",
                                                  "Depth not in valid range"),
                                        "Effective Thickness larger than expected"),
                              "Effective Thickness less than Nominal Thickness"),
                     "Not Used"),
          "Not Used")</f>
        <v>Not Used</v>
      </c>
      <c r="E20" s="371" t="str">
        <f>IF('Data Calculations'!E$34,
          IF('Data Calculations'!$B$94,
                    IF('Data Calculations'!E$101,
                              IF('Data Calculations'!E$100,
                                         IF('Data Calculations'!E$115,
                                                  "",
                                                  "Depth not in valid range"),
                                        "Effective Thickness larger than expected"),
                              "Effective Thickness less than Nominal Thickness"),
                     "Not Used"),
          "Not Used")</f>
        <v>Not Used</v>
      </c>
      <c r="F20" s="371" t="str">
        <f>IF('Data Calculations'!F$34,
          IF('Data Calculations'!$B$94,
                    IF('Data Calculations'!F$101,
                              IF('Data Calculations'!F$100,
                                         IF('Data Calculations'!F$115,
                                                  "",
                                                  "Depth not in valid range"),
                                        "Effective Thickness larger than expected"),
                              "Effective Thickness less than Nominal Thickness"),
                     "Not Used"),
          "Not Used")</f>
        <v>Not Used</v>
      </c>
    </row>
    <row r="21" spans="1:6" ht="51" customHeight="1" thickBot="1" x14ac:dyDescent="0.25">
      <c r="A21" s="552"/>
      <c r="B21" s="366" t="s">
        <v>285</v>
      </c>
      <c r="C21" s="397" t="str">
        <f>IF('Data Calculations'!C$34,
          IF('Data Calculations'!$B$94,
                    IF('Data Calculations'!C$101,
                              IF('Data Calculations'!C$100,
                                         IF('Data Calculations'!C$115,
                                                  "",
                                                  "Depth not in valid range"),
                                        "Effective Thickness larger than expected"),
                              "Effective Thickness less than Nominal Thickness"),
                     "Not Used"),
          "Not Used")</f>
        <v>Not Used</v>
      </c>
      <c r="D21" s="397" t="str">
        <f>IF('Data Calculations'!D$34,
          IF('Data Calculations'!$B$94,
                    IF('Data Calculations'!D$101,
                              IF('Data Calculations'!D$100,
                                         IF('Data Calculations'!D$115,
                                                  "",
                                                  "Depth not in valid range"),
                                        "Effective Thickness larger than expected"),
                              "Effective Thickness less than Nominal Thickness"),
                     "Not Used"),
          "Not Used")</f>
        <v>Not Used</v>
      </c>
      <c r="E21" s="397" t="str">
        <f>IF('Data Calculations'!E$34,
          IF('Data Calculations'!$B$94,
                    IF('Data Calculations'!E$101,
                              IF('Data Calculations'!E$100,
                                         IF('Data Calculations'!E$115,
                                                  "",
                                                  "Depth not in valid range"),
                                        "Effective Thickness larger than expected"),
                              "Effective Thickness less than Nominal Thickness"),
                     "Not Used"),
          "Not Used")</f>
        <v>Not Used</v>
      </c>
      <c r="F21" s="397" t="str">
        <f>IF('Data Calculations'!F$34,
          IF('Data Calculations'!$B$94,
                    IF('Data Calculations'!F$101,
                              IF('Data Calculations'!F$100,
                                         IF('Data Calculations'!F$115,
                                                  "",
                                                  "Depth not in valid range"),
                                        "Effective Thickness larger than expected"),
                              "Effective Thickness less than Nominal Thickness"),
                     "Not Used"),
          "Not Used")</f>
        <v>Not Used</v>
      </c>
    </row>
    <row r="22" spans="1:6" ht="33" customHeight="1" thickTop="1" thickBot="1" x14ac:dyDescent="0.25">
      <c r="A22" s="363" t="s">
        <v>20</v>
      </c>
      <c r="B22" s="380"/>
      <c r="C22" s="374" t="str">
        <f>IF('Data Calculations'!C$34,
          IF('Data Calculations'!$B$103,
                    IF('Data Calculations'!C$108,
                              IF('Data Calculations'!C$115,
                                        "",
                                        "Depth not in valid range"),
                              "Other Depth larger than expected"),
                     "Not Used"),
          "Not Used")</f>
        <v>Not Used</v>
      </c>
      <c r="D22" s="374" t="str">
        <f>IF('Data Calculations'!D$34,
          IF('Data Calculations'!$B$103,
                    IF('Data Calculations'!D$108,
                              IF('Data Calculations'!D$115,
                                        "",
                                        "Depth not in valid range"),
                              "Other Depth larger than expected"),
                     "Not Used"),
          "Not Used")</f>
        <v>Not Used</v>
      </c>
      <c r="E22" s="374" t="str">
        <f>IF('Data Calculations'!E$34,
          IF('Data Calculations'!$B$103,
                    IF('Data Calculations'!E$108,
                              IF('Data Calculations'!E$115,
                                        "",
                                        "Depth not in valid range"),
                              "Other Depth larger than expected"),
                     "Not Used"),
          "Not Used")</f>
        <v>Not Used</v>
      </c>
      <c r="F22" s="374" t="str">
        <f>IF('Data Calculations'!F$34,
          IF('Data Calculations'!$B$103,
                    IF('Data Calculations'!F$108,
                              IF('Data Calculations'!F$115,
                                        "",
                                        "Depth not in valid range"),
                              "Other Depth larger than expected"),
                     "Not Used"),
          "Not Used")</f>
        <v>Not Used</v>
      </c>
    </row>
    <row r="23" spans="1:6" ht="33" customHeight="1" thickTop="1" thickBot="1" x14ac:dyDescent="0.25">
      <c r="A23" s="562" t="s">
        <v>188</v>
      </c>
      <c r="B23" s="563"/>
      <c r="C23" s="398" t="str">
        <f>IF('Data Calculations'!C$34,
          IF('Data Calculations'!C$115,
                    IF('Data Calculations'!C$116,
                              "",
                              "Depth not valid"),
                     CONCATENATE(
                              "Depth must be between ",
                              VALUE('Data Calculations'!C$79),
                              " and ",
                              VALUE('Data Calculations'!C$80))),
          "Not Used")</f>
        <v>Not Used</v>
      </c>
      <c r="D23" s="398" t="str">
        <f>IF('Data Calculations'!D$34,
          IF('Data Calculations'!D$115,
                    IF('Data Calculations'!D$116,
                              "",
                              "Depth not valid"),
                     CONCATENATE(
                              "Depth must be between ",
                              VALUE('Data Calculations'!D$79),
                              " and ",
                              VALUE('Data Calculations'!D$80))),
          "Not Used")</f>
        <v>Not Used</v>
      </c>
      <c r="E23" s="398" t="str">
        <f>IF('Data Calculations'!E$34,
          IF('Data Calculations'!E$115,
                    IF('Data Calculations'!E$116,
                              "",
                              "Depth not valid"),
                     CONCATENATE(
                              "Depth must be between ",
                              VALUE('Data Calculations'!E$79),
                              " and ",
                              VALUE('Data Calculations'!E$80))),
          "Not Used")</f>
        <v>Not Used</v>
      </c>
      <c r="F23" s="398" t="str">
        <f>IF('Data Calculations'!F$34,
          IF('Data Calculations'!F$115,
                    IF('Data Calculations'!F$116,
                              "",
                              "Depth not valid"),
                     CONCATENATE(
                              "Depth must be between ",
                              VALUE('Data Calculations'!F$79),
                              " and ",
                              VALUE('Data Calculations'!F$80))),
          "Not Used")</f>
        <v>Not Used</v>
      </c>
    </row>
    <row r="24" spans="1:6" ht="12" customHeight="1" thickTop="1" x14ac:dyDescent="0.2">
      <c r="A24" s="600" t="s">
        <v>335</v>
      </c>
      <c r="B24" s="405"/>
      <c r="C24" s="406"/>
      <c r="D24" s="406"/>
      <c r="E24" s="406"/>
      <c r="F24" s="406"/>
    </row>
    <row r="25" spans="1:6" ht="33" customHeight="1" x14ac:dyDescent="0.2">
      <c r="A25" s="548"/>
      <c r="B25" s="366" t="s">
        <v>332</v>
      </c>
      <c r="C25" s="375" t="str">
        <f>IF('Data Calculations'!C$34,
          IF('Data Calculations'!C$151,
                    IF('Data Calculations'!C$155,
                              IF('Data Calculations'!C$169,
                                         "",
                                         "Field size not in valid range"),
                              "X collimator not in valid range"),
                     "X1 not valid"),
          "Not Used")</f>
        <v>Not Used</v>
      </c>
      <c r="D25" s="375" t="str">
        <f>IF('Data Calculations'!D$34,
          IF('Data Calculations'!D$151,
                    IF('Data Calculations'!D$155,
                              IF('Data Calculations'!D$169,
                                         "",
                                         "Field size not in valid range"),
                              "X collimator not in valid range"),
                     "X1 not valid"),
          "Not Used")</f>
        <v>Not Used</v>
      </c>
      <c r="E25" s="375" t="str">
        <f>IF('Data Calculations'!E$34,
          IF('Data Calculations'!E$151,
                    IF('Data Calculations'!E$155,
                              IF('Data Calculations'!E$169,
                                         "",
                                         "Field size not in valid range"),
                              "X collimator not in valid range"),
                     "X1 not valid"),
          "Not Used")</f>
        <v>Not Used</v>
      </c>
      <c r="F25" s="375" t="str">
        <f>IF('Data Calculations'!F$34,
          IF('Data Calculations'!F$151,
                    IF('Data Calculations'!F$155,
                              IF('Data Calculations'!F$169,
                                         "",
                                         "Field size not in valid range"),
                              "X collimator not in valid range"),
                     "X1 not valid"),
          "Not Used")</f>
        <v>Not Used</v>
      </c>
    </row>
    <row r="26" spans="1:6" ht="33" customHeight="1" x14ac:dyDescent="0.2">
      <c r="A26" s="548"/>
      <c r="B26" s="366" t="s">
        <v>202</v>
      </c>
      <c r="C26" s="375" t="str">
        <f>IF('Data Calculations'!C$34,
          IF(NOT('Data Calculations'!C$139),
                    IF('Data Calculations'!C$152,
                              IF('Data Calculations'!C$155,
                                        IF('Data Calculations'!C$169,
                                                   "",
                                                   "Field size not in valid range"),
                                        "X collimator not in valid range"),
                               "X2 not valid"),
                    "Not Used"),
          "Not Used")</f>
        <v>Not Used</v>
      </c>
      <c r="D26" s="375" t="str">
        <f>IF('Data Calculations'!D$34,
          IF(NOT('Data Calculations'!D$139),
                    IF('Data Calculations'!D$152,
                              IF('Data Calculations'!D$155,
                                        IF('Data Calculations'!D$169,
                                                   "",
                                                   "Field size not in valid range"),
                                        "X collimator not in valid range"),
                               "X2 not valid"),
                    "Not Used"),
          "Not Used")</f>
        <v>Not Used</v>
      </c>
      <c r="E26" s="375" t="str">
        <f>IF('Data Calculations'!E$34,
          IF(NOT('Data Calculations'!E$139),
                    IF('Data Calculations'!E$152,
                              IF('Data Calculations'!E$155,
                                        IF('Data Calculations'!E$169,
                                                   "",
                                                   "Field size not in valid range"),
                                        "X collimator not in valid range"),
                               "X2 not valid"),
                    "Not Used"),
          "Not Used")</f>
        <v>Not Used</v>
      </c>
      <c r="F26" s="375" t="str">
        <f>IF('Data Calculations'!F$34,
          IF(NOT('Data Calculations'!F$139),
                    IF('Data Calculations'!F$152,
                              IF('Data Calculations'!F$155,
                                        IF('Data Calculations'!F$169,
                                                   "",
                                                   "Field size not in valid range"),
                                        "X collimator not in valid range"),
                               "X2 not valid"),
                    "Not Used"),
          "Not Used")</f>
        <v>Not Used</v>
      </c>
    </row>
    <row r="27" spans="1:6" ht="12" customHeight="1" x14ac:dyDescent="0.2">
      <c r="A27" s="548"/>
      <c r="B27" s="368"/>
      <c r="C27" s="381"/>
      <c r="D27" s="381"/>
      <c r="E27" s="381"/>
      <c r="F27" s="381"/>
    </row>
    <row r="28" spans="1:6" ht="33" customHeight="1" x14ac:dyDescent="0.2">
      <c r="A28" s="548"/>
      <c r="B28" s="366" t="s">
        <v>333</v>
      </c>
      <c r="C28" s="375" t="str">
        <f>IF('Data Calculations'!C$34,
          IF('Data Calculations'!C$153,
                    IF('Data Calculations'!C$156,
                              IF('Data Calculations'!C$169,
                                         "",
                                         "Field size not in valid range"),
                              "Y collimator not in valid range"),
                     "Y1 not valid"),
          "Not Used")</f>
        <v>Not Used</v>
      </c>
      <c r="D28" s="375" t="str">
        <f>IF('Data Calculations'!D$34,
          IF('Data Calculations'!D$153,
                    IF('Data Calculations'!D$156,
                              IF('Data Calculations'!D$169,
                                         "",
                                         "Field size not in valid range"),
                              "Y collimator not in valid range"),
                     "Y1 not valid"),
          "Not Used")</f>
        <v>Not Used</v>
      </c>
      <c r="E28" s="375" t="str">
        <f>IF('Data Calculations'!E$34,
          IF('Data Calculations'!E$153,
                    IF('Data Calculations'!E$156,
                              IF('Data Calculations'!E$169,
                                         "",
                                         "Field size not in valid range"),
                              "Y collimator not in valid range"),
                     "Y1 not valid"),
          "Not Used")</f>
        <v>Not Used</v>
      </c>
      <c r="F28" s="375" t="str">
        <f>IF('Data Calculations'!F$34,
          IF('Data Calculations'!F$153,
                    IF('Data Calculations'!F$156,
                              IF('Data Calculations'!F$169,
                                         "",
                                         "Field size not in valid range"),
                              "Y collimator not in valid range"),
                     "Y1 not valid"),
          "Not Used")</f>
        <v>Not Used</v>
      </c>
    </row>
    <row r="29" spans="1:6" ht="33" customHeight="1" x14ac:dyDescent="0.2">
      <c r="A29" s="548"/>
      <c r="B29" s="366" t="s">
        <v>204</v>
      </c>
      <c r="C29" s="375" t="str">
        <f>IF('Data Calculations'!C$34,
          IF(NOT('Data Calculations'!C$142),
                    IF('Data Calculations'!C$154,
                              IF('Data Calculations'!C$156,
                                        IF('Data Calculations'!C$169,
                                                   "",
                                                   "Field size not in valid range"),
                                        "Y collimator not in valid range"),
                               "Y2 not valid"),
                    "Not Used"),
          "Not Used")</f>
        <v>Not Used</v>
      </c>
      <c r="D29" s="375" t="str">
        <f>IF('Data Calculations'!D$34,
          IF(NOT('Data Calculations'!D$142),
                    IF('Data Calculations'!D$154,
                              IF('Data Calculations'!D$156,
                                        IF('Data Calculations'!D$169,
                                                   "",
                                                   "Field size not in valid range"),
                                        "Y collimator not in valid range"),
                               "Y2 not valid"),
                    "Not Used"),
          "Not Used")</f>
        <v>Not Used</v>
      </c>
      <c r="E29" s="375" t="str">
        <f>IF('Data Calculations'!E$34,
          IF(NOT('Data Calculations'!E$142),
                    IF('Data Calculations'!E$154,
                              IF('Data Calculations'!E$156,
                                        IF('Data Calculations'!E$169,
                                                   "",
                                                   "Field size not in valid range"),
                                        "Y collimator not in valid range"),
                               "Y2 not valid"),
                    "Not Used"),
          "Not Used")</f>
        <v>Not Used</v>
      </c>
      <c r="F29" s="375" t="str">
        <f>IF('Data Calculations'!F$34,
          IF(NOT('Data Calculations'!F$142),
                    IF('Data Calculations'!F$154,
                              IF('Data Calculations'!F$156,
                                        IF('Data Calculations'!F$169,
                                                   "",
                                                   "Field size not in valid range"),
                                        "Y collimator not in valid range"),
                               "Y2 not valid"),
                    "Not Used"),
          "Not Used")</f>
        <v>Not Used</v>
      </c>
    </row>
    <row r="30" spans="1:6" ht="33" customHeight="1" x14ac:dyDescent="0.2">
      <c r="A30" s="548"/>
      <c r="B30" s="18" t="s">
        <v>329</v>
      </c>
      <c r="C30" s="376" t="str">
        <f>IF('Data Calculations'!C$34,
          IF('Data Calculations'!C$87,
                    IF('Data Calculations'!C$157,
                              IF('Data Calculations'!C$173,
                                         "",
                                         "collimator settings not valid"),
                              "Y collimator not in valid range"),
                    "Not Used"),
          "Not Used")</f>
        <v>Not Used</v>
      </c>
      <c r="D30" s="376" t="str">
        <f>IF('Data Calculations'!D$34,
          IF('Data Calculations'!D$87,
                    IF('Data Calculations'!D$157,
                              IF('Data Calculations'!D$173,
                                         "",
                                         "collimator settings not valid"),
                              "Y collimator not in valid range"),
                    "Not Used"),
          "Not Used")</f>
        <v>Not Used</v>
      </c>
      <c r="E30" s="376" t="str">
        <f>IF('Data Calculations'!E$34,
          IF('Data Calculations'!E$87,
                    IF('Data Calculations'!E$157,
                              IF('Data Calculations'!E$173,
                                         "",
                                         "collimator settings not valid"),
                              "Y collimator not in valid range"),
                    "Not Used"),
          "Not Used")</f>
        <v>Not Used</v>
      </c>
      <c r="F30" s="376" t="str">
        <f>IF('Data Calculations'!F$34,
          IF('Data Calculations'!F$87,
                    IF('Data Calculations'!F$157,
                              IF('Data Calculations'!F$173,
                                         "",
                                         "collimator settings not valid"),
                              "Y collimator not in valid range"),
                    "Not Used"),
          "Not Used")</f>
        <v>Not Used</v>
      </c>
    </row>
    <row r="31" spans="1:6" ht="33" customHeight="1" x14ac:dyDescent="0.2">
      <c r="A31" s="548"/>
      <c r="B31" s="18" t="s">
        <v>4</v>
      </c>
      <c r="C31" s="376" t="str">
        <f>IF('Data Calculations'!C$34,
          IF('Data Calculations'!C$173,
                    "",
                    "Field Size not valid"),
          "Not Used")</f>
        <v>Not Used</v>
      </c>
      <c r="D31" s="376" t="str">
        <f>IF('Data Calculations'!D$34,
          IF('Data Calculations'!D$173,
                    "",
                    "Field Size not valid"),
          "Not Used")</f>
        <v>Not Used</v>
      </c>
      <c r="E31" s="376" t="str">
        <f>IF('Data Calculations'!E$34,
          IF('Data Calculations'!E$173,
                    "",
                    "Field Size not valid"),
          "Not Used")</f>
        <v>Not Used</v>
      </c>
      <c r="F31" s="376" t="str">
        <f>IF('Data Calculations'!F$34,
          IF('Data Calculations'!F$173,
                    "",
                    "Field Size not valid"),
          "Not Used")</f>
        <v>Not Used</v>
      </c>
    </row>
    <row r="32" spans="1:6" ht="33" customHeight="1" thickBot="1" x14ac:dyDescent="0.25">
      <c r="A32" s="549"/>
      <c r="B32" s="367" t="s">
        <v>163</v>
      </c>
      <c r="C32" s="396" t="str">
        <f>IF('Data Calculations'!C$34,
          IF('Data Calculations'!C$169,
                    "",
                    CONCATENATE(
                              "Field Size must be between ",
                              VALUE('Data Calculations'!C$135),
                              " and ",
                              VALUE('Data Calculations'!C$136))),
          "Not Used")</f>
        <v>Not Used</v>
      </c>
      <c r="D32" s="396" t="str">
        <f>IF('Data Calculations'!D$34,
          IF('Data Calculations'!D$169,
                    "",
                    CONCATENATE(
                              "Field Size must be between ",
                              VALUE('Data Calculations'!D$135),
                              " and ",
                              VALUE('Data Calculations'!D$136))),
          "Not Used")</f>
        <v>Not Used</v>
      </c>
      <c r="E32" s="396" t="str">
        <f>IF('Data Calculations'!E$34,
          IF('Data Calculations'!E$169,
                    "",
                    CONCATENATE(
                              "Field Size must be between ",
                              VALUE('Data Calculations'!E$135),
                              " and ",
                              VALUE('Data Calculations'!E$136))),
          "Not Used")</f>
        <v>Not Used</v>
      </c>
      <c r="F32" s="396" t="str">
        <f>IF('Data Calculations'!F$34,
          IF('Data Calculations'!F$169,
                    "",
                    CONCATENATE(
                              "Field Size must be between ",
                              VALUE('Data Calculations'!F$135),
                              " and ",
                              VALUE('Data Calculations'!F$136))),
          "Not Used")</f>
        <v>Not Used</v>
      </c>
    </row>
    <row r="33" spans="1:6" ht="12" customHeight="1" thickTop="1" x14ac:dyDescent="0.2">
      <c r="A33" s="601" t="s">
        <v>345</v>
      </c>
      <c r="B33" s="407"/>
      <c r="C33" s="408"/>
      <c r="D33" s="408"/>
      <c r="E33" s="408"/>
      <c r="F33" s="408"/>
    </row>
    <row r="34" spans="1:6" ht="45.95" customHeight="1" thickBot="1" x14ac:dyDescent="0.25">
      <c r="A34" s="552"/>
      <c r="B34" s="367" t="s">
        <v>346</v>
      </c>
      <c r="C34" s="370" t="str">
        <f>IF('Data Calculations'!C$34,
          IF('Data Calculations'!$B$179,
                    IF('Data Calculations'!C$189,
                              "",
                              "No Tray Factor for selected unit and energy"),
                     "Not Used"),
          "Not Used")</f>
        <v>Not Used</v>
      </c>
      <c r="D34" s="370" t="str">
        <f>IF('Data Calculations'!D$34,
          IF('Data Calculations'!$B$179,
                    IF('Data Calculations'!D$189,
                              "",
                              "No Tray Factor for selected unit and energy"),
                     "Not Used"),
          "Not Used")</f>
        <v>Not Used</v>
      </c>
      <c r="E34" s="370" t="str">
        <f>IF('Data Calculations'!E$34,
          IF('Data Calculations'!$B$179,
                    IF('Data Calculations'!E$189,
                              "",
                              "No Tray Factor for selected unit and energy"),
                     "Not Used"),
          "Not Used")</f>
        <v>Not Used</v>
      </c>
      <c r="F34" s="370" t="str">
        <f>IF('Data Calculations'!F$34,
          IF('Data Calculations'!$B$179,
                    IF('Data Calculations'!F$189,
                              "",
                              "No Tray Factor for selected unit and energy"),
                     "Not Used"),
          "Not Used")</f>
        <v>Not Used</v>
      </c>
    </row>
    <row r="35" spans="1:6" ht="33" customHeight="1" thickTop="1" x14ac:dyDescent="0.2">
      <c r="A35" s="550" t="s">
        <v>18</v>
      </c>
      <c r="B35" s="365" t="s">
        <v>8</v>
      </c>
      <c r="C35" s="377" t="str">
        <f>IF('Data Calculations'!C$34,
          IF('Data Calculations'!C$115,
                    IF('Data Calculations'!C$169,
                              "",
                              "Depth not in valid range"),
                    "Eq. Sq. Field Size not in valid range"),
          "Not Used")</f>
        <v>Not Used</v>
      </c>
      <c r="D35" s="377" t="str">
        <f>IF('Data Calculations'!D$34,
          IF('Data Calculations'!D$115,
                    IF('Data Calculations'!D$169,
                              "",
                              "Depth not in valid range"),
                    "Eq. Sq. Field Size not in valid range"),
          "Not Used")</f>
        <v>Not Used</v>
      </c>
      <c r="E35" s="377" t="str">
        <f>IF('Data Calculations'!E$34,
          IF('Data Calculations'!E$115,
                    IF('Data Calculations'!E$169,
                              "",
                              "Depth not in valid range"),
                    "Eq. Sq. Field Size not in valid range"),
          "Not Used")</f>
        <v>Not Used</v>
      </c>
      <c r="F35" s="377" t="str">
        <f>IF('Data Calculations'!F$34,
          IF('Data Calculations'!F$115,
                    IF('Data Calculations'!F$169,
                              "",
                              "Depth not in valid range"),
                    "Eq. Sq. Field Size not in valid range"),
          "Not Used")</f>
        <v>Not Used</v>
      </c>
    </row>
    <row r="36" spans="1:6" ht="33" customHeight="1" x14ac:dyDescent="0.2">
      <c r="A36" s="551"/>
      <c r="B36" s="366" t="s">
        <v>9</v>
      </c>
      <c r="C36" s="378" t="str">
        <f>IF('Data Calculations'!C$34,
          IF(NOT('Data Calculations'!C$87),
                    IF('Data Calculations'!C$157,
                              "",
                              "collimator settings not in valid range"),
                    "Not Used"),
          "Not Used")</f>
        <v>Not Used</v>
      </c>
      <c r="D36" s="378" t="str">
        <f>IF('Data Calculations'!D$34,
          IF(NOT('Data Calculations'!D$87),
                    IF('Data Calculations'!D$157,
                              "",
                              "collimator settings not in valid range"),
                    "Not Used"),
          "Not Used")</f>
        <v>Not Used</v>
      </c>
      <c r="E36" s="378" t="str">
        <f>IF('Data Calculations'!E$34,
          IF(NOT('Data Calculations'!E$87),
                    IF('Data Calculations'!E$157,
                              "",
                              "collimator settings not in valid range"),
                    "Not Used"),
          "Not Used")</f>
        <v>Not Used</v>
      </c>
      <c r="F36" s="378" t="str">
        <f>IF('Data Calculations'!F$34,
          IF(NOT('Data Calculations'!F$87),
                    IF('Data Calculations'!F$157,
                              "",
                              "collimator settings not in valid range"),
                    "Not Used"),
          "Not Used")</f>
        <v>Not Used</v>
      </c>
    </row>
    <row r="37" spans="1:6" ht="33" customHeight="1" x14ac:dyDescent="0.2">
      <c r="A37" s="551"/>
      <c r="B37" s="366" t="s">
        <v>91</v>
      </c>
      <c r="C37" s="378" t="str">
        <f>IF('Data Calculations'!C$34,
          IF('Data Calculations'!C$87,
                    IF('Data Calculations'!C$157,
                              "",
                              "collimator settings not in valid range"),
                    "Not Used"),
          "Not Used")</f>
        <v>Not Used</v>
      </c>
      <c r="D37" s="378" t="str">
        <f>IF('Data Calculations'!D$34,
          IF('Data Calculations'!D$87,
                    IF('Data Calculations'!D$157,
                              "",
                              "collimator settings not in valid range"),
                    "Not Used"),
          "Not Used")</f>
        <v>Not Used</v>
      </c>
      <c r="E37" s="378" t="str">
        <f>IF('Data Calculations'!E$34,
          IF('Data Calculations'!E$87,
                    IF('Data Calculations'!E$157,
                              "",
                              "collimator settings not in valid range"),
                    "Not Used"),
          "Not Used")</f>
        <v>Not Used</v>
      </c>
      <c r="F37" s="378" t="str">
        <f>IF('Data Calculations'!F$34,
          IF('Data Calculations'!F$87,
                    IF('Data Calculations'!F$157,
                              "",
                              "collimator settings not in valid range"),
                    "Not Used"),
          "Not Used")</f>
        <v>Not Used</v>
      </c>
    </row>
    <row r="38" spans="1:6" ht="33" customHeight="1" x14ac:dyDescent="0.2">
      <c r="A38" s="551"/>
      <c r="B38" s="366" t="s">
        <v>99</v>
      </c>
      <c r="C38" s="378" t="str">
        <f>IF('Data Calculations'!C$34,
          IF('Data Calculations'!C$87,
                    IF('Data Calculations'!C$169,
                              "",
                              "Eq. Sq. Field Size not in valid range"),
                    "Not Used"),
          "Not Used")</f>
        <v>Not Used</v>
      </c>
      <c r="D38" s="378" t="str">
        <f>IF('Data Calculations'!D$34,
          IF('Data Calculations'!D$87,
                    IF('Data Calculations'!D$169,
                              "",
                              "Eq. Sq. Field Size not in valid range"),
                    "Not Used"),
          "Not Used")</f>
        <v>Not Used</v>
      </c>
      <c r="E38" s="378" t="str">
        <f>IF('Data Calculations'!E$34,
          IF('Data Calculations'!E$87,
                    IF('Data Calculations'!E$169,
                              "",
                              "Eq. Sq. Field Size not in valid range"),
                    "Not Used"),
          "Not Used")</f>
        <v>Not Used</v>
      </c>
      <c r="F38" s="378" t="str">
        <f>IF('Data Calculations'!F$34,
          IF('Data Calculations'!F$87,
                    IF('Data Calculations'!F$169,
                              "",
                              "Eq. Sq. Field Size not in valid range"),
                    "Not Used"),
          "Not Used")</f>
        <v>Not Used</v>
      </c>
    </row>
    <row r="39" spans="1:6" ht="33" customHeight="1" x14ac:dyDescent="0.2">
      <c r="A39" s="551"/>
      <c r="B39" s="366" t="s">
        <v>330</v>
      </c>
      <c r="C39" s="393" t="str">
        <f>IF('Data Calculations'!C$34,
          IF('Data Calculations'!C$87,
                    "",
                    "Not Used"),
          "Not Used")</f>
        <v>Not Used</v>
      </c>
      <c r="D39" s="393" t="str">
        <f>IF('Data Calculations'!D$34,
          IF('Data Calculations'!D$87,
                    "",
                    "Not Used"),
          "Not Used")</f>
        <v>Not Used</v>
      </c>
      <c r="E39" s="393" t="str">
        <f>IF('Data Calculations'!E$34,
          IF('Data Calculations'!E$87,
                    "",
                    "Not Used"),
          "Not Used")</f>
        <v>Not Used</v>
      </c>
      <c r="F39" s="393" t="str">
        <f>IF('Data Calculations'!F$34,
          IF('Data Calculations'!F$87,
                    "",
                    "Not Used"),
          "Not Used")</f>
        <v>Not Used</v>
      </c>
    </row>
    <row r="40" spans="1:6" ht="45.95" customHeight="1" thickBot="1" x14ac:dyDescent="0.25">
      <c r="A40" s="551"/>
      <c r="B40" s="367" t="s">
        <v>347</v>
      </c>
      <c r="C40" s="379" t="str">
        <f>IF('Data Calculations'!C$34,
          IF('Data Calculations'!$B$179,
                    IF('Data Calculations'!C$189,
                              "",
                              "No Tray Factor for selected unit and energy"),
                     "Not Used"),
          "Not Used")</f>
        <v>Not Used</v>
      </c>
      <c r="D40" s="379" t="str">
        <f>IF('Data Calculations'!D$34,
          IF('Data Calculations'!$B$179,
                    IF('Data Calculations'!D$189,
                              "",
                              "No Tray Factor for selected unit and energy"),
                     "Not Used"),
          "Not Used")</f>
        <v>Not Used</v>
      </c>
      <c r="E40" s="379" t="str">
        <f>IF('Data Calculations'!E$34,
          IF('Data Calculations'!$B$179,
                    IF('Data Calculations'!E$189,
                              "",
                              "No Tray Factor for selected unit and energy"),
                     "Not Used"),
          "Not Used")</f>
        <v>Not Used</v>
      </c>
      <c r="F40" s="379" t="str">
        <f>IF('Data Calculations'!F$34,
          IF('Data Calculations'!$B$179,
                    IF('Data Calculations'!F$189,
                              "",
                              "No Tray Factor for selected unit and energy"),
                     "Not Used"),
          "Not Used")</f>
        <v>Not Used</v>
      </c>
    </row>
    <row r="41" spans="1:6" ht="12" customHeight="1" thickTop="1" x14ac:dyDescent="0.2">
      <c r="A41" s="602"/>
      <c r="B41" s="409"/>
      <c r="C41" s="410"/>
      <c r="D41" s="410"/>
      <c r="E41" s="410"/>
      <c r="F41" s="410"/>
    </row>
    <row r="42" spans="1:6" ht="12" customHeight="1" thickBot="1" x14ac:dyDescent="0.25">
      <c r="A42" s="603"/>
      <c r="B42" s="411"/>
      <c r="C42" s="412"/>
      <c r="D42" s="412"/>
      <c r="E42" s="412"/>
      <c r="F42" s="412"/>
    </row>
    <row r="43" spans="1:6" ht="33" customHeight="1" thickTop="1" x14ac:dyDescent="0.2">
      <c r="A43" s="550" t="s">
        <v>256</v>
      </c>
      <c r="B43" s="365" t="s">
        <v>257</v>
      </c>
      <c r="C43" s="399" t="str">
        <f>IF('Data Calculations'!C$34,
          IF('Data Calculations'!C$233,
                    IF('Data Calculations'!C$229,
                              "",
                              "Beam data not valid"),
                     "Dose rate at Depth outside expected range"),
          "Not Used")</f>
        <v>Not Used</v>
      </c>
      <c r="D43" s="399" t="str">
        <f>IF('Data Calculations'!D$34,
          IF('Data Calculations'!D$233,
                    IF('Data Calculations'!D$229,
                              "",
                              "Beam data not valid"),
                     "Dose rate at Depth outside expected range"),
          "Not Used")</f>
        <v>Not Used</v>
      </c>
      <c r="E43" s="399" t="str">
        <f>IF('Data Calculations'!E$34,
          IF('Data Calculations'!E$233,
                    IF('Data Calculations'!E$229,
                              "",
                              "Beam data not valid"),
                     "Dose rate at Depth outside expected range"),
          "Not Used")</f>
        <v>Not Used</v>
      </c>
      <c r="F43" s="399" t="str">
        <f>IF('Data Calculations'!F$34,
          IF('Data Calculations'!F$233,
                    IF('Data Calculations'!F$229,
                              "",
                              "Beam data not valid"),
                     "Dose rate at Depth outside expected range"),
          "Not Used")</f>
        <v>Not Used</v>
      </c>
    </row>
    <row r="44" spans="1:6" ht="33" customHeight="1" x14ac:dyDescent="0.2">
      <c r="A44" s="551"/>
      <c r="B44" s="366" t="s">
        <v>182</v>
      </c>
      <c r="C44" s="400" t="str">
        <f>IF('Data Calculations'!C$34,
          IF('Data Calculations'!C$229,
                     "",
                     "Beam data not valid"),
          "Not Used")</f>
        <v>Not Used</v>
      </c>
      <c r="D44" s="400" t="str">
        <f>IF('Data Calculations'!D$34,
          IF('Data Calculations'!D$229,
                     "",
                     "Beam data not valid"),
          "Not Used")</f>
        <v>Not Used</v>
      </c>
      <c r="E44" s="400" t="str">
        <f>IF('Data Calculations'!E$34,
          IF('Data Calculations'!E$229,
                     "",
                     "Beam data not valid"),
          "Not Used")</f>
        <v>Not Used</v>
      </c>
      <c r="F44" s="400" t="str">
        <f>IF('Data Calculations'!F$34,
          IF('Data Calculations'!F$229,
                     "",
                     "Beam data not valid"),
          "Not Used")</f>
        <v>Not Used</v>
      </c>
    </row>
    <row r="45" spans="1:6" ht="33" customHeight="1" thickBot="1" x14ac:dyDescent="0.25">
      <c r="A45" s="552"/>
      <c r="B45" s="367" t="s">
        <v>258</v>
      </c>
      <c r="C45" s="401" t="str">
        <f>IF('Data Calculations'!C$34,
          IF('Data Calculations'!C$237,
                    IF('Data Calculations'!C$229,
                              "",
                              "Beam data not valid"),
                     "MUs outside expected range"),
          "Not Used")</f>
        <v>Not Used</v>
      </c>
      <c r="D45" s="401" t="str">
        <f>IF('Data Calculations'!D$34,
          IF('Data Calculations'!D$237,
                    IF('Data Calculations'!D$229,
                              "",
                              "Beam data not valid"),
                     "MUs outside expected range"),
          "Not Used")</f>
        <v>Not Used</v>
      </c>
      <c r="E45" s="401" t="str">
        <f>IF('Data Calculations'!E$34,
          IF('Data Calculations'!E$237,
                    IF('Data Calculations'!E$229,
                              "",
                              "Beam data not valid"),
                     "MUs outside expected range"),
          "Not Used")</f>
        <v>Not Used</v>
      </c>
      <c r="F45" s="401" t="str">
        <f>IF('Data Calculations'!F$34,
          IF('Data Calculations'!F$237,
                    IF('Data Calculations'!F$229,
                              "",
                              "Beam data not valid"),
                     "MUs outside expected range"),
          "Not Used")</f>
        <v>Not Used</v>
      </c>
    </row>
    <row r="46" spans="1:6" ht="17.100000000000001" customHeight="1" thickTop="1" x14ac:dyDescent="0.2"/>
    <row r="51" spans="2:2" ht="17.100000000000001" customHeight="1" x14ac:dyDescent="0.2">
      <c r="B51" s="12"/>
    </row>
  </sheetData>
  <mergeCells count="17">
    <mergeCell ref="A1:A2"/>
    <mergeCell ref="C1:F1"/>
    <mergeCell ref="C2:F2"/>
    <mergeCell ref="C3:F3"/>
    <mergeCell ref="A4:B4"/>
    <mergeCell ref="C4:F4"/>
    <mergeCell ref="D7:F7"/>
    <mergeCell ref="A43:A45"/>
    <mergeCell ref="A5:B5"/>
    <mergeCell ref="C5:F5"/>
    <mergeCell ref="A19:A21"/>
    <mergeCell ref="A23:B23"/>
    <mergeCell ref="A24:A32"/>
    <mergeCell ref="A33:A34"/>
    <mergeCell ref="A35:A42"/>
    <mergeCell ref="A8:A13"/>
    <mergeCell ref="A14:A18"/>
  </mergeCells>
  <conditionalFormatting sqref="C8:F8">
    <cfRule type="expression" dxfId="89" priority="2" stopIfTrue="1">
      <formula>ISBLANK(C$8 )</formula>
    </cfRule>
  </conditionalFormatting>
  <pageMargins left="0.75" right="0.75" top="1" bottom="1" header="0.5" footer="0.5"/>
  <pageSetup scale="74" orientation="landscape" cellComments="atEnd" horizontalDpi="4294967292"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expression" priority="12" stopIfTrue="1" id="{0383513F-E414-4393-9204-190ADF85F194}">
            <xm:f>'Data Calculations'!C$139</xm:f>
            <x14:dxf>
              <font>
                <color theme="0" tint="-0.14996795556505021"/>
              </font>
              <fill>
                <patternFill>
                  <bgColor theme="0"/>
                </patternFill>
              </fill>
            </x14:dxf>
          </x14:cfRule>
          <x14:cfRule type="expression" priority="37" stopIfTrue="1" id="{9D3E5BB1-CB0A-43F4-9FEA-525AF301524C}">
            <xm:f>NOT('Data Calculations'!C$152)</xm:f>
            <x14:dxf>
              <font>
                <b/>
                <i val="0"/>
                <color rgb="FFFF0000"/>
              </font>
            </x14:dxf>
          </x14:cfRule>
          <xm:sqref>C26:F26</xm:sqref>
        </x14:conditionalFormatting>
        <x14:conditionalFormatting xmlns:xm="http://schemas.microsoft.com/office/excel/2006/main">
          <x14:cfRule type="expression" priority="13" stopIfTrue="1" id="{61CE2956-7A1A-4D85-8795-802E83FBE837}">
            <xm:f>'Data Calculations'!C142</xm:f>
            <x14:dxf>
              <font>
                <color theme="0" tint="-0.14996795556505021"/>
              </font>
              <fill>
                <patternFill>
                  <bgColor theme="0"/>
                </patternFill>
              </fill>
            </x14:dxf>
          </x14:cfRule>
          <x14:cfRule type="expression" priority="39" stopIfTrue="1" id="{23ED1875-D7C9-4B61-BCC9-C360B8FF20B0}">
            <xm:f>NOT('Data Calculations'!C$154)</xm:f>
            <x14:dxf>
              <font>
                <b/>
                <i val="0"/>
                <color rgb="FFFF0000"/>
              </font>
            </x14:dxf>
          </x14:cfRule>
          <xm:sqref>C29:F29</xm:sqref>
        </x14:conditionalFormatting>
        <x14:conditionalFormatting xmlns:xm="http://schemas.microsoft.com/office/excel/2006/main">
          <x14:cfRule type="expression" priority="6" stopIfTrue="1" id="{C7A43E06-EB21-4AA1-825D-556453E2C3DD}">
            <xm:f>'Data Calculations'!C$87</xm:f>
            <x14:dxf>
              <font>
                <color theme="0" tint="-0.14996795556505021"/>
              </font>
              <fill>
                <patternFill>
                  <bgColor theme="0"/>
                </patternFill>
              </fill>
            </x14:dxf>
          </x14:cfRule>
          <xm:sqref>C36:F36</xm:sqref>
        </x14:conditionalFormatting>
        <x14:conditionalFormatting xmlns:xm="http://schemas.microsoft.com/office/excel/2006/main">
          <x14:cfRule type="expression" priority="31" stopIfTrue="1" id="{DA6151AD-89B6-489C-A5D2-FF57F3255F60}">
            <xm:f>NOT('Data Calculations'!C$34)</xm:f>
            <x14:dxf>
              <font>
                <b/>
                <i val="0"/>
                <color rgb="FFFF0000"/>
              </font>
            </x14:dxf>
          </x14:cfRule>
          <xm:sqref>C8:F8</xm:sqref>
        </x14:conditionalFormatting>
        <x14:conditionalFormatting xmlns:xm="http://schemas.microsoft.com/office/excel/2006/main">
          <x14:cfRule type="expression" priority="11" stopIfTrue="1" id="{0085D9D2-654C-40D7-843E-418EAD0EA743}">
            <xm:f>NOT('Data Calculations'!$B$103)</xm:f>
            <x14:dxf>
              <font>
                <color theme="0" tint="-0.14996795556505021"/>
              </font>
              <fill>
                <patternFill>
                  <bgColor theme="0"/>
                </patternFill>
              </fill>
            </x14:dxf>
          </x14:cfRule>
          <x14:cfRule type="expression" priority="47" id="{A787D442-E48D-4F99-A114-B3D074D6EB46}">
            <xm:f>NOT('Data Calculations'!C$108)</xm:f>
            <x14:dxf>
              <font>
                <b/>
                <i val="0"/>
                <u/>
                <color theme="9"/>
              </font>
            </x14:dxf>
          </x14:cfRule>
          <xm:sqref>C22:F22</xm:sqref>
        </x14:conditionalFormatting>
        <x14:conditionalFormatting xmlns:xm="http://schemas.microsoft.com/office/excel/2006/main">
          <x14:cfRule type="expression" priority="7" stopIfTrue="1" id="{8F1F0021-30FC-40B4-BB5E-A32041465297}">
            <xm:f>NOT('Data Calculations'!$B$179)</xm:f>
            <x14:dxf>
              <font>
                <color theme="0" tint="-0.14996795556505021"/>
              </font>
              <fill>
                <patternFill>
                  <bgColor theme="0"/>
                </patternFill>
              </fill>
            </x14:dxf>
          </x14:cfRule>
          <xm:sqref>C34:F34 C40:F40</xm:sqref>
        </x14:conditionalFormatting>
        <x14:conditionalFormatting xmlns:xm="http://schemas.microsoft.com/office/excel/2006/main">
          <x14:cfRule type="expression" priority="14" id="{39B6454D-9727-4EF8-981F-97298D85BAF6}">
            <xm:f>NOT('Data Calculations'!$C$213)</xm:f>
            <x14:dxf>
              <font>
                <b/>
                <i val="0"/>
              </font>
              <fill>
                <patternFill>
                  <bgColor rgb="FFFFFF00"/>
                </patternFill>
              </fill>
            </x14:dxf>
          </x14:cfRule>
          <x14:cfRule type="expression" priority="32" stopIfTrue="1" id="{F208E469-2A3D-4D91-B020-FD07572FBD0C}">
            <xm:f>NOT('Data Calculations'!C$211)</xm:f>
            <x14:dxf>
              <font>
                <b/>
                <i val="0"/>
                <color rgb="FFFF0000"/>
              </font>
            </x14:dxf>
          </x14:cfRule>
          <x14:cfRule type="expression" priority="45" id="{080193C4-7CDA-4B7E-9CA0-C4CBE8C8BDD9}">
            <xm:f>NOT('Data Calculations'!C$210)</xm:f>
            <x14:dxf>
              <font>
                <b/>
                <i val="0"/>
                <u/>
                <color theme="9"/>
              </font>
            </x14:dxf>
          </x14:cfRule>
          <xm:sqref>C9:F9</xm:sqref>
        </x14:conditionalFormatting>
        <x14:conditionalFormatting xmlns:xm="http://schemas.microsoft.com/office/excel/2006/main">
          <x14:cfRule type="expression" priority="5" stopIfTrue="1" id="{B9AE22CC-A242-455E-A89F-215761C5970D}">
            <xm:f>NOT('Data Calculations'!C$96)</xm:f>
            <x14:dxf>
              <font>
                <color theme="0"/>
              </font>
              <fill>
                <patternFill>
                  <bgColor theme="0"/>
                </patternFill>
              </fill>
            </x14:dxf>
          </x14:cfRule>
          <xm:sqref>C21:F21</xm:sqref>
        </x14:conditionalFormatting>
        <x14:conditionalFormatting xmlns:xm="http://schemas.microsoft.com/office/excel/2006/main">
          <x14:cfRule type="expression" priority="8" stopIfTrue="1" id="{BCFE6310-EB7F-4A6A-B197-8BFB8B55B251}">
            <xm:f>NOT('Data Calculations'!C$96)</xm:f>
            <x14:dxf>
              <font>
                <color theme="0" tint="-0.14996795556505021"/>
              </font>
              <fill>
                <patternFill>
                  <bgColor theme="0"/>
                </patternFill>
              </fill>
            </x14:dxf>
          </x14:cfRule>
          <xm:sqref>C19:F20</xm:sqref>
        </x14:conditionalFormatting>
        <x14:conditionalFormatting xmlns:xm="http://schemas.microsoft.com/office/excel/2006/main">
          <x14:cfRule type="expression" priority="17" stopIfTrue="1" id="{0ABCCEFE-591D-4354-A0B2-3145A6E8D58E}">
            <xm:f>NOT('Data Calculations'!C$101)</xm:f>
            <x14:dxf>
              <font>
                <b/>
                <i val="0"/>
                <color rgb="FFFF0000"/>
              </font>
            </x14:dxf>
          </x14:cfRule>
          <x14:cfRule type="expression" priority="46" id="{D6AF3946-F341-4B7C-B84A-75298FD74A2F}">
            <xm:f>NOT('Data Calculations'!C$100)</xm:f>
            <x14:dxf>
              <font>
                <b/>
                <i val="0"/>
                <u/>
                <color theme="9"/>
              </font>
            </x14:dxf>
          </x14:cfRule>
          <xm:sqref>C20:F20</xm:sqref>
        </x14:conditionalFormatting>
        <x14:conditionalFormatting xmlns:xm="http://schemas.microsoft.com/office/excel/2006/main">
          <x14:cfRule type="expression" priority="18" id="{D465DF73-6933-4D85-83AF-D056B67049BD}">
            <xm:f>NOT('Data Calculations'!C$101)</xm:f>
            <x14:dxf>
              <font>
                <b/>
                <i val="0"/>
              </font>
              <fill>
                <patternFill>
                  <bgColor rgb="FFFFFF00"/>
                </patternFill>
              </fill>
            </x14:dxf>
          </x14:cfRule>
          <x14:cfRule type="expression" priority="19" id="{F36E3E19-E0FA-4027-98DD-F23DC8D20C86}">
            <xm:f>NOT('Data Calculations'!C$100)</xm:f>
            <x14:dxf>
              <font>
                <b/>
                <i val="0"/>
              </font>
              <fill>
                <patternFill>
                  <bgColor rgb="FFFFFF00"/>
                </patternFill>
              </fill>
            </x14:dxf>
          </x14:cfRule>
          <xm:sqref>C19:F19 C21:F21</xm:sqref>
        </x14:conditionalFormatting>
        <x14:conditionalFormatting xmlns:xm="http://schemas.microsoft.com/office/excel/2006/main">
          <x14:cfRule type="expression" priority="21" id="{6E2C5B85-D2E9-408E-A4DC-CA25FC7A63E3}">
            <xm:f>NOT('Data Calculations'!C$116)</xm:f>
            <x14:dxf>
              <font>
                <b/>
                <i val="0"/>
              </font>
              <fill>
                <patternFill>
                  <bgColor rgb="FFFFFF00"/>
                </patternFill>
              </fill>
            </x14:dxf>
          </x14:cfRule>
          <x14:cfRule type="expression" priority="35" stopIfTrue="1" id="{B4F19A63-A800-40D3-AF1D-DD97E7692C91}">
            <xm:f>NOT('Data Calculations'!C$115)</xm:f>
            <x14:dxf>
              <font>
                <b/>
                <i val="0"/>
                <color rgb="FFFF0000"/>
              </font>
            </x14:dxf>
          </x14:cfRule>
          <xm:sqref>C23:F23</xm:sqref>
        </x14:conditionalFormatting>
        <x14:conditionalFormatting xmlns:xm="http://schemas.microsoft.com/office/excel/2006/main">
          <x14:cfRule type="expression" priority="10" id="{B683F4D3-5AED-469D-91D4-C228A6241CEE}">
            <xm:f>NOT('Data Calculations'!C$115)</xm:f>
            <x14:dxf>
              <font>
                <b/>
                <i val="0"/>
              </font>
              <fill>
                <patternFill>
                  <bgColor rgb="FFFFFF00"/>
                </patternFill>
              </fill>
            </x14:dxf>
          </x14:cfRule>
          <xm:sqref>C14:F14 C18:F18 C20:F22 C35:F35</xm:sqref>
        </x14:conditionalFormatting>
        <x14:conditionalFormatting xmlns:xm="http://schemas.microsoft.com/office/excel/2006/main">
          <x14:cfRule type="expression" priority="36" stopIfTrue="1" id="{7CF777E9-F1B1-48B3-A236-57BCF53D87C0}">
            <xm:f>NOT('Data Calculations'!C$151)</xm:f>
            <x14:dxf>
              <font>
                <b/>
                <i val="0"/>
                <color rgb="FFFF0000"/>
              </font>
            </x14:dxf>
          </x14:cfRule>
          <xm:sqref>C25:F25</xm:sqref>
        </x14:conditionalFormatting>
        <x14:conditionalFormatting xmlns:xm="http://schemas.microsoft.com/office/excel/2006/main">
          <x14:cfRule type="expression" priority="38" stopIfTrue="1" id="{A4FA5396-858C-40B2-9F1C-2B12F7D25A34}">
            <xm:f>NOT('Data Calculations'!C$153)</xm:f>
            <x14:dxf>
              <font>
                <b/>
                <i val="0"/>
                <color rgb="FFFF0000"/>
              </font>
            </x14:dxf>
          </x14:cfRule>
          <xm:sqref>C28:F28</xm:sqref>
        </x14:conditionalFormatting>
        <x14:conditionalFormatting xmlns:xm="http://schemas.microsoft.com/office/excel/2006/main">
          <x14:cfRule type="expression" priority="22" id="{BFC05EC8-1E15-482C-9AEC-6B7504F6D8BF}">
            <xm:f>NOT('Data Calculations'!C$155)</xm:f>
            <x14:dxf>
              <font>
                <b/>
                <i val="0"/>
              </font>
              <fill>
                <patternFill>
                  <bgColor rgb="FFFFFF00"/>
                </patternFill>
              </fill>
            </x14:dxf>
          </x14:cfRule>
          <xm:sqref>C25:F26</xm:sqref>
        </x14:conditionalFormatting>
        <x14:conditionalFormatting xmlns:xm="http://schemas.microsoft.com/office/excel/2006/main">
          <x14:cfRule type="expression" priority="23" id="{DBD8776E-02DD-4C41-99C7-EDC805F7CDAB}">
            <xm:f>NOT('Data Calculations'!C$156)</xm:f>
            <x14:dxf>
              <font>
                <b/>
                <i val="0"/>
              </font>
              <fill>
                <patternFill>
                  <bgColor rgb="FFFFFF00"/>
                </patternFill>
              </fill>
            </x14:dxf>
          </x14:cfRule>
          <xm:sqref>C28:F29</xm:sqref>
        </x14:conditionalFormatting>
        <x14:conditionalFormatting xmlns:xm="http://schemas.microsoft.com/office/excel/2006/main">
          <x14:cfRule type="expression" priority="40" stopIfTrue="1" id="{16DC0B98-E1F6-4B63-8CAE-A04EE2C6605E}">
            <xm:f>NOT('Data Calculations'!C$157)</xm:f>
            <x14:dxf>
              <font>
                <b/>
                <i val="0"/>
                <color rgb="FFFF0000"/>
              </font>
            </x14:dxf>
          </x14:cfRule>
          <xm:sqref>C30:F30</xm:sqref>
        </x14:conditionalFormatting>
        <x14:conditionalFormatting xmlns:xm="http://schemas.microsoft.com/office/excel/2006/main">
          <x14:cfRule type="expression" priority="25" id="{DD812D65-9B3B-4570-B967-D3C1A5A67595}">
            <xm:f>NOT('Data Calculations'!C$157)</xm:f>
            <x14:dxf>
              <font>
                <b/>
                <i val="0"/>
              </font>
              <fill>
                <patternFill>
                  <bgColor rgb="FFFFFF00"/>
                </patternFill>
              </fill>
            </x14:dxf>
          </x14:cfRule>
          <xm:sqref>C36:F37</xm:sqref>
        </x14:conditionalFormatting>
        <x14:conditionalFormatting xmlns:xm="http://schemas.microsoft.com/office/excel/2006/main">
          <x14:cfRule type="expression" priority="41" stopIfTrue="1" id="{AEE30F07-F4E9-4A71-95C7-E7B0B84A3197}">
            <xm:f>NOT('Data Calculations'!C$169)</xm:f>
            <x14:dxf>
              <font>
                <b/>
                <i val="0"/>
                <color rgb="FFFF0000"/>
              </font>
            </x14:dxf>
          </x14:cfRule>
          <xm:sqref>C32:F32</xm:sqref>
        </x14:conditionalFormatting>
        <x14:conditionalFormatting xmlns:xm="http://schemas.microsoft.com/office/excel/2006/main">
          <x14:cfRule type="expression" priority="20" id="{DE889148-0BEC-435D-AAF2-1124611DA0CE}">
            <xm:f>NOT('Data Calculations'!C$169)</xm:f>
            <x14:dxf>
              <font>
                <b/>
                <i val="0"/>
              </font>
              <fill>
                <patternFill>
                  <bgColor rgb="FFFFFF00"/>
                </patternFill>
              </fill>
            </x14:dxf>
          </x14:cfRule>
          <xm:sqref>C25:F26 C28:F29 C35:F35 C38:F38</xm:sqref>
        </x14:conditionalFormatting>
        <x14:conditionalFormatting xmlns:xm="http://schemas.microsoft.com/office/excel/2006/main">
          <x14:cfRule type="expression" priority="24" id="{2CE96F6C-97E9-4214-9127-5DFCE4E809BC}">
            <xm:f>NOT('Data Calculations'!C$173)</xm:f>
            <x14:dxf>
              <font>
                <b/>
                <i val="0"/>
              </font>
              <fill>
                <patternFill>
                  <bgColor rgb="FFFFFF00"/>
                </patternFill>
              </fill>
            </x14:dxf>
          </x14:cfRule>
          <xm:sqref>C30:F31</xm:sqref>
        </x14:conditionalFormatting>
        <x14:conditionalFormatting xmlns:xm="http://schemas.microsoft.com/office/excel/2006/main">
          <x14:cfRule type="expression" priority="42" stopIfTrue="1" id="{03C8E8A7-783D-45D4-8DA2-ED5C0CFE1820}">
            <xm:f>NOT('Data Calculations'!C$189)</xm:f>
            <x14:dxf>
              <font>
                <b/>
                <i val="0"/>
                <color rgb="FFFF0000"/>
              </font>
            </x14:dxf>
          </x14:cfRule>
          <xm:sqref>C34:F34</xm:sqref>
        </x14:conditionalFormatting>
        <x14:conditionalFormatting xmlns:xm="http://schemas.microsoft.com/office/excel/2006/main">
          <x14:cfRule type="expression" priority="26" id="{42E5ED1B-9449-4AB2-BE20-55D4797275D8}">
            <xm:f>NOT('Data Calculations'!C$189)</xm:f>
            <x14:dxf>
              <font>
                <b/>
                <i val="0"/>
              </font>
              <fill>
                <patternFill>
                  <bgColor rgb="FFFFFF00"/>
                </patternFill>
              </fill>
            </x14:dxf>
          </x14:cfRule>
          <xm:sqref>C40:F40</xm:sqref>
        </x14:conditionalFormatting>
        <x14:conditionalFormatting xmlns:xm="http://schemas.microsoft.com/office/excel/2006/main">
          <x14:cfRule type="expression" priority="27" id="{545A3BF0-813C-452B-A55B-83855EA788AD}">
            <xm:f>NOT('Data Calculations'!C$229)</xm:f>
            <x14:dxf>
              <font>
                <b/>
                <i val="0"/>
                <strike/>
              </font>
              <fill>
                <patternFill>
                  <bgColor rgb="FFFFFF00"/>
                </patternFill>
              </fill>
            </x14:dxf>
          </x14:cfRule>
          <xm:sqref>C43:F45</xm:sqref>
        </x14:conditionalFormatting>
        <x14:conditionalFormatting xmlns:xm="http://schemas.microsoft.com/office/excel/2006/main">
          <x14:cfRule type="expression" priority="48" id="{21DCF943-D69E-4866-9316-776053E24F59}">
            <xm:f>NOT('Data Calculations'!C$233)</xm:f>
            <x14:dxf>
              <font>
                <b/>
                <i val="0"/>
                <u/>
                <color theme="9"/>
              </font>
            </x14:dxf>
          </x14:cfRule>
          <xm:sqref>C43:F43</xm:sqref>
        </x14:conditionalFormatting>
        <x14:conditionalFormatting xmlns:xm="http://schemas.microsoft.com/office/excel/2006/main">
          <x14:cfRule type="expression" priority="49" id="{B40637E5-2D7D-4821-8074-ABC849021060}">
            <xm:f>NOT('Data Calculations'!C$237)</xm:f>
            <x14:dxf>
              <font>
                <b/>
                <i val="0"/>
                <u/>
                <color theme="9"/>
              </font>
            </x14:dxf>
          </x14:cfRule>
          <xm:sqref>C45:F45</xm:sqref>
        </x14:conditionalFormatting>
        <x14:conditionalFormatting xmlns:xm="http://schemas.microsoft.com/office/excel/2006/main">
          <x14:cfRule type="expression" priority="3" stopIfTrue="1" id="{C259D8A7-7872-45E0-9116-22FEB22817DF}">
            <xm:f>NOT('Data Calculations'!C$34)</xm:f>
            <x14:dxf>
              <font>
                <color theme="0"/>
              </font>
              <fill>
                <patternFill>
                  <bgColor theme="0"/>
                </patternFill>
              </fill>
            </x14:dxf>
          </x14:cfRule>
          <xm:sqref>C10:F11 C13:F13 C16:F18 C21:F21 C23:F23 C30:F32 C34:F40 C43:F45</xm:sqref>
        </x14:conditionalFormatting>
        <x14:conditionalFormatting xmlns:xm="http://schemas.microsoft.com/office/excel/2006/main">
          <x14:cfRule type="expression" priority="1" stopIfTrue="1" id="{E6BAF1CA-EDE8-4426-ADAE-85C901B9F31B}">
            <xm:f>NOT('Data Calculations'!C$34)</xm:f>
            <x14:dxf>
              <font>
                <color theme="0" tint="-0.14996795556505021"/>
              </font>
              <fill>
                <patternFill>
                  <bgColor theme="0"/>
                </patternFill>
              </fill>
            </x14:dxf>
          </x14:cfRule>
          <xm:sqref>C9:F9 C14:F15 C19:F20 C22:F22 C25:F26 C28:F29</xm:sqref>
        </x14:conditionalFormatting>
        <x14:conditionalFormatting xmlns:xm="http://schemas.microsoft.com/office/excel/2006/main">
          <x14:cfRule type="expression" priority="15" id="{9FE47208-1DBA-47A2-AE44-82382AC5E086}">
            <xm:f>NOT('Data Calculations'!C$72)</xm:f>
            <x14:dxf>
              <font>
                <b/>
                <i val="0"/>
              </font>
              <fill>
                <patternFill>
                  <bgColor rgb="FFFFFF00"/>
                </patternFill>
              </fill>
            </x14:dxf>
          </x14:cfRule>
          <xm:sqref>C13:F13</xm:sqref>
        </x14:conditionalFormatting>
        <x14:conditionalFormatting xmlns:xm="http://schemas.microsoft.com/office/excel/2006/main">
          <x14:cfRule type="expression" priority="33" stopIfTrue="1" id="{DD4663F5-50E9-4798-AE0C-2FA0EC6419D3}">
            <xm:f>NOT('Data Calculations'!C$86)</xm:f>
            <x14:dxf>
              <font>
                <b/>
                <i val="0"/>
                <color rgb="FFFF0000"/>
              </font>
            </x14:dxf>
          </x14:cfRule>
          <xm:sqref>C14:F14</xm:sqref>
        </x14:conditionalFormatting>
        <x14:conditionalFormatting xmlns:xm="http://schemas.microsoft.com/office/excel/2006/main">
          <x14:cfRule type="expression" priority="4" stopIfTrue="1" id="{6C993AE0-4F8D-47D6-9FA7-E0D226502BB1}">
            <xm:f>NOT('Data Calculations'!C$87)</xm:f>
            <x14:dxf>
              <font>
                <color theme="0" tint="-0.14996795556505021"/>
              </font>
              <fill>
                <patternFill>
                  <bgColor theme="0"/>
                </patternFill>
              </fill>
            </x14:dxf>
          </x14:cfRule>
          <xm:sqref>C16:F17 C30:F30 C37:F39</xm:sqref>
        </x14:conditionalFormatting>
        <x14:conditionalFormatting xmlns:xm="http://schemas.microsoft.com/office/excel/2006/main">
          <x14:cfRule type="expression" priority="43" id="{C82ECA9F-C0EB-4D56-88E8-4C354270B37C}">
            <xm:f>NOT('Data Calculations'!C202)</xm:f>
            <x14:dxf>
              <font>
                <b/>
                <i val="0"/>
                <u/>
                <color theme="9"/>
              </font>
            </x14:dxf>
          </x14:cfRule>
          <xm:sqref>C4:F4</xm:sqref>
        </x14:conditionalFormatting>
        <x14:conditionalFormatting xmlns:xm="http://schemas.microsoft.com/office/excel/2006/main">
          <x14:cfRule type="expression" priority="44" id="{8C88B19C-F1C8-417F-B287-80CC68E84F9C}">
            <xm:f>NOT('Data Calculations'!C206)</xm:f>
            <x14:dxf>
              <font>
                <b/>
                <i val="0"/>
                <u/>
                <color theme="9"/>
              </font>
            </x14:dxf>
          </x14:cfRule>
          <xm:sqref>C5:F5</xm:sqref>
        </x14:conditionalFormatting>
        <x14:conditionalFormatting xmlns:xm="http://schemas.microsoft.com/office/excel/2006/main">
          <x14:cfRule type="expression" priority="29" stopIfTrue="1" id="{56CCB3ED-A803-4F6B-AA09-758DCA16BE2E}">
            <xm:f>NOT('Data Calculations'!D24)</xm:f>
            <x14:dxf>
              <font>
                <b/>
                <i val="0"/>
                <color rgb="FFFF0000"/>
              </font>
            </x14:dxf>
          </x14:cfRule>
          <xm:sqref>C1:E2</xm:sqref>
        </x14:conditionalFormatting>
        <x14:conditionalFormatting xmlns:xm="http://schemas.microsoft.com/office/excel/2006/main">
          <x14:cfRule type="expression" priority="28" id="{7388600F-9C4D-40BD-9638-EC17DD174518}">
            <xm:f>NOT('Data Calculations'!D26)</xm:f>
            <x14:dxf>
              <font>
                <b/>
                <i val="0"/>
                <color rgb="FFFF0000"/>
              </font>
            </x14:dxf>
          </x14:cfRule>
          <xm:sqref>C3:E3</xm:sqref>
        </x14:conditionalFormatting>
        <x14:conditionalFormatting xmlns:xm="http://schemas.microsoft.com/office/excel/2006/main">
          <x14:cfRule type="expression" priority="635" stopIfTrue="1" id="{56CCB3ED-A803-4F6B-AA09-758DCA16BE2E}">
            <xm:f>NOT('Data Calculations'!#REF!)</xm:f>
            <x14:dxf>
              <font>
                <b/>
                <i val="0"/>
                <color rgb="FFFF0000"/>
              </font>
            </x14:dxf>
          </x14:cfRule>
          <xm:sqref>F1:F2</xm:sqref>
        </x14:conditionalFormatting>
        <x14:conditionalFormatting xmlns:xm="http://schemas.microsoft.com/office/excel/2006/main">
          <x14:cfRule type="expression" priority="637" id="{7388600F-9C4D-40BD-9638-EC17DD174518}">
            <xm:f>NOT('Data Calculations'!#REF!)</xm:f>
            <x14:dxf>
              <font>
                <b/>
                <i val="0"/>
                <color rgb="FFFF0000"/>
              </font>
            </x14:dxf>
          </x14:cfRule>
          <xm:sqref>F3</xm:sqref>
        </x14:conditionalFormatting>
        <x14:conditionalFormatting xmlns:xm="http://schemas.microsoft.com/office/excel/2006/main">
          <x14:cfRule type="expression" priority="1229" stopIfTrue="1" id="{6E727A4C-5A04-41BE-92F6-5A33F4F1594B}">
            <xm:f>NOT('Data Calculations'!C$87)</xm:f>
            <x14:dxf>
              <font>
                <color theme="0" tint="-0.14996795556505021"/>
              </font>
              <fill>
                <patternFill>
                  <bgColor theme="0"/>
                </patternFill>
              </fill>
            </x14:dxf>
          </x14:cfRule>
          <x14:cfRule type="expression" priority="1230" stopIfTrue="1" id="{57511500-0910-4EDE-A697-DAB6D66CF0B1}">
            <xm:f>NOT('Data Calculations'!C$115)</xm:f>
            <x14:dxf>
              <font>
                <b/>
                <i val="0"/>
                <color rgb="FFFF0000"/>
              </font>
            </x14:dxf>
          </x14:cfRule>
          <xm:sqref>C15:F15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H637"/>
  <sheetViews>
    <sheetView topLeftCell="B163" zoomScale="80" zoomScaleNormal="80" workbookViewId="0">
      <selection activeCell="B196" sqref="B196"/>
    </sheetView>
  </sheetViews>
  <sheetFormatPr defaultRowHeight="12.75" outlineLevelRow="1" x14ac:dyDescent="0.2"/>
  <cols>
    <col min="1" max="1" width="15" style="65" customWidth="1"/>
    <col min="2" max="2" width="37.85546875" style="65" customWidth="1"/>
    <col min="3" max="3" width="24.85546875" style="65" customWidth="1"/>
    <col min="4" max="4" width="22.7109375" style="65" customWidth="1"/>
    <col min="5" max="5" width="24.5703125" style="65" customWidth="1"/>
    <col min="6" max="6" width="22.7109375" style="65" customWidth="1"/>
    <col min="7" max="7" width="12.7109375" style="65" customWidth="1"/>
    <col min="8" max="8" width="41.7109375" style="65" customWidth="1"/>
    <col min="9" max="16384" width="9.140625" style="65"/>
  </cols>
  <sheetData>
    <row r="1" spans="2:6" ht="12.95" customHeight="1" x14ac:dyDescent="0.2"/>
    <row r="2" spans="2:6" ht="20.25" thickBot="1" x14ac:dyDescent="0.35">
      <c r="B2" s="66" t="s">
        <v>272</v>
      </c>
    </row>
    <row r="3" spans="2:6" ht="12.95" customHeight="1" outlineLevel="1" thickTop="1" thickBot="1" x14ac:dyDescent="0.25"/>
    <row r="4" spans="2:6" ht="15" outlineLevel="1" x14ac:dyDescent="0.2">
      <c r="B4" s="477" t="s">
        <v>284</v>
      </c>
      <c r="C4" s="622"/>
      <c r="D4" s="623"/>
    </row>
    <row r="5" spans="2:6" ht="15" outlineLevel="1" x14ac:dyDescent="0.2">
      <c r="B5" s="478" t="s">
        <v>130</v>
      </c>
      <c r="C5" s="624"/>
      <c r="D5" s="625"/>
    </row>
    <row r="6" spans="2:6" ht="15" outlineLevel="1" x14ac:dyDescent="0.2">
      <c r="B6" s="478" t="s">
        <v>131</v>
      </c>
      <c r="C6" s="626"/>
      <c r="D6" s="627"/>
    </row>
    <row r="7" spans="2:6" ht="15" outlineLevel="1" x14ac:dyDescent="0.2">
      <c r="B7" s="478" t="s">
        <v>132</v>
      </c>
      <c r="C7" s="628"/>
      <c r="D7" s="629"/>
    </row>
    <row r="8" spans="2:6" ht="15" outlineLevel="1" x14ac:dyDescent="0.2">
      <c r="B8" s="478" t="s">
        <v>133</v>
      </c>
      <c r="C8" s="388"/>
      <c r="D8" s="387"/>
      <c r="F8" s="34"/>
    </row>
    <row r="9" spans="2:6" ht="15" outlineLevel="1" x14ac:dyDescent="0.2">
      <c r="B9" s="478" t="s">
        <v>134</v>
      </c>
      <c r="C9" s="630"/>
      <c r="D9" s="631"/>
    </row>
    <row r="10" spans="2:6" ht="15" outlineLevel="1" x14ac:dyDescent="0.2">
      <c r="B10" s="478" t="s">
        <v>276</v>
      </c>
      <c r="C10" s="640"/>
      <c r="D10" s="641"/>
    </row>
    <row r="11" spans="2:6" ht="15" outlineLevel="1" x14ac:dyDescent="0.2">
      <c r="B11" s="478" t="s">
        <v>135</v>
      </c>
      <c r="C11" s="632"/>
      <c r="D11" s="633"/>
    </row>
    <row r="12" spans="2:6" ht="15.75" outlineLevel="1" x14ac:dyDescent="0.25">
      <c r="B12" s="478" t="s">
        <v>179</v>
      </c>
      <c r="C12" s="636"/>
      <c r="D12" s="637"/>
    </row>
    <row r="13" spans="2:6" ht="15.75" outlineLevel="1" x14ac:dyDescent="0.25">
      <c r="B13" s="478" t="s">
        <v>137</v>
      </c>
      <c r="C13" s="634" t="s">
        <v>136</v>
      </c>
      <c r="D13" s="635"/>
    </row>
    <row r="14" spans="2:6" ht="15.75" outlineLevel="1" x14ac:dyDescent="0.25">
      <c r="B14" s="478" t="s">
        <v>196</v>
      </c>
      <c r="C14" s="67"/>
      <c r="D14" s="68"/>
    </row>
    <row r="15" spans="2:6" ht="15.75" outlineLevel="1" x14ac:dyDescent="0.25">
      <c r="B15" s="478" t="s">
        <v>300</v>
      </c>
      <c r="C15" s="644"/>
      <c r="D15" s="645"/>
    </row>
    <row r="16" spans="2:6" ht="15.75" outlineLevel="1" x14ac:dyDescent="0.25">
      <c r="B16" s="478" t="s">
        <v>301</v>
      </c>
      <c r="C16" s="642"/>
      <c r="D16" s="643"/>
    </row>
    <row r="17" spans="1:8" ht="16.5" outlineLevel="1" thickBot="1" x14ac:dyDescent="0.3">
      <c r="B17" s="479" t="s">
        <v>220</v>
      </c>
      <c r="C17" s="638"/>
      <c r="D17" s="639"/>
    </row>
    <row r="18" spans="1:8" ht="12.95" customHeight="1" x14ac:dyDescent="0.2"/>
    <row r="19" spans="1:8" ht="12.95" customHeight="1" x14ac:dyDescent="0.2"/>
    <row r="20" spans="1:8" ht="12.95" customHeight="1" x14ac:dyDescent="0.2"/>
    <row r="21" spans="1:8" ht="20.25" thickBot="1" x14ac:dyDescent="0.35">
      <c r="B21" s="66" t="s">
        <v>273</v>
      </c>
    </row>
    <row r="22" spans="1:8" s="34" customFormat="1" ht="14.25" outlineLevel="1" thickTop="1" thickBot="1" x14ac:dyDescent="0.25"/>
    <row r="23" spans="1:8" s="34" customFormat="1" ht="15.75" outlineLevel="1" x14ac:dyDescent="0.25">
      <c r="A23" s="31"/>
      <c r="B23" s="607" t="s">
        <v>270</v>
      </c>
      <c r="C23" s="608"/>
      <c r="D23" s="609"/>
      <c r="E23" s="31"/>
      <c r="G23" s="31"/>
      <c r="H23" s="31"/>
    </row>
    <row r="24" spans="1:8" s="34" customFormat="1" ht="15" outlineLevel="1" x14ac:dyDescent="0.2">
      <c r="A24" s="31"/>
      <c r="B24" s="500" t="s">
        <v>0</v>
      </c>
      <c r="C24" s="501">
        <f>'Data Entry'!C1</f>
        <v>0</v>
      </c>
      <c r="D24" s="502" t="b">
        <f>AND(TYPE(C24)=2,C24&lt;&gt;"")</f>
        <v>0</v>
      </c>
      <c r="E24" s="31" t="s">
        <v>324</v>
      </c>
      <c r="G24" s="31"/>
      <c r="H24" s="31"/>
    </row>
    <row r="25" spans="1:8" s="34" customFormat="1" ht="15" outlineLevel="1" x14ac:dyDescent="0.2">
      <c r="A25" s="31"/>
      <c r="B25" s="500" t="s">
        <v>1</v>
      </c>
      <c r="C25" s="501">
        <f>'Data Entry'!C2</f>
        <v>0</v>
      </c>
      <c r="D25" s="502" t="b">
        <f>LEN(TRIM(C25))=7</f>
        <v>0</v>
      </c>
      <c r="E25" s="31" t="s">
        <v>324</v>
      </c>
      <c r="G25" s="31"/>
      <c r="H25" s="31"/>
    </row>
    <row r="26" spans="1:8" s="34" customFormat="1" ht="15.75" outlineLevel="1" thickBot="1" x14ac:dyDescent="0.25">
      <c r="A26" s="31"/>
      <c r="B26" s="503" t="s">
        <v>162</v>
      </c>
      <c r="C26" s="504">
        <f>'Data Entry'!C3</f>
        <v>0</v>
      </c>
      <c r="D26" s="505" t="b">
        <f>AND(TYPE(C26)=2,C26&lt;&gt;"")</f>
        <v>0</v>
      </c>
      <c r="E26" s="31" t="s">
        <v>324</v>
      </c>
      <c r="G26" s="31"/>
      <c r="H26" s="31"/>
    </row>
    <row r="27" spans="1:8" s="34" customFormat="1" x14ac:dyDescent="0.2">
      <c r="A27" s="31"/>
      <c r="B27" s="31"/>
      <c r="C27" s="31"/>
      <c r="D27" s="31"/>
      <c r="E27" s="31"/>
      <c r="F27" s="31"/>
      <c r="G27" s="31"/>
      <c r="H27" s="31"/>
    </row>
    <row r="28" spans="1:8" s="34" customFormat="1" x14ac:dyDescent="0.2">
      <c r="A28" s="31"/>
      <c r="B28" s="31"/>
      <c r="C28" s="31"/>
      <c r="D28" s="31"/>
      <c r="E28" s="31"/>
      <c r="F28" s="31"/>
      <c r="G28" s="31"/>
      <c r="H28" s="31"/>
    </row>
    <row r="29" spans="1:8" s="34" customFormat="1" x14ac:dyDescent="0.2">
      <c r="A29" s="31"/>
      <c r="B29" s="31"/>
      <c r="C29" s="31"/>
      <c r="D29" s="31"/>
      <c r="E29" s="31"/>
      <c r="F29" s="31"/>
      <c r="G29" s="31"/>
      <c r="H29" s="31"/>
    </row>
    <row r="30" spans="1:8" ht="20.25" thickBot="1" x14ac:dyDescent="0.35">
      <c r="B30" s="66" t="s">
        <v>356</v>
      </c>
      <c r="G30" s="34"/>
    </row>
    <row r="31" spans="1:8" ht="12.75" customHeight="1" outlineLevel="1" thickTop="1" thickBot="1" x14ac:dyDescent="0.25">
      <c r="G31" s="34"/>
    </row>
    <row r="32" spans="1:8" s="34" customFormat="1" ht="15.75" outlineLevel="1" x14ac:dyDescent="0.25">
      <c r="B32" s="607" t="s">
        <v>354</v>
      </c>
      <c r="C32" s="608"/>
      <c r="D32" s="608"/>
      <c r="E32" s="608"/>
      <c r="F32" s="609"/>
    </row>
    <row r="33" spans="1:8" s="34" customFormat="1" ht="15" outlineLevel="1" x14ac:dyDescent="0.2">
      <c r="B33" s="500" t="s">
        <v>19</v>
      </c>
      <c r="C33" s="501" t="str">
        <f>IF(ISBLANK('Data Entry'!C8 ), "",IF(ISTEXT('Data Entry'!C8 ),TRIM('Data Entry'!C8),""))</f>
        <v/>
      </c>
      <c r="D33" s="501" t="str">
        <f>IF(ISBLANK('Data Entry'!D8 ), "",IF(ISTEXT('Data Entry'!D8 ),TRIM('Data Entry'!D8),""))</f>
        <v/>
      </c>
      <c r="E33" s="501" t="str">
        <f>IF(ISBLANK('Data Entry'!E8 ), "",IF(ISTEXT('Data Entry'!E8 ),TRIM('Data Entry'!E8),""))</f>
        <v/>
      </c>
      <c r="F33" s="507" t="str">
        <f>IF(ISBLANK('Data Entry'!F8 ), "",IF(ISTEXT('Data Entry'!F8 ),TRIM('Data Entry'!F8),""))</f>
        <v/>
      </c>
    </row>
    <row r="34" spans="1:8" s="34" customFormat="1" ht="15.75" outlineLevel="1" thickBot="1" x14ac:dyDescent="0.25">
      <c r="B34" s="503" t="s">
        <v>282</v>
      </c>
      <c r="C34" s="508" t="b">
        <f>AND(NOT(EXACT(C33,"")),ISNA(MATCH(C33,D33:F33,0)))</f>
        <v>0</v>
      </c>
      <c r="D34" s="508" t="b">
        <f>AND(NOT(EXACT(D33,"")),ISNA(MATCH(D33,E33:G33,0)))</f>
        <v>0</v>
      </c>
      <c r="E34" s="508" t="b">
        <f>AND(NOT(EXACT(E33,"")),ISNA(MATCH(E33,F33:H33,0)))</f>
        <v>0</v>
      </c>
      <c r="F34" s="509" t="b">
        <f>AND(NOT(EXACT(F33,"")),ISNA(MATCH(F33,G33:I33,0)))</f>
        <v>0</v>
      </c>
      <c r="G34" s="34" t="s">
        <v>260</v>
      </c>
    </row>
    <row r="35" spans="1:8" s="34" customFormat="1" ht="13.5" outlineLevel="1" thickBot="1" x14ac:dyDescent="0.25"/>
    <row r="36" spans="1:8" s="34" customFormat="1" ht="15.75" outlineLevel="1" x14ac:dyDescent="0.25">
      <c r="B36" s="607" t="s">
        <v>355</v>
      </c>
      <c r="C36" s="608"/>
      <c r="D36" s="608"/>
      <c r="E36" s="608"/>
      <c r="F36" s="609"/>
    </row>
    <row r="37" spans="1:8" s="34" customFormat="1" ht="15.75" outlineLevel="1" x14ac:dyDescent="0.25">
      <c r="B37" s="500" t="s">
        <v>277</v>
      </c>
      <c r="C37" s="506">
        <f>IF(C34,1,0)</f>
        <v>0</v>
      </c>
      <c r="D37" s="506">
        <f>IF(D33="",0,1)</f>
        <v>0</v>
      </c>
      <c r="E37" s="506">
        <f>IF(E33="",0,1)</f>
        <v>0</v>
      </c>
      <c r="F37" s="510">
        <f>IF(F33="",0,1)</f>
        <v>0</v>
      </c>
    </row>
    <row r="38" spans="1:8" s="34" customFormat="1" ht="16.5" outlineLevel="1" thickBot="1" x14ac:dyDescent="0.3">
      <c r="B38" s="503" t="s">
        <v>181</v>
      </c>
      <c r="C38" s="619">
        <f>SUM($C$37:$F$37)</f>
        <v>0</v>
      </c>
      <c r="D38" s="619"/>
      <c r="E38" s="619"/>
      <c r="F38" s="620"/>
    </row>
    <row r="39" spans="1:8" s="34" customFormat="1" ht="12.95" customHeight="1" x14ac:dyDescent="0.2"/>
    <row r="40" spans="1:8" s="34" customFormat="1" ht="12.95" customHeight="1" x14ac:dyDescent="0.2"/>
    <row r="41" spans="1:8" s="34" customFormat="1" ht="12.95" customHeight="1" x14ac:dyDescent="0.2"/>
    <row r="42" spans="1:8" ht="20.25" thickBot="1" x14ac:dyDescent="0.35">
      <c r="A42" s="72"/>
      <c r="B42" s="73" t="s">
        <v>271</v>
      </c>
      <c r="C42" s="72"/>
      <c r="D42" s="30"/>
      <c r="E42" s="72"/>
      <c r="F42" s="72"/>
      <c r="G42" s="72"/>
      <c r="H42" s="72"/>
    </row>
    <row r="43" spans="1:8" s="34" customFormat="1" ht="12.95" customHeight="1" thickTop="1" thickBot="1" x14ac:dyDescent="0.25">
      <c r="A43" s="31"/>
      <c r="B43" s="31"/>
      <c r="C43" s="31"/>
      <c r="D43" s="31"/>
      <c r="E43" s="31"/>
      <c r="F43" s="31"/>
      <c r="G43" s="31"/>
      <c r="H43" s="31"/>
    </row>
    <row r="44" spans="1:8" s="34" customFormat="1" ht="15.75" x14ac:dyDescent="0.25">
      <c r="B44" s="511" t="s">
        <v>169</v>
      </c>
    </row>
    <row r="45" spans="1:8" s="34" customFormat="1" ht="15" x14ac:dyDescent="0.2">
      <c r="B45" s="512" t="s">
        <v>268</v>
      </c>
    </row>
    <row r="46" spans="1:8" s="34" customFormat="1" ht="15" x14ac:dyDescent="0.2">
      <c r="B46" s="512" t="str">
        <f>C57</f>
        <v>CL6</v>
      </c>
    </row>
    <row r="47" spans="1:8" s="34" customFormat="1" ht="15" x14ac:dyDescent="0.2">
      <c r="B47" s="512" t="str">
        <f>D57</f>
        <v>21AIX</v>
      </c>
    </row>
    <row r="48" spans="1:8" s="34" customFormat="1" ht="15" x14ac:dyDescent="0.2">
      <c r="B48" s="512" t="str">
        <f>E57</f>
        <v>21BIX</v>
      </c>
    </row>
    <row r="49" spans="2:7" s="34" customFormat="1" ht="15" x14ac:dyDescent="0.2">
      <c r="B49" s="512" t="str">
        <f>F57</f>
        <v>21D</v>
      </c>
    </row>
    <row r="50" spans="2:7" s="34" customFormat="1" ht="16.5" customHeight="1" thickBot="1" x14ac:dyDescent="0.25">
      <c r="B50" s="513" t="str">
        <f>G57</f>
        <v>TR1</v>
      </c>
    </row>
    <row r="51" spans="2:7" s="34" customFormat="1" ht="12.95" customHeight="1" thickBot="1" x14ac:dyDescent="0.25"/>
    <row r="52" spans="2:7" s="34" customFormat="1" ht="15.75" x14ac:dyDescent="0.25">
      <c r="B52" s="607" t="s">
        <v>274</v>
      </c>
      <c r="C52" s="609"/>
    </row>
    <row r="53" spans="2:7" s="34" customFormat="1" ht="15" x14ac:dyDescent="0.2">
      <c r="B53" s="514" t="s">
        <v>169</v>
      </c>
      <c r="C53" s="515" t="str">
        <f>IF(ISBLANK(C54),"",INDEX(B45:B50,C54,0))</f>
        <v>Select Treatment Unit</v>
      </c>
    </row>
    <row r="54" spans="2:7" s="34" customFormat="1" ht="15.75" thickBot="1" x14ac:dyDescent="0.25">
      <c r="B54" s="516" t="s">
        <v>138</v>
      </c>
      <c r="C54" s="517">
        <v>1</v>
      </c>
    </row>
    <row r="55" spans="2:7" s="34" customFormat="1" ht="12.75" customHeight="1" thickBot="1" x14ac:dyDescent="0.25"/>
    <row r="56" spans="2:7" s="34" customFormat="1" ht="15.75" x14ac:dyDescent="0.25">
      <c r="B56" s="648" t="s">
        <v>134</v>
      </c>
      <c r="C56" s="649"/>
      <c r="D56" s="649"/>
      <c r="E56" s="649"/>
      <c r="F56" s="649"/>
      <c r="G56" s="650"/>
    </row>
    <row r="57" spans="2:7" s="34" customFormat="1" ht="15.75" x14ac:dyDescent="0.25">
      <c r="B57" s="518" t="s">
        <v>22</v>
      </c>
      <c r="C57" s="519" t="s">
        <v>170</v>
      </c>
      <c r="D57" s="519" t="s">
        <v>171</v>
      </c>
      <c r="E57" s="519" t="s">
        <v>172</v>
      </c>
      <c r="F57" s="519" t="s">
        <v>173</v>
      </c>
      <c r="G57" s="520" t="s">
        <v>353</v>
      </c>
    </row>
    <row r="58" spans="2:7" s="34" customFormat="1" ht="15.75" x14ac:dyDescent="0.25">
      <c r="B58" s="518" t="s">
        <v>175</v>
      </c>
      <c r="C58" s="521" t="str">
        <f>'Table References'!D2</f>
        <v>CL6 6MV</v>
      </c>
      <c r="D58" s="521" t="str">
        <f>'Table References'!E2</f>
        <v>6MV</v>
      </c>
      <c r="E58" s="521" t="str">
        <f>'Table References'!E2</f>
        <v>6MV</v>
      </c>
      <c r="F58" s="521" t="str">
        <f>'Table References'!E2</f>
        <v>6MV</v>
      </c>
      <c r="G58" s="522" t="str">
        <f>'Table References'!E2</f>
        <v>6MV</v>
      </c>
    </row>
    <row r="59" spans="2:7" s="34" customFormat="1" ht="15.75" x14ac:dyDescent="0.25">
      <c r="B59" s="518" t="s">
        <v>168</v>
      </c>
      <c r="C59" s="521"/>
      <c r="D59" s="521"/>
      <c r="E59" s="521"/>
      <c r="F59" s="521"/>
      <c r="G59" s="522" t="str">
        <f>'Table References'!F2</f>
        <v>10 MV</v>
      </c>
    </row>
    <row r="60" spans="2:7" s="34" customFormat="1" ht="16.5" thickBot="1" x14ac:dyDescent="0.3">
      <c r="B60" s="523" t="s">
        <v>176</v>
      </c>
      <c r="C60" s="524"/>
      <c r="D60" s="524" t="str">
        <f>'Table References'!G2</f>
        <v>15MV</v>
      </c>
      <c r="E60" s="524" t="str">
        <f>'Table References'!G2</f>
        <v>15MV</v>
      </c>
      <c r="F60" s="524" t="str">
        <f>'Table References'!G2</f>
        <v>15MV</v>
      </c>
      <c r="G60" s="525" t="str">
        <f>'Table References'!G2</f>
        <v>15MV</v>
      </c>
    </row>
    <row r="61" spans="2:7" s="34" customFormat="1" ht="12.95" customHeight="1" thickBot="1" x14ac:dyDescent="0.25"/>
    <row r="62" spans="2:7" s="34" customFormat="1" ht="15.75" x14ac:dyDescent="0.25">
      <c r="B62" s="511" t="s">
        <v>180</v>
      </c>
    </row>
    <row r="63" spans="2:7" s="34" customFormat="1" ht="15" x14ac:dyDescent="0.2">
      <c r="B63" s="526" t="str">
        <f>IF(C54=1,"","Select Energy")</f>
        <v/>
      </c>
    </row>
    <row r="64" spans="2:7" s="34" customFormat="1" ht="15" x14ac:dyDescent="0.2">
      <c r="B64" s="526" t="str">
        <f>IF(C54=1,"",IF(ISBLANK(INDEX(B58:G58,0,$C$54)),"",B58))</f>
        <v/>
      </c>
    </row>
    <row r="65" spans="2:7" s="34" customFormat="1" ht="15" x14ac:dyDescent="0.2">
      <c r="B65" s="526" t="str">
        <f>IF(C54=1,"",IF(ISBLANK(INDEX(B59:G59,0,$C$54)),"",B59))</f>
        <v/>
      </c>
    </row>
    <row r="66" spans="2:7" s="34" customFormat="1" ht="15.75" thickBot="1" x14ac:dyDescent="0.25">
      <c r="B66" s="527" t="str">
        <f>IF(C54=1,"",IF(ISBLANK(INDEX(B60:G60,0,$C$54)),"",B60))</f>
        <v/>
      </c>
    </row>
    <row r="67" spans="2:7" s="34" customFormat="1" ht="12.95" customHeight="1" thickBot="1" x14ac:dyDescent="0.25"/>
    <row r="68" spans="2:7" s="34" customFormat="1" ht="15.75" x14ac:dyDescent="0.25">
      <c r="B68" s="607" t="s">
        <v>275</v>
      </c>
      <c r="C68" s="608"/>
      <c r="D68" s="608"/>
      <c r="E68" s="608"/>
      <c r="F68" s="609"/>
    </row>
    <row r="69" spans="2:7" s="34" customFormat="1" ht="15.75" x14ac:dyDescent="0.25">
      <c r="B69" s="514" t="s">
        <v>70</v>
      </c>
      <c r="C69" s="528" t="str">
        <f>INDEX($B$63:$B$66,C70,0)</f>
        <v/>
      </c>
      <c r="D69" s="528" t="str">
        <f t="shared" ref="D69:F69" si="0">INDEX($B$63:$B$66,D70,0)</f>
        <v/>
      </c>
      <c r="E69" s="528" t="str">
        <f t="shared" si="0"/>
        <v/>
      </c>
      <c r="F69" s="539" t="str">
        <f t="shared" si="0"/>
        <v/>
      </c>
    </row>
    <row r="70" spans="2:7" s="34" customFormat="1" ht="15" x14ac:dyDescent="0.2">
      <c r="B70" s="514" t="s">
        <v>138</v>
      </c>
      <c r="C70" s="529">
        <v>1</v>
      </c>
      <c r="D70" s="529">
        <v>1</v>
      </c>
      <c r="E70" s="529">
        <v>1</v>
      </c>
      <c r="F70" s="540">
        <v>1</v>
      </c>
    </row>
    <row r="71" spans="2:7" s="34" customFormat="1" ht="15" x14ac:dyDescent="0.2">
      <c r="B71" s="514" t="s">
        <v>177</v>
      </c>
      <c r="C71" s="530" t="e">
        <f>VLOOKUP(C69,$B$58:$G$60,$C$54,FALSE)</f>
        <v>#N/A</v>
      </c>
      <c r="D71" s="530" t="e">
        <f>VLOOKUP(D69,$B$58:$G$60,$C$54,FALSE)</f>
        <v>#N/A</v>
      </c>
      <c r="E71" s="530" t="e">
        <f>VLOOKUP(E69,$B$58:$G$60,$C$54,FALSE)</f>
        <v>#N/A</v>
      </c>
      <c r="F71" s="541" t="e">
        <f>VLOOKUP(F69,$B$58:$G$60,$C$54,FALSE)</f>
        <v>#N/A</v>
      </c>
    </row>
    <row r="72" spans="2:7" s="34" customFormat="1" ht="15.75" thickBot="1" x14ac:dyDescent="0.25">
      <c r="B72" s="516" t="s">
        <v>261</v>
      </c>
      <c r="C72" s="508" t="b">
        <f>NOT(ISNA(C71))</f>
        <v>0</v>
      </c>
      <c r="D72" s="508" t="b">
        <f t="shared" ref="D72:F72" si="1">NOT(ISNA(D71))</f>
        <v>0</v>
      </c>
      <c r="E72" s="508" t="b">
        <f t="shared" si="1"/>
        <v>0</v>
      </c>
      <c r="F72" s="509" t="b">
        <f t="shared" si="1"/>
        <v>0</v>
      </c>
      <c r="G72" s="34" t="s">
        <v>260</v>
      </c>
    </row>
    <row r="73" spans="2:7" s="34" customFormat="1" ht="12.95" customHeight="1" x14ac:dyDescent="0.2"/>
    <row r="74" spans="2:7" s="34" customFormat="1" ht="12.95" customHeight="1" x14ac:dyDescent="0.2"/>
    <row r="75" spans="2:7" s="34" customFormat="1" ht="12.95" customHeight="1" x14ac:dyDescent="0.2"/>
    <row r="76" spans="2:7" ht="20.25" thickBot="1" x14ac:dyDescent="0.35">
      <c r="B76" s="66" t="s">
        <v>192</v>
      </c>
    </row>
    <row r="77" spans="2:7" s="34" customFormat="1" ht="12.95" customHeight="1" thickTop="1" thickBot="1" x14ac:dyDescent="0.25"/>
    <row r="78" spans="2:7" s="34" customFormat="1" ht="12.95" customHeight="1" x14ac:dyDescent="0.2">
      <c r="B78" s="614" t="s">
        <v>279</v>
      </c>
      <c r="C78" s="615"/>
      <c r="D78" s="615"/>
      <c r="E78" s="615"/>
      <c r="F78" s="616"/>
    </row>
    <row r="79" spans="2:7" s="34" customFormat="1" ht="12.95" customHeight="1" x14ac:dyDescent="0.2">
      <c r="B79" s="78" t="str">
        <f>Parameters!B53</f>
        <v>Depth Min</v>
      </c>
      <c r="C79" s="79" t="e">
        <f ca="1">Parameters!C53</f>
        <v>#N/A</v>
      </c>
      <c r="D79" s="80" t="e">
        <f ca="1">Parameters!D53</f>
        <v>#N/A</v>
      </c>
      <c r="E79" s="80" t="e">
        <f ca="1">Parameters!E53</f>
        <v>#N/A</v>
      </c>
      <c r="F79" s="533" t="e">
        <f ca="1">Parameters!F53</f>
        <v>#N/A</v>
      </c>
    </row>
    <row r="80" spans="2:7" s="34" customFormat="1" ht="12.95" customHeight="1" thickBot="1" x14ac:dyDescent="0.25">
      <c r="B80" s="81" t="str">
        <f>Parameters!B54</f>
        <v>Depth Max</v>
      </c>
      <c r="C80" s="82" t="e">
        <f ca="1">Parameters!C54</f>
        <v>#N/A</v>
      </c>
      <c r="D80" s="83" t="e">
        <f ca="1">Parameters!D54</f>
        <v>#N/A</v>
      </c>
      <c r="E80" s="83" t="e">
        <f ca="1">Parameters!E54</f>
        <v>#N/A</v>
      </c>
      <c r="F80" s="542" t="e">
        <f ca="1">Parameters!F54</f>
        <v>#N/A</v>
      </c>
    </row>
    <row r="81" spans="2:6" s="34" customFormat="1" ht="12.95" customHeight="1" thickBot="1" x14ac:dyDescent="0.25"/>
    <row r="82" spans="2:6" s="34" customFormat="1" ht="12.95" customHeight="1" x14ac:dyDescent="0.2">
      <c r="B82" s="651" t="s">
        <v>357</v>
      </c>
      <c r="C82" s="652"/>
      <c r="D82" s="652"/>
      <c r="E82" s="652"/>
      <c r="F82" s="653"/>
    </row>
    <row r="83" spans="2:6" s="34" customFormat="1" ht="12.95" customHeight="1" x14ac:dyDescent="0.2">
      <c r="B83" s="532" t="b">
        <v>0</v>
      </c>
      <c r="C83" s="611" t="s">
        <v>113</v>
      </c>
      <c r="D83" s="611"/>
      <c r="E83" s="611"/>
      <c r="F83" s="612"/>
    </row>
    <row r="84" spans="2:6" s="34" customFormat="1" ht="12.95" customHeight="1" x14ac:dyDescent="0.2">
      <c r="B84" s="35" t="s">
        <v>139</v>
      </c>
      <c r="C84" s="80" t="e">
        <f ca="1">Parameters!C139</f>
        <v>#N/A</v>
      </c>
      <c r="D84" s="80" t="e">
        <f ca="1">Parameters!D139</f>
        <v>#N/A</v>
      </c>
      <c r="E84" s="80" t="e">
        <f ca="1">Parameters!E139</f>
        <v>#N/A</v>
      </c>
      <c r="F84" s="533" t="e">
        <f ca="1">Parameters!F139</f>
        <v>#N/A</v>
      </c>
    </row>
    <row r="85" spans="2:6" s="34" customFormat="1" ht="12.95" customHeight="1" x14ac:dyDescent="0.2">
      <c r="B85" s="35" t="s">
        <v>186</v>
      </c>
      <c r="C85" s="531">
        <f>'Data Entry'!C14</f>
        <v>0</v>
      </c>
      <c r="D85" s="531">
        <f>'Data Entry'!D14</f>
        <v>0</v>
      </c>
      <c r="E85" s="531">
        <f>'Data Entry'!E14</f>
        <v>0</v>
      </c>
      <c r="F85" s="534">
        <f>'Data Entry'!F14</f>
        <v>0</v>
      </c>
    </row>
    <row r="86" spans="2:6" s="34" customFormat="1" ht="12.95" customHeight="1" x14ac:dyDescent="0.2">
      <c r="B86" s="35" t="s">
        <v>195</v>
      </c>
      <c r="C86" s="71" t="b">
        <f>AND(ISNUMBER(C85),OR($B$83,C85&lt;=100))</f>
        <v>1</v>
      </c>
      <c r="D86" s="71" t="b">
        <f t="shared" ref="D86:F86" si="2">AND(ISNUMBER(D85),OR($B$83,D85&lt;=100))</f>
        <v>1</v>
      </c>
      <c r="E86" s="71" t="b">
        <f t="shared" si="2"/>
        <v>1</v>
      </c>
      <c r="F86" s="535" t="b">
        <f t="shared" si="2"/>
        <v>1</v>
      </c>
    </row>
    <row r="87" spans="2:6" s="34" customFormat="1" ht="12.95" customHeight="1" x14ac:dyDescent="0.2">
      <c r="B87" s="35" t="s">
        <v>225</v>
      </c>
      <c r="C87" s="71" t="b">
        <f>AND($B$83,C85&gt;100)</f>
        <v>0</v>
      </c>
      <c r="D87" s="71" t="b">
        <f>AND($B$83,D85&gt;100)</f>
        <v>0</v>
      </c>
      <c r="E87" s="71" t="b">
        <f>AND($B$83,E85&gt;100)</f>
        <v>0</v>
      </c>
      <c r="F87" s="535" t="b">
        <f>AND($B$83,F85&gt;100)</f>
        <v>0</v>
      </c>
    </row>
    <row r="88" spans="2:6" s="34" customFormat="1" ht="12.95" customHeight="1" x14ac:dyDescent="0.2">
      <c r="B88" s="35" t="s">
        <v>191</v>
      </c>
      <c r="C88" s="531" t="e">
        <f>IF(ISBLANK('Data Entry'!C15),#N/A,'Data Entry'!C15)</f>
        <v>#N/A</v>
      </c>
      <c r="D88" s="531" t="e">
        <f>IF(ISBLANK('Data Entry'!D15),#N/A,'Data Entry'!D15)</f>
        <v>#N/A</v>
      </c>
      <c r="E88" s="531" t="e">
        <f>IF(ISBLANK('Data Entry'!E15),#N/A,'Data Entry'!E15)</f>
        <v>#N/A</v>
      </c>
      <c r="F88" s="534" t="e">
        <f>IF(ISBLANK('Data Entry'!F15),#N/A,'Data Entry'!F15)</f>
        <v>#N/A</v>
      </c>
    </row>
    <row r="89" spans="2:6" s="34" customFormat="1" ht="12.95" customHeight="1" x14ac:dyDescent="0.2">
      <c r="B89" s="74" t="s">
        <v>287</v>
      </c>
      <c r="C89" s="71" t="b">
        <f>IF(C87,ISNUMBER(C88),TRUE)</f>
        <v>1</v>
      </c>
      <c r="D89" s="71" t="b">
        <f t="shared" ref="D89:F89" si="3">IF(D87,ISNUMBER(D88),TRUE)</f>
        <v>1</v>
      </c>
      <c r="E89" s="71" t="b">
        <f t="shared" si="3"/>
        <v>1</v>
      </c>
      <c r="F89" s="535" t="b">
        <f t="shared" si="3"/>
        <v>1</v>
      </c>
    </row>
    <row r="90" spans="2:6" s="34" customFormat="1" ht="12.95" customHeight="1" x14ac:dyDescent="0.2">
      <c r="B90" s="35" t="s">
        <v>222</v>
      </c>
      <c r="C90" s="84">
        <f>IF(C87,C85+C88,100)</f>
        <v>100</v>
      </c>
      <c r="D90" s="84">
        <f>IF(D87,D85+D88,100)</f>
        <v>100</v>
      </c>
      <c r="E90" s="84">
        <f>IF(E87,E85+E88,100)</f>
        <v>100</v>
      </c>
      <c r="F90" s="536">
        <f>IF(F87,F85+F88,100)</f>
        <v>100</v>
      </c>
    </row>
    <row r="91" spans="2:6" s="34" customFormat="1" ht="12.95" customHeight="1" x14ac:dyDescent="0.2">
      <c r="B91" s="35" t="s">
        <v>187</v>
      </c>
      <c r="C91" s="85">
        <f>IF(C87,(C84/(C90-(100-C84)))^2,1)</f>
        <v>1</v>
      </c>
      <c r="D91" s="85">
        <f t="shared" ref="D91:F91" si="4">IF(D87,(D84/(D90-(100-D84)))^2,1)</f>
        <v>1</v>
      </c>
      <c r="E91" s="85">
        <f t="shared" si="4"/>
        <v>1</v>
      </c>
      <c r="F91" s="537">
        <f t="shared" si="4"/>
        <v>1</v>
      </c>
    </row>
    <row r="92" spans="2:6" s="34" customFormat="1" ht="12.95" customHeight="1" thickBot="1" x14ac:dyDescent="0.25">
      <c r="B92" s="70" t="s">
        <v>336</v>
      </c>
      <c r="C92" s="86">
        <f>IF(C87,C88,100-C85)</f>
        <v>100</v>
      </c>
      <c r="D92" s="86">
        <f>IF(D87,D88,100-D85)</f>
        <v>100</v>
      </c>
      <c r="E92" s="86">
        <f>IF(E87,E88,100-E85)</f>
        <v>100</v>
      </c>
      <c r="F92" s="538">
        <f>IF(F87,F88,100-F85)</f>
        <v>100</v>
      </c>
    </row>
    <row r="93" spans="2:6" s="34" customFormat="1" ht="12.95" customHeight="1" thickBot="1" x14ac:dyDescent="0.25">
      <c r="B93" s="87"/>
      <c r="C93" s="87"/>
      <c r="D93" s="87"/>
      <c r="E93" s="87"/>
      <c r="F93" s="87"/>
    </row>
    <row r="94" spans="2:6" s="34" customFormat="1" ht="12.95" customHeight="1" x14ac:dyDescent="0.2">
      <c r="B94" s="33" t="b">
        <v>0</v>
      </c>
      <c r="C94" s="615" t="s">
        <v>69</v>
      </c>
      <c r="D94" s="615"/>
      <c r="E94" s="615"/>
      <c r="F94" s="615"/>
    </row>
    <row r="95" spans="2:6" s="34" customFormat="1" ht="12.95" customHeight="1" x14ac:dyDescent="0.2">
      <c r="B95" s="74" t="s">
        <v>189</v>
      </c>
      <c r="C95" s="88">
        <f>'Data Entry'!C19</f>
        <v>0</v>
      </c>
      <c r="D95" s="88">
        <f>'Data Entry'!D19</f>
        <v>0</v>
      </c>
      <c r="E95" s="88">
        <f>'Data Entry'!E19</f>
        <v>0</v>
      </c>
      <c r="F95" s="88">
        <f>'Data Entry'!F19</f>
        <v>0</v>
      </c>
    </row>
    <row r="96" spans="2:6" s="34" customFormat="1" ht="12.95" customHeight="1" x14ac:dyDescent="0.2">
      <c r="B96" s="74" t="s">
        <v>226</v>
      </c>
      <c r="C96" s="71" t="b">
        <f>AND($B$94,ISNUMBER(C95),C95&gt;0)</f>
        <v>0</v>
      </c>
      <c r="D96" s="71" t="b">
        <f t="shared" ref="D96:F96" si="5">AND($B$94,ISNUMBER(D95),D95&gt;0)</f>
        <v>0</v>
      </c>
      <c r="E96" s="71" t="b">
        <f t="shared" si="5"/>
        <v>0</v>
      </c>
      <c r="F96" s="71" t="b">
        <f t="shared" si="5"/>
        <v>0</v>
      </c>
    </row>
    <row r="97" spans="2:8" s="34" customFormat="1" ht="12.95" customHeight="1" x14ac:dyDescent="0.2">
      <c r="B97" s="74" t="s">
        <v>269</v>
      </c>
      <c r="C97" s="69">
        <f>'Data Entry'!C20</f>
        <v>0</v>
      </c>
      <c r="D97" s="69">
        <f>'Data Entry'!D20</f>
        <v>0</v>
      </c>
      <c r="E97" s="69">
        <f>'Data Entry'!E20</f>
        <v>0</v>
      </c>
      <c r="F97" s="69">
        <f>'Data Entry'!F20</f>
        <v>0</v>
      </c>
    </row>
    <row r="98" spans="2:8" s="34" customFormat="1" ht="12.95" customHeight="1" x14ac:dyDescent="0.2">
      <c r="B98" s="74" t="s">
        <v>285</v>
      </c>
      <c r="C98" s="89">
        <f>C85-C97</f>
        <v>0</v>
      </c>
      <c r="D98" s="89">
        <f>D85-D97</f>
        <v>0</v>
      </c>
      <c r="E98" s="89">
        <f>E85-E97</f>
        <v>0</v>
      </c>
      <c r="F98" s="89">
        <f>F85-F97</f>
        <v>0</v>
      </c>
    </row>
    <row r="99" spans="2:8" s="34" customFormat="1" ht="12.95" customHeight="1" x14ac:dyDescent="0.2">
      <c r="B99" s="74" t="s">
        <v>262</v>
      </c>
      <c r="C99" s="90">
        <f>C95/COS(70*PI()/180)</f>
        <v>0</v>
      </c>
      <c r="D99" s="90">
        <f t="shared" ref="D99:F99" si="6">D95/COS(70*PI()/180)</f>
        <v>0</v>
      </c>
      <c r="E99" s="90">
        <f t="shared" si="6"/>
        <v>0</v>
      </c>
      <c r="F99" s="90">
        <f t="shared" si="6"/>
        <v>0</v>
      </c>
    </row>
    <row r="100" spans="2:8" s="34" customFormat="1" ht="12.95" customHeight="1" x14ac:dyDescent="0.2">
      <c r="B100" s="74" t="s">
        <v>302</v>
      </c>
      <c r="C100" s="91" t="b">
        <f>IF(C96,C98&lt;=C99,TRUE)</f>
        <v>1</v>
      </c>
      <c r="D100" s="91" t="b">
        <f t="shared" ref="D100:F100" si="7">IF(D96,D98&lt;=D99,TRUE)</f>
        <v>1</v>
      </c>
      <c r="E100" s="91" t="b">
        <f t="shared" si="7"/>
        <v>1</v>
      </c>
      <c r="F100" s="91" t="b">
        <f t="shared" si="7"/>
        <v>1</v>
      </c>
      <c r="G100" s="34" t="s">
        <v>324</v>
      </c>
    </row>
    <row r="101" spans="2:8" s="34" customFormat="1" ht="12.95" customHeight="1" thickBot="1" x14ac:dyDescent="0.25">
      <c r="B101" s="75" t="s">
        <v>303</v>
      </c>
      <c r="C101" s="77" t="b">
        <f>IF(C96,C98&gt;=C95,TRUE)</f>
        <v>1</v>
      </c>
      <c r="D101" s="77" t="b">
        <f t="shared" ref="D101:F101" si="8">IF(D96,D98&gt;=D95,TRUE)</f>
        <v>1</v>
      </c>
      <c r="E101" s="77" t="b">
        <f t="shared" si="8"/>
        <v>1</v>
      </c>
      <c r="F101" s="77" t="b">
        <f t="shared" si="8"/>
        <v>1</v>
      </c>
    </row>
    <row r="102" spans="2:8" s="34" customFormat="1" ht="12.95" customHeight="1" thickBot="1" x14ac:dyDescent="0.25">
      <c r="B102" s="92"/>
      <c r="C102" s="93"/>
      <c r="D102" s="93"/>
      <c r="E102" s="93"/>
      <c r="F102" s="93"/>
    </row>
    <row r="103" spans="2:8" s="34" customFormat="1" ht="12.95" customHeight="1" x14ac:dyDescent="0.2">
      <c r="B103" s="94" t="b">
        <f>NOT(EXACT(C104,$C$105))</f>
        <v>0</v>
      </c>
      <c r="C103" s="615" t="s">
        <v>20</v>
      </c>
      <c r="D103" s="615"/>
      <c r="E103" s="615"/>
      <c r="F103" s="615"/>
    </row>
    <row r="104" spans="2:8" s="34" customFormat="1" ht="12.95" customHeight="1" x14ac:dyDescent="0.2">
      <c r="B104" s="74" t="s">
        <v>193</v>
      </c>
      <c r="C104" s="647" t="str">
        <f>'Data Entry'!B22</f>
        <v>Type</v>
      </c>
      <c r="D104" s="647"/>
      <c r="E104" s="647"/>
      <c r="F104" s="647"/>
    </row>
    <row r="105" spans="2:8" s="34" customFormat="1" ht="12.95" customHeight="1" x14ac:dyDescent="0.2">
      <c r="B105" s="74" t="s">
        <v>194</v>
      </c>
      <c r="C105" s="618" t="s">
        <v>21</v>
      </c>
      <c r="D105" s="618"/>
      <c r="E105" s="618"/>
      <c r="F105" s="618"/>
      <c r="H105" s="95" t="s">
        <v>358</v>
      </c>
    </row>
    <row r="106" spans="2:8" s="34" customFormat="1" ht="12.95" customHeight="1" x14ac:dyDescent="0.2">
      <c r="B106" s="35" t="s">
        <v>20</v>
      </c>
      <c r="C106" s="88">
        <f>IF($B$103,'Data Entry'!C22,0)</f>
        <v>0</v>
      </c>
      <c r="D106" s="88">
        <f>IF($B$103,'Data Entry'!D22,0)</f>
        <v>0</v>
      </c>
      <c r="E106" s="88">
        <f>IF($B$103,'Data Entry'!E22,0)</f>
        <v>0</v>
      </c>
      <c r="F106" s="88">
        <f>IF($B$103,'Data Entry'!F22,0)</f>
        <v>0</v>
      </c>
    </row>
    <row r="107" spans="2:8" s="34" customFormat="1" ht="12.95" customHeight="1" x14ac:dyDescent="0.2">
      <c r="B107" s="74" t="s">
        <v>286</v>
      </c>
      <c r="C107" s="617">
        <v>2</v>
      </c>
      <c r="D107" s="617"/>
      <c r="E107" s="617"/>
      <c r="F107" s="617"/>
    </row>
    <row r="108" spans="2:8" s="34" customFormat="1" ht="12.95" customHeight="1" thickBot="1" x14ac:dyDescent="0.25">
      <c r="B108" s="75" t="s">
        <v>325</v>
      </c>
      <c r="C108" s="96" t="b">
        <f>IF($B$103,AND(ISNUMBER(C106),C106&lt;$C107),TRUE)</f>
        <v>1</v>
      </c>
      <c r="D108" s="96" t="b">
        <f t="shared" ref="D108:F108" si="9">IF($B$103,AND(ISNUMBER(D106),D106&lt;$C107),TRUE)</f>
        <v>1</v>
      </c>
      <c r="E108" s="96" t="b">
        <f t="shared" si="9"/>
        <v>1</v>
      </c>
      <c r="F108" s="96" t="b">
        <f t="shared" si="9"/>
        <v>1</v>
      </c>
      <c r="G108" s="34" t="s">
        <v>324</v>
      </c>
    </row>
    <row r="109" spans="2:8" s="34" customFormat="1" ht="12.95" customHeight="1" thickBot="1" x14ac:dyDescent="0.25">
      <c r="B109" s="92"/>
      <c r="C109" s="93"/>
      <c r="D109" s="93"/>
      <c r="E109" s="93"/>
      <c r="F109" s="93"/>
    </row>
    <row r="110" spans="2:8" s="34" customFormat="1" ht="12.95" customHeight="1" x14ac:dyDescent="0.2">
      <c r="B110" s="651" t="s">
        <v>283</v>
      </c>
      <c r="C110" s="652"/>
      <c r="D110" s="652"/>
      <c r="E110" s="652"/>
      <c r="F110" s="654"/>
    </row>
    <row r="111" spans="2:8" s="34" customFormat="1" ht="12.95" customHeight="1" x14ac:dyDescent="0.2">
      <c r="B111" s="35" t="s">
        <v>336</v>
      </c>
      <c r="C111" s="98">
        <f>C92</f>
        <v>100</v>
      </c>
      <c r="D111" s="98">
        <f>D92</f>
        <v>100</v>
      </c>
      <c r="E111" s="98">
        <f>E92</f>
        <v>100</v>
      </c>
      <c r="F111" s="98">
        <f>F92</f>
        <v>100</v>
      </c>
    </row>
    <row r="112" spans="2:8" s="34" customFormat="1" ht="12.95" customHeight="1" x14ac:dyDescent="0.2">
      <c r="B112" s="74" t="s">
        <v>285</v>
      </c>
      <c r="C112" s="98">
        <f>IF(C96,C98,0)</f>
        <v>0</v>
      </c>
      <c r="D112" s="98">
        <f>IF(D96,D98,0)</f>
        <v>0</v>
      </c>
      <c r="E112" s="98">
        <f>IF(E96,E98,0)</f>
        <v>0</v>
      </c>
      <c r="F112" s="98">
        <f>IF(F96,F98,0)</f>
        <v>0</v>
      </c>
    </row>
    <row r="113" spans="2:8" s="34" customFormat="1" ht="12.95" customHeight="1" x14ac:dyDescent="0.2">
      <c r="B113" s="74" t="s">
        <v>20</v>
      </c>
      <c r="C113" s="98">
        <f>IF($B$103,C106,0)</f>
        <v>0</v>
      </c>
      <c r="D113" s="98">
        <f>IF($B$103,D106,0)</f>
        <v>0</v>
      </c>
      <c r="E113" s="98">
        <f>IF($B$103,E106,0)</f>
        <v>0</v>
      </c>
      <c r="F113" s="98">
        <f>IF($B$103,F106,0)</f>
        <v>0</v>
      </c>
    </row>
    <row r="114" spans="2:8" s="34" customFormat="1" ht="12.95" customHeight="1" x14ac:dyDescent="0.2">
      <c r="B114" s="35" t="s">
        <v>188</v>
      </c>
      <c r="C114" s="84">
        <f>C111+C112+C113</f>
        <v>100</v>
      </c>
      <c r="D114" s="84">
        <f t="shared" ref="D114:F114" si="10">D111+D112+D113</f>
        <v>100</v>
      </c>
      <c r="E114" s="84">
        <f t="shared" si="10"/>
        <v>100</v>
      </c>
      <c r="F114" s="84">
        <f t="shared" si="10"/>
        <v>100</v>
      </c>
    </row>
    <row r="115" spans="2:8" s="34" customFormat="1" ht="12.95" customHeight="1" x14ac:dyDescent="0.2">
      <c r="B115" s="74" t="s">
        <v>288</v>
      </c>
      <c r="C115" s="71" t="b">
        <f ca="1">IF(OR(ISERROR(C79),ISERROR(C80)),FALSE,AND(C114&gt;=C79,C114&lt;=C80))</f>
        <v>0</v>
      </c>
      <c r="D115" s="71" t="b">
        <f ca="1">IF(OR(ISERROR(D79),ISERROR(D80),ISERROR(D92)),FALSE,AND(D114&gt;=D79,D114&lt;=D80))</f>
        <v>0</v>
      </c>
      <c r="E115" s="71" t="b">
        <f ca="1">IF(OR(ISERROR(E79),ISERROR(E80)),FALSE,AND(E114&gt;=E79,E114&lt;=E80))</f>
        <v>0</v>
      </c>
      <c r="F115" s="71" t="b">
        <f ca="1">IF(OR(ISERROR(F79),ISERROR(F80)),FALSE,AND(F114&gt;=F79,F114&lt;=F80))</f>
        <v>0</v>
      </c>
    </row>
    <row r="116" spans="2:8" s="34" customFormat="1" ht="12.95" customHeight="1" thickBot="1" x14ac:dyDescent="0.25">
      <c r="B116" s="75" t="s">
        <v>221</v>
      </c>
      <c r="C116" s="77" t="b">
        <f ca="1">AND(C34,C86,C89,C101,C115)</f>
        <v>0</v>
      </c>
      <c r="D116" s="77" t="b">
        <f ca="1">AND(D34,D86,D89,D101,D115)</f>
        <v>0</v>
      </c>
      <c r="E116" s="77" t="b">
        <f ca="1">AND(E34,E86,E89,E101,E115)</f>
        <v>0</v>
      </c>
      <c r="F116" s="77" t="b">
        <f ca="1">AND(F34,F86,F89,F101,F115)</f>
        <v>0</v>
      </c>
      <c r="G116" s="34" t="s">
        <v>260</v>
      </c>
    </row>
    <row r="117" spans="2:8" s="34" customFormat="1" ht="12.95" customHeight="1" x14ac:dyDescent="0.2"/>
    <row r="118" spans="2:8" s="34" customFormat="1" ht="12.95" customHeight="1" x14ac:dyDescent="0.2"/>
    <row r="119" spans="2:8" ht="12.95" customHeight="1" x14ac:dyDescent="0.2"/>
    <row r="120" spans="2:8" ht="20.25" thickBot="1" x14ac:dyDescent="0.35">
      <c r="B120" s="66" t="s">
        <v>31</v>
      </c>
    </row>
    <row r="121" spans="2:8" s="34" customFormat="1" ht="14.25" thickTop="1" thickBot="1" x14ac:dyDescent="0.25"/>
    <row r="122" spans="2:8" s="34" customFormat="1" x14ac:dyDescent="0.2">
      <c r="B122" s="614" t="s">
        <v>88</v>
      </c>
      <c r="C122" s="615"/>
      <c r="D122" s="615"/>
      <c r="E122" s="615"/>
      <c r="F122" s="615"/>
    </row>
    <row r="123" spans="2:8" s="34" customFormat="1" x14ac:dyDescent="0.2">
      <c r="B123" s="74" t="str">
        <f>Parameters!B39</f>
        <v>X1 Min</v>
      </c>
      <c r="C123" s="80" t="e">
        <f ca="1">Parameters!C39</f>
        <v>#N/A</v>
      </c>
      <c r="D123" s="80" t="e">
        <f ca="1">Parameters!D39</f>
        <v>#N/A</v>
      </c>
      <c r="E123" s="80" t="e">
        <f ca="1">Parameters!E39</f>
        <v>#N/A</v>
      </c>
      <c r="F123" s="80" t="e">
        <f ca="1">Parameters!F39</f>
        <v>#N/A</v>
      </c>
    </row>
    <row r="124" spans="2:8" s="34" customFormat="1" x14ac:dyDescent="0.2">
      <c r="B124" s="74" t="str">
        <f>Parameters!B40</f>
        <v>X1 Max</v>
      </c>
      <c r="C124" s="80" t="e">
        <f ca="1">Parameters!C40</f>
        <v>#N/A</v>
      </c>
      <c r="D124" s="80" t="e">
        <f ca="1">Parameters!D40</f>
        <v>#N/A</v>
      </c>
      <c r="E124" s="80" t="e">
        <f ca="1">Parameters!E40</f>
        <v>#N/A</v>
      </c>
      <c r="F124" s="80" t="e">
        <f ca="1">Parameters!F40</f>
        <v>#N/A</v>
      </c>
    </row>
    <row r="125" spans="2:8" s="34" customFormat="1" x14ac:dyDescent="0.2">
      <c r="B125" s="74" t="str">
        <f>Parameters!B41</f>
        <v>X2 Min</v>
      </c>
      <c r="C125" s="80" t="e">
        <f ca="1">Parameters!C41</f>
        <v>#N/A</v>
      </c>
      <c r="D125" s="80" t="e">
        <f ca="1">Parameters!D41</f>
        <v>#N/A</v>
      </c>
      <c r="E125" s="80" t="e">
        <f ca="1">Parameters!E41</f>
        <v>#N/A</v>
      </c>
      <c r="F125" s="80" t="e">
        <f ca="1">Parameters!F41</f>
        <v>#N/A</v>
      </c>
    </row>
    <row r="126" spans="2:8" s="34" customFormat="1" x14ac:dyDescent="0.2">
      <c r="B126" s="74" t="str">
        <f>Parameters!B42</f>
        <v>X2 Max</v>
      </c>
      <c r="C126" s="80" t="e">
        <f ca="1">Parameters!C42</f>
        <v>#N/A</v>
      </c>
      <c r="D126" s="80" t="e">
        <f ca="1">Parameters!D42</f>
        <v>#N/A</v>
      </c>
      <c r="E126" s="80" t="e">
        <f ca="1">Parameters!E42</f>
        <v>#N/A</v>
      </c>
      <c r="F126" s="80" t="e">
        <f ca="1">Parameters!F42</f>
        <v>#N/A</v>
      </c>
    </row>
    <row r="127" spans="2:8" s="34" customFormat="1" x14ac:dyDescent="0.2">
      <c r="B127" s="74" t="str">
        <f>Parameters!B43</f>
        <v>Y1 Min</v>
      </c>
      <c r="C127" s="80" t="e">
        <f ca="1">Parameters!C43</f>
        <v>#N/A</v>
      </c>
      <c r="D127" s="80" t="e">
        <f ca="1">Parameters!D43</f>
        <v>#N/A</v>
      </c>
      <c r="E127" s="80" t="e">
        <f ca="1">Parameters!E43</f>
        <v>#N/A</v>
      </c>
      <c r="F127" s="80" t="e">
        <f ca="1">Parameters!F43</f>
        <v>#N/A</v>
      </c>
    </row>
    <row r="128" spans="2:8" s="34" customFormat="1" x14ac:dyDescent="0.2">
      <c r="B128" s="74" t="str">
        <f>Parameters!B44</f>
        <v>Y1 Max</v>
      </c>
      <c r="C128" s="80" t="e">
        <f ca="1">Parameters!C44</f>
        <v>#N/A</v>
      </c>
      <c r="D128" s="80" t="e">
        <f ca="1">Parameters!D44</f>
        <v>#N/A</v>
      </c>
      <c r="E128" s="80" t="e">
        <f ca="1">Parameters!E44</f>
        <v>#N/A</v>
      </c>
      <c r="F128" s="80" t="e">
        <f ca="1">Parameters!F44</f>
        <v>#N/A</v>
      </c>
      <c r="H128" s="34" t="s">
        <v>215</v>
      </c>
    </row>
    <row r="129" spans="2:8" s="34" customFormat="1" x14ac:dyDescent="0.2">
      <c r="B129" s="74" t="str">
        <f>Parameters!B45</f>
        <v>Y2 Min</v>
      </c>
      <c r="C129" s="80" t="e">
        <f ca="1">Parameters!C45</f>
        <v>#N/A</v>
      </c>
      <c r="D129" s="80" t="e">
        <f ca="1">Parameters!D45</f>
        <v>#N/A</v>
      </c>
      <c r="E129" s="80" t="e">
        <f ca="1">Parameters!E45</f>
        <v>#N/A</v>
      </c>
      <c r="F129" s="80" t="e">
        <f ca="1">Parameters!F45</f>
        <v>#N/A</v>
      </c>
    </row>
    <row r="130" spans="2:8" s="34" customFormat="1" x14ac:dyDescent="0.2">
      <c r="B130" s="74" t="str">
        <f>Parameters!B46</f>
        <v>Y2 Max</v>
      </c>
      <c r="C130" s="80" t="e">
        <f ca="1">Parameters!C46</f>
        <v>#N/A</v>
      </c>
      <c r="D130" s="80" t="e">
        <f ca="1">Parameters!D46</f>
        <v>#N/A</v>
      </c>
      <c r="E130" s="80" t="e">
        <f ca="1">Parameters!E46</f>
        <v>#N/A</v>
      </c>
      <c r="F130" s="80" t="e">
        <f ca="1">Parameters!F46</f>
        <v>#N/A</v>
      </c>
    </row>
    <row r="131" spans="2:8" s="34" customFormat="1" x14ac:dyDescent="0.2">
      <c r="B131" s="74" t="s">
        <v>291</v>
      </c>
      <c r="C131" s="80" t="e">
        <f ca="1">Parameters!C47</f>
        <v>#N/A</v>
      </c>
      <c r="D131" s="80" t="e">
        <f ca="1">Parameters!D47</f>
        <v>#N/A</v>
      </c>
      <c r="E131" s="80" t="e">
        <f ca="1">Parameters!E47</f>
        <v>#N/A</v>
      </c>
      <c r="F131" s="80" t="e">
        <f ca="1">Parameters!F47</f>
        <v>#N/A</v>
      </c>
    </row>
    <row r="132" spans="2:8" s="34" customFormat="1" x14ac:dyDescent="0.2">
      <c r="B132" s="74" t="s">
        <v>292</v>
      </c>
      <c r="C132" s="80" t="e">
        <f ca="1">Parameters!C48</f>
        <v>#N/A</v>
      </c>
      <c r="D132" s="80" t="e">
        <f ca="1">Parameters!D48</f>
        <v>#N/A</v>
      </c>
      <c r="E132" s="80" t="e">
        <f ca="1">Parameters!E48</f>
        <v>#N/A</v>
      </c>
      <c r="F132" s="80" t="e">
        <f ca="1">Parameters!F48</f>
        <v>#N/A</v>
      </c>
    </row>
    <row r="133" spans="2:8" s="34" customFormat="1" x14ac:dyDescent="0.2">
      <c r="B133" s="74" t="s">
        <v>293</v>
      </c>
      <c r="C133" s="80" t="e">
        <f ca="1">Parameters!C49</f>
        <v>#N/A</v>
      </c>
      <c r="D133" s="80" t="e">
        <f ca="1">Parameters!D49</f>
        <v>#N/A</v>
      </c>
      <c r="E133" s="80" t="e">
        <f ca="1">Parameters!E49</f>
        <v>#N/A</v>
      </c>
      <c r="F133" s="80" t="e">
        <f ca="1">Parameters!F49</f>
        <v>#N/A</v>
      </c>
    </row>
    <row r="134" spans="2:8" s="34" customFormat="1" x14ac:dyDescent="0.2">
      <c r="B134" s="74" t="s">
        <v>294</v>
      </c>
      <c r="C134" s="80" t="e">
        <f ca="1">Parameters!C50</f>
        <v>#N/A</v>
      </c>
      <c r="D134" s="80" t="e">
        <f ca="1">Parameters!D50</f>
        <v>#N/A</v>
      </c>
      <c r="E134" s="80" t="e">
        <f ca="1">Parameters!E50</f>
        <v>#N/A</v>
      </c>
      <c r="F134" s="80" t="e">
        <f ca="1">Parameters!F50</f>
        <v>#N/A</v>
      </c>
    </row>
    <row r="135" spans="2:8" s="34" customFormat="1" x14ac:dyDescent="0.2">
      <c r="B135" s="74" t="str">
        <f>Parameters!B51</f>
        <v>Field  Size Min</v>
      </c>
      <c r="C135" s="80" t="e">
        <f ca="1">Parameters!C51</f>
        <v>#N/A</v>
      </c>
      <c r="D135" s="80" t="e">
        <f ca="1">Parameters!D51</f>
        <v>#N/A</v>
      </c>
      <c r="E135" s="80" t="e">
        <f ca="1">Parameters!E51</f>
        <v>#N/A</v>
      </c>
      <c r="F135" s="80" t="e">
        <f ca="1">Parameters!F51</f>
        <v>#N/A</v>
      </c>
    </row>
    <row r="136" spans="2:8" s="34" customFormat="1" ht="13.5" thickBot="1" x14ac:dyDescent="0.25">
      <c r="B136" s="75" t="str">
        <f>Parameters!B52</f>
        <v>Field  Size Max</v>
      </c>
      <c r="C136" s="83" t="e">
        <f ca="1">Parameters!C52</f>
        <v>#N/A</v>
      </c>
      <c r="D136" s="83" t="e">
        <f ca="1">Parameters!D52</f>
        <v>#N/A</v>
      </c>
      <c r="E136" s="83" t="e">
        <f ca="1">Parameters!E52</f>
        <v>#N/A</v>
      </c>
      <c r="F136" s="83" t="e">
        <f ca="1">Parameters!F52</f>
        <v>#N/A</v>
      </c>
    </row>
    <row r="137" spans="2:8" s="34" customFormat="1" ht="13.5" thickBot="1" x14ac:dyDescent="0.25"/>
    <row r="138" spans="2:8" s="34" customFormat="1" x14ac:dyDescent="0.2">
      <c r="B138" s="614" t="s">
        <v>31</v>
      </c>
      <c r="C138" s="615"/>
      <c r="D138" s="615"/>
      <c r="E138" s="615"/>
      <c r="F138" s="615"/>
      <c r="G138" s="87"/>
      <c r="H138" s="87"/>
    </row>
    <row r="139" spans="2:8" s="34" customFormat="1" x14ac:dyDescent="0.2">
      <c r="B139" s="35" t="s">
        <v>146</v>
      </c>
      <c r="C139" s="64" t="b">
        <v>0</v>
      </c>
      <c r="D139" s="64" t="b">
        <v>0</v>
      </c>
      <c r="E139" s="64" t="b">
        <v>0</v>
      </c>
      <c r="F139" s="64" t="b">
        <v>0</v>
      </c>
      <c r="G139" s="87"/>
      <c r="H139" s="87"/>
    </row>
    <row r="140" spans="2:8" s="34" customFormat="1" x14ac:dyDescent="0.2">
      <c r="B140" s="35" t="str">
        <f>IF(AND(C139:F139),"X",IF(OR(C139:F139),"X   (X1)","X1"))</f>
        <v>X1</v>
      </c>
      <c r="C140" s="543">
        <f>'Data Entry'!C25</f>
        <v>0</v>
      </c>
      <c r="D140" s="543">
        <f>'Data Entry'!D25</f>
        <v>0</v>
      </c>
      <c r="E140" s="543">
        <f>'Data Entry'!E25</f>
        <v>0</v>
      </c>
      <c r="F140" s="543">
        <f>'Data Entry'!F25</f>
        <v>0</v>
      </c>
      <c r="G140" s="87"/>
      <c r="H140" s="87"/>
    </row>
    <row r="141" spans="2:8" s="34" customFormat="1" x14ac:dyDescent="0.2">
      <c r="B141" s="35" t="str">
        <f>IF(AND(C139:F139),"Not Used",IF(OR(C139:F139),"(X2)","X2"))</f>
        <v>X2</v>
      </c>
      <c r="C141" s="543">
        <f>'Data Entry'!C26</f>
        <v>0</v>
      </c>
      <c r="D141" s="543">
        <f>'Data Entry'!D26</f>
        <v>0</v>
      </c>
      <c r="E141" s="543">
        <f>'Data Entry'!E26</f>
        <v>0</v>
      </c>
      <c r="F141" s="543">
        <f>'Data Entry'!F26</f>
        <v>0</v>
      </c>
      <c r="G141" s="87"/>
      <c r="H141" s="87"/>
    </row>
    <row r="142" spans="2:8" s="34" customFormat="1" x14ac:dyDescent="0.2">
      <c r="B142" s="35" t="s">
        <v>147</v>
      </c>
      <c r="C142" s="64" t="b">
        <v>0</v>
      </c>
      <c r="D142" s="64" t="b">
        <v>0</v>
      </c>
      <c r="E142" s="64" t="b">
        <v>0</v>
      </c>
      <c r="F142" s="64" t="b">
        <v>0</v>
      </c>
      <c r="G142" s="87"/>
      <c r="H142" s="87"/>
    </row>
    <row r="143" spans="2:8" s="34" customFormat="1" x14ac:dyDescent="0.2">
      <c r="B143" s="35" t="str">
        <f>IF(AND(C142:F142),"Y",IF(OR(C142:F142),"Y   (Y1)","Y1"))</f>
        <v>Y1</v>
      </c>
      <c r="C143" s="543">
        <f>'Data Entry'!C28</f>
        <v>0</v>
      </c>
      <c r="D143" s="543">
        <f>'Data Entry'!D28</f>
        <v>0</v>
      </c>
      <c r="E143" s="543">
        <f>'Data Entry'!E28</f>
        <v>0</v>
      </c>
      <c r="F143" s="543">
        <f>'Data Entry'!F28</f>
        <v>0</v>
      </c>
      <c r="G143" s="87"/>
      <c r="H143" s="87"/>
    </row>
    <row r="144" spans="2:8" s="34" customFormat="1" ht="13.5" thickBot="1" x14ac:dyDescent="0.25">
      <c r="B144" s="36" t="str">
        <f>IF(AND(C142:F142),"",IF(OR(C142:F142),"(Y2)","Y2"))</f>
        <v>Y2</v>
      </c>
      <c r="C144" s="99">
        <f>IF(C142,"",'Data Entry'!C29)</f>
        <v>0</v>
      </c>
      <c r="D144" s="99">
        <f>IF(D142,"",'Data Entry'!D29)</f>
        <v>0</v>
      </c>
      <c r="E144" s="99">
        <f>IF(E142,"",'Data Entry'!E29)</f>
        <v>0</v>
      </c>
      <c r="F144" s="99">
        <f>IF(F142,"",'Data Entry'!F29)</f>
        <v>0</v>
      </c>
      <c r="G144" s="87"/>
      <c r="H144" s="87"/>
    </row>
    <row r="145" spans="2:8" s="34" customFormat="1" x14ac:dyDescent="0.2">
      <c r="B145" s="100" t="s">
        <v>109</v>
      </c>
      <c r="C145" s="101">
        <f>IF(C$139,'Data Entry'!C25/2,'Data Entry'!C25)</f>
        <v>0</v>
      </c>
      <c r="D145" s="101">
        <f>IF(D$139,'Data Entry'!D25/2,'Data Entry'!D25)</f>
        <v>0</v>
      </c>
      <c r="E145" s="101">
        <f>IF(E$139,'Data Entry'!E25/2,'Data Entry'!E25)</f>
        <v>0</v>
      </c>
      <c r="F145" s="101">
        <f>IF(F$139,'Data Entry'!F25/2,'Data Entry'!F25)</f>
        <v>0</v>
      </c>
      <c r="G145" s="87"/>
      <c r="H145" s="87"/>
    </row>
    <row r="146" spans="2:8" s="34" customFormat="1" x14ac:dyDescent="0.2">
      <c r="B146" s="35" t="s">
        <v>110</v>
      </c>
      <c r="C146" s="543">
        <f>IF(C$139,'Data Entry'!C25/2,'Data Entry'!C26)</f>
        <v>0</v>
      </c>
      <c r="D146" s="543">
        <f>IF(D$139,'Data Entry'!D25/2,'Data Entry'!D26)</f>
        <v>0</v>
      </c>
      <c r="E146" s="543">
        <f>IF(E$139,'Data Entry'!E25/2,'Data Entry'!E26)</f>
        <v>0</v>
      </c>
      <c r="F146" s="543">
        <f>IF(F$139,'Data Entry'!F25/2,'Data Entry'!F26)</f>
        <v>0</v>
      </c>
      <c r="G146" s="87"/>
      <c r="H146" s="87"/>
    </row>
    <row r="147" spans="2:8" s="34" customFormat="1" x14ac:dyDescent="0.2">
      <c r="B147" s="35" t="s">
        <v>295</v>
      </c>
      <c r="C147" s="544">
        <f>C145+C146</f>
        <v>0</v>
      </c>
      <c r="D147" s="544">
        <f t="shared" ref="D147:F147" si="11">D145+D146</f>
        <v>0</v>
      </c>
      <c r="E147" s="544">
        <f t="shared" si="11"/>
        <v>0</v>
      </c>
      <c r="F147" s="544">
        <f t="shared" si="11"/>
        <v>0</v>
      </c>
      <c r="G147" s="87"/>
      <c r="H147" s="87"/>
    </row>
    <row r="148" spans="2:8" s="34" customFormat="1" x14ac:dyDescent="0.2">
      <c r="B148" s="35" t="s">
        <v>111</v>
      </c>
      <c r="C148" s="543">
        <f>IF(C$142,'Data Entry'!C28/2,'Data Entry'!C28)</f>
        <v>0</v>
      </c>
      <c r="D148" s="543">
        <f>IF(D$142,'Data Entry'!D28/2,'Data Entry'!D28)</f>
        <v>0</v>
      </c>
      <c r="E148" s="543">
        <f>IF(E$142,'Data Entry'!E28/2,'Data Entry'!E28)</f>
        <v>0</v>
      </c>
      <c r="F148" s="543">
        <f>IF(F$142,'Data Entry'!F28/2,'Data Entry'!F28)</f>
        <v>0</v>
      </c>
      <c r="G148" s="87"/>
      <c r="H148" s="87"/>
    </row>
    <row r="149" spans="2:8" s="34" customFormat="1" x14ac:dyDescent="0.2">
      <c r="B149" s="35" t="s">
        <v>112</v>
      </c>
      <c r="C149" s="543">
        <f>IF(C$142,'Data Entry'!C28/2,'Data Entry'!C29)</f>
        <v>0</v>
      </c>
      <c r="D149" s="543">
        <f>IF(D$142,'Data Entry'!D28/2,'Data Entry'!D29)</f>
        <v>0</v>
      </c>
      <c r="E149" s="543">
        <f>IF(E$142,'Data Entry'!E28/2,'Data Entry'!E29)</f>
        <v>0</v>
      </c>
      <c r="F149" s="543">
        <f>IF(F$142,'Data Entry'!F28/2,'Data Entry'!F29)</f>
        <v>0</v>
      </c>
      <c r="G149" s="87"/>
      <c r="H149" s="87"/>
    </row>
    <row r="150" spans="2:8" s="34" customFormat="1" x14ac:dyDescent="0.2">
      <c r="B150" s="35" t="s">
        <v>296</v>
      </c>
      <c r="C150" s="544">
        <f>C148+C149</f>
        <v>0</v>
      </c>
      <c r="D150" s="544">
        <f t="shared" ref="D150:F150" si="12">D148+D149</f>
        <v>0</v>
      </c>
      <c r="E150" s="544">
        <f t="shared" si="12"/>
        <v>0</v>
      </c>
      <c r="F150" s="544">
        <f t="shared" si="12"/>
        <v>0</v>
      </c>
      <c r="G150" s="87"/>
      <c r="H150" s="87"/>
    </row>
    <row r="151" spans="2:8" s="34" customFormat="1" x14ac:dyDescent="0.2">
      <c r="B151" s="74" t="s">
        <v>229</v>
      </c>
      <c r="C151" s="71" t="b">
        <f ca="1">IF(OR(ISERROR(C123),ISERROR(C124)),FALSE,AND(C145&gt;=C123,C145&lt;=C124))</f>
        <v>0</v>
      </c>
      <c r="D151" s="71" t="b">
        <f ca="1">IF(OR(ISERROR(D123),ISERROR(D124)),FALSE,AND(D145&gt;=D123,D145&lt;=D124))</f>
        <v>0</v>
      </c>
      <c r="E151" s="71" t="b">
        <f ca="1">IF(OR(ISERROR(E123),ISERROR(E124)),FALSE,AND(E145&gt;=E123,E145&lt;=E124))</f>
        <v>0</v>
      </c>
      <c r="F151" s="71" t="b">
        <f ca="1">IF(OR(ISERROR(F123),ISERROR(F124)),FALSE,AND(F145&gt;=F123,F145&lt;=F124))</f>
        <v>0</v>
      </c>
    </row>
    <row r="152" spans="2:8" s="34" customFormat="1" x14ac:dyDescent="0.2">
      <c r="B152" s="74" t="s">
        <v>230</v>
      </c>
      <c r="C152" s="71" t="b">
        <f ca="1">IF(OR(ISERROR(C125),ISERROR(C126)),FALSE,AND(C146&gt;=C125,C146&lt;=C126))</f>
        <v>0</v>
      </c>
      <c r="D152" s="71" t="b">
        <f ca="1">IF(OR(ISERROR(D125),ISERROR(D126)),FALSE,AND(D146&gt;=D125,D146&lt;=D126))</f>
        <v>0</v>
      </c>
      <c r="E152" s="71" t="b">
        <f ca="1">IF(OR(ISERROR(E125),ISERROR(E126)),FALSE,AND(E146&gt;=E125,E146&lt;=E126))</f>
        <v>0</v>
      </c>
      <c r="F152" s="71" t="b">
        <f ca="1">IF(OR(ISERROR(F125),ISERROR(F126)),FALSE,AND(F146&gt;=F125,F146&lt;=F126))</f>
        <v>0</v>
      </c>
    </row>
    <row r="153" spans="2:8" s="34" customFormat="1" x14ac:dyDescent="0.2">
      <c r="B153" s="74" t="s">
        <v>231</v>
      </c>
      <c r="C153" s="71" t="b">
        <f ca="1">IF(OR(ISERROR(C127),ISERROR(C128)),FALSE,AND(C148&gt;=C127,C148&lt;=C128))</f>
        <v>0</v>
      </c>
      <c r="D153" s="71" t="b">
        <f ca="1">IF(OR(ISERROR(D127),ISERROR(D128)),FALSE,AND(D148&gt;=D127,D148&lt;=D128))</f>
        <v>0</v>
      </c>
      <c r="E153" s="71" t="b">
        <f ca="1">IF(OR(ISERROR(E127),ISERROR(E128)),FALSE,AND(E148&gt;=E127,E148&lt;=E128))</f>
        <v>0</v>
      </c>
      <c r="F153" s="71" t="b">
        <f ca="1">IF(OR(ISERROR(F127),ISERROR(F128)),FALSE,AND(F148&gt;=F127,F148&lt;=F128))</f>
        <v>0</v>
      </c>
    </row>
    <row r="154" spans="2:8" s="34" customFormat="1" x14ac:dyDescent="0.2">
      <c r="B154" s="74" t="s">
        <v>232</v>
      </c>
      <c r="C154" s="71" t="b">
        <f ca="1">IF(OR(ISERROR(C129),ISERROR(C130)),FALSE,AND(C149&gt;=C129,C149&lt;=C130))</f>
        <v>0</v>
      </c>
      <c r="D154" s="71" t="b">
        <f ca="1">IF(OR(ISERROR(D129),ISERROR(D130)),FALSE,AND(D149&gt;=D129,D149&lt;=D130))</f>
        <v>0</v>
      </c>
      <c r="E154" s="71" t="b">
        <f ca="1">IF(OR(ISERROR(E129),ISERROR(E130)),FALSE,AND(E149&gt;=E129,E149&lt;=E130))</f>
        <v>0</v>
      </c>
      <c r="F154" s="71" t="b">
        <f ca="1">IF(OR(ISERROR(F129),ISERROR(F130)),FALSE,AND(F149&gt;=F129,F149&lt;=F130))</f>
        <v>0</v>
      </c>
    </row>
    <row r="155" spans="2:8" s="34" customFormat="1" x14ac:dyDescent="0.2">
      <c r="B155" s="74" t="s">
        <v>289</v>
      </c>
      <c r="C155" s="71" t="b">
        <f ca="1">IF(OR(ISERROR(C131),ISERROR(C132)),FALSE,AND(C147&gt;=C131,C147&lt;=C132))</f>
        <v>0</v>
      </c>
      <c r="D155" s="71" t="b">
        <f ca="1">IF(OR(ISERROR(D131),ISERROR(D132)),FALSE,AND(D147&gt;=D131,D147&lt;=D132))</f>
        <v>0</v>
      </c>
      <c r="E155" s="71" t="b">
        <f ca="1">IF(OR(ISERROR(E131),ISERROR(E132)),FALSE,AND(E147&gt;=E131,E147&lt;=E132))</f>
        <v>0</v>
      </c>
      <c r="F155" s="71" t="b">
        <f ca="1">IF(OR(ISERROR(F131),ISERROR(F132)),FALSE,AND(F147&gt;=F131,F147&lt;=F132))</f>
        <v>0</v>
      </c>
    </row>
    <row r="156" spans="2:8" s="34" customFormat="1" x14ac:dyDescent="0.2">
      <c r="B156" s="74" t="s">
        <v>290</v>
      </c>
      <c r="C156" s="71" t="b">
        <f ca="1">IF(OR(ISERROR(C133),ISERROR(C134)),FALSE,AND(C150&gt;=C133,C150&lt;=C134))</f>
        <v>0</v>
      </c>
      <c r="D156" s="71" t="b">
        <f ca="1">IF(OR(ISERROR(D133),ISERROR(D134)),FALSE,AND(D150&gt;=D133,D150&lt;=D134))</f>
        <v>0</v>
      </c>
      <c r="E156" s="71" t="b">
        <f ca="1">IF(OR(ISERROR(E133),ISERROR(E134)),FALSE,AND(E150&gt;=E133,E150&lt;=E134))</f>
        <v>0</v>
      </c>
      <c r="F156" s="71" t="b">
        <f ca="1">IF(OR(ISERROR(F133),ISERROR(F134)),FALSE,AND(F150&gt;=F133,F150&lt;=F134))</f>
        <v>0</v>
      </c>
    </row>
    <row r="157" spans="2:8" s="34" customFormat="1" x14ac:dyDescent="0.2">
      <c r="B157" s="74" t="s">
        <v>334</v>
      </c>
      <c r="C157" s="71" t="b">
        <f ca="1">AND(C155,C156)</f>
        <v>0</v>
      </c>
      <c r="D157" s="71" t="b">
        <f t="shared" ref="D157:F157" ca="1" si="13">AND(D155,D156)</f>
        <v>0</v>
      </c>
      <c r="E157" s="71" t="b">
        <f t="shared" ca="1" si="13"/>
        <v>0</v>
      </c>
      <c r="F157" s="71" t="b">
        <f t="shared" ca="1" si="13"/>
        <v>0</v>
      </c>
    </row>
    <row r="158" spans="2:8" s="34" customFormat="1" x14ac:dyDescent="0.2">
      <c r="B158" s="74" t="s">
        <v>235</v>
      </c>
      <c r="C158" s="544" t="e">
        <f>(2*C147*C150)/(C147+C150)</f>
        <v>#DIV/0!</v>
      </c>
      <c r="D158" s="544" t="e">
        <f t="shared" ref="D158:F158" si="14">(2*D147*D150)/(D147+D150)</f>
        <v>#DIV/0!</v>
      </c>
      <c r="E158" s="544" t="e">
        <f t="shared" si="14"/>
        <v>#DIV/0!</v>
      </c>
      <c r="F158" s="544" t="e">
        <f t="shared" si="14"/>
        <v>#DIV/0!</v>
      </c>
    </row>
    <row r="159" spans="2:8" s="34" customFormat="1" x14ac:dyDescent="0.2">
      <c r="B159" s="35" t="s">
        <v>236</v>
      </c>
      <c r="C159" s="102" t="str">
        <f>IF(C145=C146,TEXT(C147,"0.0"),CONCATENATE("(",TEXT(C145,"0.0"),",",TEXT(C146,"0.0"),")"))</f>
        <v>0.0</v>
      </c>
      <c r="D159" s="102" t="str">
        <f t="shared" ref="D159:F159" si="15">IF(D145=D146,TEXT(D147,"0.0"),CONCATENATE("(",TEXT(D145,"0.0"),",",TEXT(D146,"0.0"),")"))</f>
        <v>0.0</v>
      </c>
      <c r="E159" s="102" t="str">
        <f t="shared" si="15"/>
        <v>0.0</v>
      </c>
      <c r="F159" s="102" t="str">
        <f t="shared" si="15"/>
        <v>0.0</v>
      </c>
    </row>
    <row r="160" spans="2:8" s="34" customFormat="1" x14ac:dyDescent="0.2">
      <c r="B160" s="35" t="s">
        <v>237</v>
      </c>
      <c r="C160" s="102" t="str">
        <f>IF(C148=C149,TEXT(C150,"0.0"),CONCATENATE("(",TEXT(C148,"0.0"),",",TEXT(C149,"0.0"),")"))</f>
        <v>0.0</v>
      </c>
      <c r="D160" s="102" t="str">
        <f t="shared" ref="D160:F160" si="16">IF(D148=D149,TEXT(D150,"0.0"),CONCATENATE("(",TEXT(D148,"0.0"),",",TEXT(D149,"0.0"),")"))</f>
        <v>0.0</v>
      </c>
      <c r="E160" s="102" t="str">
        <f t="shared" si="16"/>
        <v>0.0</v>
      </c>
      <c r="F160" s="102" t="str">
        <f t="shared" si="16"/>
        <v>0.0</v>
      </c>
    </row>
    <row r="161" spans="2:8" s="34" customFormat="1" ht="13.5" thickBot="1" x14ac:dyDescent="0.25">
      <c r="B161" s="36" t="s">
        <v>227</v>
      </c>
      <c r="C161" s="103" t="str">
        <f>CONCATENATE(C159,"x",C160)</f>
        <v>0.0x0.0</v>
      </c>
      <c r="D161" s="103" t="str">
        <f t="shared" ref="D161:F161" si="17">CONCATENATE(D159,"x",D160)</f>
        <v>0.0x0.0</v>
      </c>
      <c r="E161" s="103" t="str">
        <f t="shared" si="17"/>
        <v>0.0x0.0</v>
      </c>
      <c r="F161" s="103" t="str">
        <f t="shared" si="17"/>
        <v>0.0x0.0</v>
      </c>
    </row>
    <row r="162" spans="2:8" s="34" customFormat="1" x14ac:dyDescent="0.2">
      <c r="B162" s="104" t="s">
        <v>243</v>
      </c>
      <c r="C162" s="545">
        <f>IF(C87,C145*C90/100,C145)</f>
        <v>0</v>
      </c>
      <c r="D162" s="545">
        <f>IF(D87,D145*D90/100,D145)</f>
        <v>0</v>
      </c>
      <c r="E162" s="545">
        <f>IF(E87,E145*E90/100,E145)</f>
        <v>0</v>
      </c>
      <c r="F162" s="545">
        <f>IF(F87,F145*F90/100,F145)</f>
        <v>0</v>
      </c>
      <c r="G162" s="87"/>
      <c r="H162" s="87"/>
    </row>
    <row r="163" spans="2:8" s="34" customFormat="1" x14ac:dyDescent="0.2">
      <c r="B163" s="35" t="s">
        <v>244</v>
      </c>
      <c r="C163" s="544">
        <f>IF(C87,C146*C90/100,C146)</f>
        <v>0</v>
      </c>
      <c r="D163" s="544">
        <f>IF(D87,D146*D90/100,D146)</f>
        <v>0</v>
      </c>
      <c r="E163" s="544">
        <f>IF(E87,E146*E90/100,E146)</f>
        <v>0</v>
      </c>
      <c r="F163" s="544">
        <f>IF(F87,F146*F90/100,F146)</f>
        <v>0</v>
      </c>
      <c r="G163" s="87"/>
      <c r="H163" s="87"/>
    </row>
    <row r="164" spans="2:8" s="34" customFormat="1" x14ac:dyDescent="0.2">
      <c r="B164" s="35" t="s">
        <v>238</v>
      </c>
      <c r="C164" s="544">
        <f>C162+C163</f>
        <v>0</v>
      </c>
      <c r="D164" s="544">
        <f t="shared" ref="D164:F164" si="18">D162+D163</f>
        <v>0</v>
      </c>
      <c r="E164" s="544">
        <f t="shared" si="18"/>
        <v>0</v>
      </c>
      <c r="F164" s="544">
        <f t="shared" si="18"/>
        <v>0</v>
      </c>
      <c r="G164" s="87"/>
      <c r="H164" s="87"/>
    </row>
    <row r="165" spans="2:8" s="34" customFormat="1" x14ac:dyDescent="0.2">
      <c r="B165" s="35" t="s">
        <v>245</v>
      </c>
      <c r="C165" s="544">
        <f>IF(C87,C148*C90/100,C148)</f>
        <v>0</v>
      </c>
      <c r="D165" s="544">
        <f>IF(D87,D148*D90/100,D148)</f>
        <v>0</v>
      </c>
      <c r="E165" s="544">
        <f>IF(E87,E148*E90/100,E148)</f>
        <v>0</v>
      </c>
      <c r="F165" s="544">
        <f>IF(F87,F148*F90/100,F148)</f>
        <v>0</v>
      </c>
      <c r="G165" s="87"/>
      <c r="H165" s="87"/>
    </row>
    <row r="166" spans="2:8" s="34" customFormat="1" x14ac:dyDescent="0.2">
      <c r="B166" s="35" t="s">
        <v>246</v>
      </c>
      <c r="C166" s="544">
        <f>IF(C87,C149*C90/100,C149)</f>
        <v>0</v>
      </c>
      <c r="D166" s="544">
        <f>IF(D87,D149*D90/100,D149)</f>
        <v>0</v>
      </c>
      <c r="E166" s="544">
        <f>IF(E87,E149*E90/100,E149)</f>
        <v>0</v>
      </c>
      <c r="F166" s="544">
        <f>IF(F87,F149*F90/100,F149)</f>
        <v>0</v>
      </c>
      <c r="G166" s="87"/>
      <c r="H166" s="87"/>
    </row>
    <row r="167" spans="2:8" s="34" customFormat="1" x14ac:dyDescent="0.2">
      <c r="B167" s="35" t="s">
        <v>239</v>
      </c>
      <c r="C167" s="544">
        <f>C165+C166</f>
        <v>0</v>
      </c>
      <c r="D167" s="544">
        <f t="shared" ref="D167:F167" si="19">D165+D166</f>
        <v>0</v>
      </c>
      <c r="E167" s="544">
        <f t="shared" si="19"/>
        <v>0</v>
      </c>
      <c r="F167" s="544">
        <f t="shared" si="19"/>
        <v>0</v>
      </c>
      <c r="G167" s="87"/>
      <c r="H167" s="87"/>
    </row>
    <row r="168" spans="2:8" s="34" customFormat="1" x14ac:dyDescent="0.2">
      <c r="B168" s="74" t="s">
        <v>240</v>
      </c>
      <c r="C168" s="544" t="e">
        <f>(2*C164*C167)/(C164+C167)</f>
        <v>#DIV/0!</v>
      </c>
      <c r="D168" s="544" t="e">
        <f t="shared" ref="D168:F168" si="20">(2*D164*D167)/(D164+D167)</f>
        <v>#DIV/0!</v>
      </c>
      <c r="E168" s="544" t="e">
        <f t="shared" si="20"/>
        <v>#DIV/0!</v>
      </c>
      <c r="F168" s="544" t="e">
        <f t="shared" si="20"/>
        <v>#DIV/0!</v>
      </c>
    </row>
    <row r="169" spans="2:8" s="34" customFormat="1" x14ac:dyDescent="0.2">
      <c r="B169" s="74" t="s">
        <v>241</v>
      </c>
      <c r="C169" s="71" t="b">
        <f ca="1">IF(OR(ISERROR(C135),ISERROR(C136),ISERROR(C168)),FALSE,AND(C168&gt;=C135,C168&lt;=C136))</f>
        <v>0</v>
      </c>
      <c r="D169" s="71" t="b">
        <f ca="1">IF(OR(ISERROR(D135),ISERROR(D136),ISERROR(D168)),FALSE,AND(D168&gt;=D135,D168&lt;=D136))</f>
        <v>0</v>
      </c>
      <c r="E169" s="71" t="b">
        <f ca="1">IF(OR(ISERROR(E135),ISERROR(E136),ISERROR(E168)),FALSE,AND(E168&gt;=E135,E168&lt;=E136))</f>
        <v>0</v>
      </c>
      <c r="F169" s="71" t="b">
        <f ca="1">IF(OR(ISERROR(F135),ISERROR(F136),ISERROR(F168)),FALSE,AND(F168&gt;=F135,F168&lt;=F136))</f>
        <v>0</v>
      </c>
    </row>
    <row r="170" spans="2:8" s="34" customFormat="1" x14ac:dyDescent="0.2">
      <c r="B170" s="35" t="s">
        <v>233</v>
      </c>
      <c r="C170" s="105" t="str">
        <f>IF(C145=C146,TEXT(C164,"0.0"),CONCATENATE("(",TEXT(C162,"0.0"),",",TEXT(C163,"0.0"),")"))</f>
        <v>0.0</v>
      </c>
      <c r="D170" s="105" t="str">
        <f t="shared" ref="D170:F170" si="21">IF(D145=D146,TEXT(D164,"0.0"),CONCATENATE("(",TEXT(D162,"0.0"),",",TEXT(D163,"0.0"),")"))</f>
        <v>0.0</v>
      </c>
      <c r="E170" s="105" t="str">
        <f t="shared" si="21"/>
        <v>0.0</v>
      </c>
      <c r="F170" s="105" t="str">
        <f t="shared" si="21"/>
        <v>0.0</v>
      </c>
    </row>
    <row r="171" spans="2:8" s="34" customFormat="1" x14ac:dyDescent="0.2">
      <c r="B171" s="35" t="s">
        <v>234</v>
      </c>
      <c r="C171" s="105" t="str">
        <f>IF(C148=C149,TEXT(C167,"0.0"),CONCATENATE("(",TEXT(C165,"0.0"),",",TEXT(C166,"0.0"),")"))</f>
        <v>0.0</v>
      </c>
      <c r="D171" s="105" t="str">
        <f t="shared" ref="D171:F171" si="22">IF(D148=D149,TEXT(D167,"0.0"),CONCATENATE("(",TEXT(D165,"0.0"),",",TEXT(D166,"0.0"),")"))</f>
        <v>0.0</v>
      </c>
      <c r="E171" s="105" t="str">
        <f t="shared" si="22"/>
        <v>0.0</v>
      </c>
      <c r="F171" s="105" t="str">
        <f t="shared" si="22"/>
        <v>0.0</v>
      </c>
    </row>
    <row r="172" spans="2:8" s="34" customFormat="1" x14ac:dyDescent="0.2">
      <c r="B172" s="35" t="s">
        <v>228</v>
      </c>
      <c r="C172" s="106" t="str">
        <f>CONCATENATE(C170,"x",C171)</f>
        <v>0.0x0.0</v>
      </c>
      <c r="D172" s="106" t="str">
        <f t="shared" ref="D172:F172" si="23">CONCATENATE(D170,"x",D171)</f>
        <v>0.0x0.0</v>
      </c>
      <c r="E172" s="106" t="str">
        <f t="shared" si="23"/>
        <v>0.0x0.0</v>
      </c>
      <c r="F172" s="106" t="str">
        <f t="shared" si="23"/>
        <v>0.0x0.0</v>
      </c>
    </row>
    <row r="173" spans="2:8" s="34" customFormat="1" ht="13.5" thickBot="1" x14ac:dyDescent="0.25">
      <c r="B173" s="75" t="s">
        <v>242</v>
      </c>
      <c r="C173" s="77" t="b">
        <f ca="1">AND(C151,C152,C153,C154,C155,C156,C169)</f>
        <v>0</v>
      </c>
      <c r="D173" s="77" t="b">
        <f t="shared" ref="D173:F173" ca="1" si="24">AND(D151,D152,D153,D154,D155,D156,D169)</f>
        <v>0</v>
      </c>
      <c r="E173" s="77" t="b">
        <f t="shared" ca="1" si="24"/>
        <v>0</v>
      </c>
      <c r="F173" s="77" t="b">
        <f t="shared" ca="1" si="24"/>
        <v>0</v>
      </c>
      <c r="G173" s="34" t="s">
        <v>260</v>
      </c>
    </row>
    <row r="174" spans="2:8" s="34" customFormat="1" x14ac:dyDescent="0.2"/>
    <row r="175" spans="2:8" s="34" customFormat="1" x14ac:dyDescent="0.2"/>
    <row r="176" spans="2:8" s="34" customFormat="1" x14ac:dyDescent="0.2"/>
    <row r="177" spans="2:7" s="34" customFormat="1" ht="20.25" thickBot="1" x14ac:dyDescent="0.35">
      <c r="B177" s="66" t="s">
        <v>345</v>
      </c>
    </row>
    <row r="178" spans="2:7" s="34" customFormat="1" ht="14.25" thickTop="1" thickBot="1" x14ac:dyDescent="0.25"/>
    <row r="179" spans="2:7" s="34" customFormat="1" x14ac:dyDescent="0.2">
      <c r="B179" s="33" t="b">
        <v>0</v>
      </c>
      <c r="C179" s="615" t="s">
        <v>350</v>
      </c>
      <c r="D179" s="615"/>
      <c r="E179" s="615"/>
      <c r="F179" s="615"/>
    </row>
    <row r="180" spans="2:7" s="34" customFormat="1" x14ac:dyDescent="0.2">
      <c r="B180" s="107" t="s">
        <v>78</v>
      </c>
      <c r="C180" s="108" t="str">
        <f>IF($B$179,IF(Parameters!C130="","",$B180),"")</f>
        <v/>
      </c>
      <c r="D180" s="108" t="str">
        <f>IF($B$179,IF(Parameters!D130="","",$B180),"")</f>
        <v/>
      </c>
      <c r="E180" s="108" t="str">
        <f>IF($B$179,IF(Parameters!E130="","",$B180),"")</f>
        <v/>
      </c>
      <c r="F180" s="108" t="str">
        <f>IF($B$179,IF(Parameters!F130="","",$B180),"")</f>
        <v/>
      </c>
    </row>
    <row r="181" spans="2:7" s="34" customFormat="1" x14ac:dyDescent="0.2">
      <c r="B181" s="107" t="s">
        <v>71</v>
      </c>
      <c r="C181" s="108" t="str">
        <f>IF($B$179,IF(Parameters!C131="","",$B181),"")</f>
        <v/>
      </c>
      <c r="D181" s="108" t="str">
        <f>IF($B$179,IF(Parameters!D131="","",$B181),"")</f>
        <v/>
      </c>
      <c r="E181" s="108" t="str">
        <f>IF($B$179,IF(Parameters!E131="","",$B181),"")</f>
        <v/>
      </c>
      <c r="F181" s="108" t="str">
        <f>IF($B$179,IF(Parameters!F131="","",$B181),"")</f>
        <v/>
      </c>
    </row>
    <row r="182" spans="2:7" s="34" customFormat="1" x14ac:dyDescent="0.2">
      <c r="B182" s="107" t="s">
        <v>72</v>
      </c>
      <c r="C182" s="108" t="str">
        <f>IF($B$179,IF(Parameters!C132="","",$B182),"")</f>
        <v/>
      </c>
      <c r="D182" s="108" t="str">
        <f>IF($B$179,IF(Parameters!D132="","",$B182),"")</f>
        <v/>
      </c>
      <c r="E182" s="108" t="str">
        <f>IF($B$179,IF(Parameters!E132="","",$B182),"")</f>
        <v/>
      </c>
      <c r="F182" s="108" t="str">
        <f>IF($B$179,IF(Parameters!F132="","",$B182),"")</f>
        <v/>
      </c>
    </row>
    <row r="183" spans="2:7" s="34" customFormat="1" ht="13.5" thickBot="1" x14ac:dyDescent="0.25">
      <c r="B183" s="109" t="s">
        <v>73</v>
      </c>
      <c r="C183" s="110" t="str">
        <f>IF($B$179,IF(Parameters!C133="","",$B183),"")</f>
        <v/>
      </c>
      <c r="D183" s="110" t="str">
        <f>IF($B$179,IF(Parameters!D133="","",$B183),"")</f>
        <v/>
      </c>
      <c r="E183" s="110" t="str">
        <f>IF($B$179,IF(Parameters!E133="","",$B183),"")</f>
        <v/>
      </c>
      <c r="F183" s="110" t="str">
        <f>IF($B$179,IF(Parameters!F133="","",$B183),"")</f>
        <v/>
      </c>
    </row>
    <row r="184" spans="2:7" s="34" customFormat="1" ht="13.5" thickBot="1" x14ac:dyDescent="0.25"/>
    <row r="185" spans="2:7" s="34" customFormat="1" x14ac:dyDescent="0.2">
      <c r="B185" s="97"/>
      <c r="C185" s="615" t="s">
        <v>349</v>
      </c>
      <c r="D185" s="615"/>
      <c r="E185" s="615"/>
      <c r="F185" s="615"/>
    </row>
    <row r="186" spans="2:7" s="34" customFormat="1" x14ac:dyDescent="0.2">
      <c r="B186" s="74" t="s">
        <v>359</v>
      </c>
      <c r="C186" s="32">
        <v>1</v>
      </c>
      <c r="D186" s="32">
        <v>1</v>
      </c>
      <c r="E186" s="32">
        <v>1</v>
      </c>
      <c r="F186" s="32">
        <v>1</v>
      </c>
    </row>
    <row r="187" spans="2:7" s="34" customFormat="1" x14ac:dyDescent="0.2">
      <c r="B187" s="74" t="s">
        <v>346</v>
      </c>
      <c r="C187" s="76" t="e">
        <f>IF(INDEX(C180:C183,C186,0)="",#N/A,INDEX(C180:C183,C186,0))</f>
        <v>#N/A</v>
      </c>
      <c r="D187" s="76" t="e">
        <f>IF(INDEX(D180:D183,D186,0)="",#N/A,INDEX(D180:D183,D186,0))</f>
        <v>#N/A</v>
      </c>
      <c r="E187" s="76" t="e">
        <f>IF(INDEX(E180:E183,E186,0)="",#N/A,INDEX(E180:E183,E186,0))</f>
        <v>#N/A</v>
      </c>
      <c r="F187" s="76" t="e">
        <f>IF(INDEX(F180:F183,F186,0)="",#N/A,INDEX(F180:F183,F186,0))</f>
        <v>#N/A</v>
      </c>
    </row>
    <row r="188" spans="2:7" s="34" customFormat="1" x14ac:dyDescent="0.2">
      <c r="B188" s="74" t="s">
        <v>347</v>
      </c>
      <c r="C188" s="111" t="e">
        <f>IF(ISNA(C187),#N/A,INDEX(Parameters!C130:C133,C186))</f>
        <v>#N/A</v>
      </c>
      <c r="D188" s="111" t="e">
        <f>IF(ISNA(D187),#N/A,INDEX(Parameters!D130:D133,D186))</f>
        <v>#N/A</v>
      </c>
      <c r="E188" s="111" t="e">
        <f>IF(ISNA(E187),#N/A,INDEX(Parameters!E130:E133,E186))</f>
        <v>#N/A</v>
      </c>
      <c r="F188" s="111" t="e">
        <f>IF(ISNA(F187),#N/A,INDEX(Parameters!F130:F133,F186))</f>
        <v>#N/A</v>
      </c>
    </row>
    <row r="189" spans="2:7" s="34" customFormat="1" x14ac:dyDescent="0.2">
      <c r="B189" s="35" t="s">
        <v>351</v>
      </c>
      <c r="C189" s="71" t="b">
        <f>IF($B$179,NOT(ISNA(C188)),TRUE)</f>
        <v>1</v>
      </c>
      <c r="D189" s="71" t="b">
        <f t="shared" ref="D189:F189" si="25">IF($B$179,NOT(ISNA(D188)),TRUE)</f>
        <v>1</v>
      </c>
      <c r="E189" s="71" t="b">
        <f t="shared" si="25"/>
        <v>1</v>
      </c>
      <c r="F189" s="71" t="b">
        <f t="shared" si="25"/>
        <v>1</v>
      </c>
    </row>
    <row r="190" spans="2:7" s="34" customFormat="1" x14ac:dyDescent="0.2">
      <c r="B190" s="35" t="s">
        <v>79</v>
      </c>
      <c r="C190" s="112"/>
      <c r="D190" s="112"/>
      <c r="E190" s="112"/>
      <c r="F190" s="112"/>
    </row>
    <row r="191" spans="2:7" s="34" customFormat="1" x14ac:dyDescent="0.2">
      <c r="B191" s="74" t="s">
        <v>90</v>
      </c>
      <c r="C191" s="112"/>
      <c r="D191" s="112"/>
      <c r="E191" s="112"/>
      <c r="F191" s="112"/>
    </row>
    <row r="192" spans="2:7" s="34" customFormat="1" ht="13.5" thickBot="1" x14ac:dyDescent="0.25">
      <c r="B192" s="75" t="s">
        <v>352</v>
      </c>
      <c r="C192" s="77" t="b">
        <f>C189</f>
        <v>1</v>
      </c>
      <c r="D192" s="77" t="b">
        <f t="shared" ref="D192:F192" si="26">D189</f>
        <v>1</v>
      </c>
      <c r="E192" s="77" t="b">
        <f t="shared" si="26"/>
        <v>1</v>
      </c>
      <c r="F192" s="77" t="b">
        <f t="shared" si="26"/>
        <v>1</v>
      </c>
      <c r="G192" s="34" t="s">
        <v>260</v>
      </c>
    </row>
    <row r="193" spans="2:8" s="34" customFormat="1" x14ac:dyDescent="0.2"/>
    <row r="194" spans="2:8" s="34" customFormat="1" x14ac:dyDescent="0.2"/>
    <row r="195" spans="2:8" s="34" customFormat="1" x14ac:dyDescent="0.2"/>
    <row r="196" spans="2:8" s="34" customFormat="1" ht="20.25" thickBot="1" x14ac:dyDescent="0.35">
      <c r="B196" s="66" t="s">
        <v>297</v>
      </c>
    </row>
    <row r="197" spans="2:8" s="34" customFormat="1" ht="14.25" thickTop="1" thickBot="1" x14ac:dyDescent="0.25"/>
    <row r="198" spans="2:8" s="34" customFormat="1" x14ac:dyDescent="0.2">
      <c r="B198" s="614" t="s">
        <v>320</v>
      </c>
      <c r="C198" s="615"/>
      <c r="D198" s="615"/>
      <c r="E198" s="615"/>
      <c r="F198" s="615"/>
    </row>
    <row r="199" spans="2:8" s="34" customFormat="1" x14ac:dyDescent="0.2">
      <c r="B199" s="35" t="s">
        <v>140</v>
      </c>
      <c r="C199" s="613">
        <f>'Data Entry'!$C$4</f>
        <v>0</v>
      </c>
      <c r="D199" s="613"/>
      <c r="E199" s="613"/>
      <c r="F199" s="613"/>
    </row>
    <row r="200" spans="2:8" s="34" customFormat="1" x14ac:dyDescent="0.2">
      <c r="B200" s="35" t="s">
        <v>304</v>
      </c>
      <c r="C200" s="660">
        <v>100</v>
      </c>
      <c r="D200" s="660"/>
      <c r="E200" s="660"/>
      <c r="F200" s="660"/>
      <c r="H200" s="113"/>
    </row>
    <row r="201" spans="2:8" s="34" customFormat="1" x14ac:dyDescent="0.2">
      <c r="B201" s="35" t="s">
        <v>305</v>
      </c>
      <c r="C201" s="660">
        <v>80000</v>
      </c>
      <c r="D201" s="660"/>
      <c r="E201" s="660"/>
      <c r="F201" s="660"/>
      <c r="H201" s="113"/>
    </row>
    <row r="202" spans="2:8" s="34" customFormat="1" x14ac:dyDescent="0.2">
      <c r="B202" s="35" t="s">
        <v>308</v>
      </c>
      <c r="C202" s="646" t="b">
        <f>AND(C199&gt;=C200,C199&lt;=C201)</f>
        <v>0</v>
      </c>
      <c r="D202" s="646"/>
      <c r="E202" s="646"/>
      <c r="F202" s="646"/>
      <c r="G202" s="34" t="s">
        <v>324</v>
      </c>
      <c r="H202" s="113"/>
    </row>
    <row r="203" spans="2:8" s="34" customFormat="1" x14ac:dyDescent="0.2">
      <c r="B203" s="35" t="s">
        <v>178</v>
      </c>
      <c r="C203" s="613">
        <f>'Data Entry'!C5:F5</f>
        <v>0</v>
      </c>
      <c r="D203" s="613"/>
      <c r="E203" s="613"/>
      <c r="F203" s="613"/>
      <c r="H203" s="113"/>
    </row>
    <row r="204" spans="2:8" s="34" customFormat="1" x14ac:dyDescent="0.2">
      <c r="B204" s="35" t="s">
        <v>306</v>
      </c>
      <c r="C204" s="660">
        <v>1</v>
      </c>
      <c r="D204" s="660"/>
      <c r="E204" s="660"/>
      <c r="F204" s="660"/>
      <c r="H204" s="113"/>
    </row>
    <row r="205" spans="2:8" s="34" customFormat="1" x14ac:dyDescent="0.2">
      <c r="B205" s="35" t="s">
        <v>307</v>
      </c>
      <c r="C205" s="660">
        <v>40</v>
      </c>
      <c r="D205" s="660"/>
      <c r="E205" s="660"/>
      <c r="F205" s="660"/>
      <c r="H205" s="113"/>
    </row>
    <row r="206" spans="2:8" s="34" customFormat="1" x14ac:dyDescent="0.2">
      <c r="B206" s="35" t="s">
        <v>309</v>
      </c>
      <c r="C206" s="646" t="b">
        <f>AND(C203&gt;=C204,C203&lt;=C205)</f>
        <v>0</v>
      </c>
      <c r="D206" s="646"/>
      <c r="E206" s="646"/>
      <c r="F206" s="646"/>
      <c r="G206" s="34" t="s">
        <v>324</v>
      </c>
      <c r="H206" s="113"/>
    </row>
    <row r="207" spans="2:8" s="34" customFormat="1" ht="12.95" customHeight="1" x14ac:dyDescent="0.2">
      <c r="B207" s="35" t="s">
        <v>282</v>
      </c>
      <c r="C207" s="71" t="b">
        <f>C34</f>
        <v>0</v>
      </c>
      <c r="D207" s="71" t="b">
        <f>D34</f>
        <v>0</v>
      </c>
      <c r="E207" s="71" t="b">
        <f>E34</f>
        <v>0</v>
      </c>
      <c r="F207" s="71" t="b">
        <f>F34</f>
        <v>0</v>
      </c>
    </row>
    <row r="208" spans="2:8" s="34" customFormat="1" x14ac:dyDescent="0.2">
      <c r="B208" s="35" t="s">
        <v>183</v>
      </c>
      <c r="C208" s="85" t="str">
        <f>IF(C207,1/$C$38,"")</f>
        <v/>
      </c>
      <c r="D208" s="85" t="str">
        <f t="shared" ref="D208:F208" si="27">IF(D207,1/$C$38,"")</f>
        <v/>
      </c>
      <c r="E208" s="85" t="str">
        <f t="shared" si="27"/>
        <v/>
      </c>
      <c r="F208" s="85" t="str">
        <f t="shared" si="27"/>
        <v/>
      </c>
    </row>
    <row r="209" spans="2:8" s="34" customFormat="1" x14ac:dyDescent="0.2">
      <c r="B209" s="35" t="s">
        <v>166</v>
      </c>
      <c r="C209" s="114">
        <f>IF(C207,'Data Entry'!C9,0)</f>
        <v>0</v>
      </c>
      <c r="D209" s="114">
        <f>IF(D207,'Data Entry'!D9,0)</f>
        <v>0</v>
      </c>
      <c r="E209" s="114">
        <f>IF(E207,'Data Entry'!E9,0)</f>
        <v>0</v>
      </c>
      <c r="F209" s="114">
        <f>IF(F207,'Data Entry'!F9,0)</f>
        <v>0</v>
      </c>
    </row>
    <row r="210" spans="2:8" s="34" customFormat="1" x14ac:dyDescent="0.2">
      <c r="B210" s="35" t="s">
        <v>331</v>
      </c>
      <c r="C210" s="362" t="b">
        <f>IF(C207,C209=C208,TRUE)</f>
        <v>1</v>
      </c>
      <c r="D210" s="362" t="b">
        <f t="shared" ref="D210:F210" si="28">IF(D207,D209=D208,TRUE)</f>
        <v>1</v>
      </c>
      <c r="E210" s="362" t="b">
        <f t="shared" si="28"/>
        <v>1</v>
      </c>
      <c r="F210" s="362" t="b">
        <f t="shared" si="28"/>
        <v>1</v>
      </c>
    </row>
    <row r="211" spans="2:8" s="34" customFormat="1" ht="12.95" customHeight="1" x14ac:dyDescent="0.2">
      <c r="B211" s="35" t="s">
        <v>322</v>
      </c>
      <c r="C211" s="71" t="b">
        <f>AND(C209&gt;=0,C209&lt;=1)</f>
        <v>1</v>
      </c>
      <c r="D211" s="71" t="b">
        <f t="shared" ref="D211:F211" si="29">AND(D209&gt;=0,D209&lt;=1)</f>
        <v>1</v>
      </c>
      <c r="E211" s="71" t="b">
        <f t="shared" si="29"/>
        <v>1</v>
      </c>
      <c r="F211" s="71" t="b">
        <f t="shared" si="29"/>
        <v>1</v>
      </c>
    </row>
    <row r="212" spans="2:8" s="34" customFormat="1" x14ac:dyDescent="0.2">
      <c r="B212" s="35" t="s">
        <v>310</v>
      </c>
      <c r="C212" s="621">
        <f>SUMIF(C207:F207,TRUE,C209:F209)</f>
        <v>0</v>
      </c>
      <c r="D212" s="621"/>
      <c r="E212" s="621"/>
      <c r="F212" s="621"/>
    </row>
    <row r="213" spans="2:8" s="34" customFormat="1" ht="15" customHeight="1" x14ac:dyDescent="0.2">
      <c r="B213" s="35" t="s">
        <v>190</v>
      </c>
      <c r="C213" s="610" t="b">
        <f>AND(MROUND(C212,0.001) =1,C211:F211)</f>
        <v>0</v>
      </c>
      <c r="D213" s="610"/>
      <c r="E213" s="610"/>
      <c r="F213" s="610"/>
      <c r="G213" s="34" t="s">
        <v>260</v>
      </c>
    </row>
    <row r="214" spans="2:8" s="34" customFormat="1" x14ac:dyDescent="0.2">
      <c r="B214" s="35" t="s">
        <v>114</v>
      </c>
      <c r="C214" s="84">
        <f>$C$199*C209</f>
        <v>0</v>
      </c>
      <c r="D214" s="84">
        <f>$C$199*D209</f>
        <v>0</v>
      </c>
      <c r="E214" s="84">
        <f>$C$199*E209</f>
        <v>0</v>
      </c>
      <c r="F214" s="84">
        <f>$C$199*F209</f>
        <v>0</v>
      </c>
    </row>
    <row r="215" spans="2:8" s="34" customFormat="1" ht="13.5" thickBot="1" x14ac:dyDescent="0.25">
      <c r="B215" s="70" t="s">
        <v>319</v>
      </c>
      <c r="C215" s="86" t="e">
        <f>C214/$C$203</f>
        <v>#DIV/0!</v>
      </c>
      <c r="D215" s="86" t="e">
        <f>D214/$C$203</f>
        <v>#DIV/0!</v>
      </c>
      <c r="E215" s="86" t="e">
        <f>E214/$C$203</f>
        <v>#DIV/0!</v>
      </c>
      <c r="F215" s="86" t="e">
        <f>F214/$C$203</f>
        <v>#DIV/0!</v>
      </c>
    </row>
    <row r="216" spans="2:8" s="34" customFormat="1" ht="13.5" thickBot="1" x14ac:dyDescent="0.25"/>
    <row r="217" spans="2:8" s="34" customFormat="1" x14ac:dyDescent="0.2">
      <c r="B217" s="614" t="s">
        <v>249</v>
      </c>
      <c r="C217" s="615"/>
      <c r="D217" s="615"/>
      <c r="E217" s="615"/>
      <c r="F217" s="615"/>
    </row>
    <row r="218" spans="2:8" s="34" customFormat="1" x14ac:dyDescent="0.2">
      <c r="B218" s="35" t="s">
        <v>8</v>
      </c>
      <c r="C218" s="115" t="e">
        <f ca="1">Parameters!C20</f>
        <v>#N/A</v>
      </c>
      <c r="D218" s="115" t="e">
        <f ca="1">Parameters!D20</f>
        <v>#N/A</v>
      </c>
      <c r="E218" s="115" t="e">
        <f ca="1">Parameters!E20</f>
        <v>#N/A</v>
      </c>
      <c r="F218" s="115" t="e">
        <f ca="1">Parameters!F20</f>
        <v>#N/A</v>
      </c>
      <c r="G218" s="87"/>
      <c r="H218" s="87"/>
    </row>
    <row r="219" spans="2:8" s="34" customFormat="1" x14ac:dyDescent="0.2">
      <c r="B219" s="35" t="s">
        <v>9</v>
      </c>
      <c r="C219" s="115" t="e">
        <f ca="1">IF(C87,1,Parameters!C22)</f>
        <v>#N/A</v>
      </c>
      <c r="D219" s="115" t="e">
        <f ca="1">IF(D87,1,Parameters!D22)</f>
        <v>#N/A</v>
      </c>
      <c r="E219" s="115" t="e">
        <f ca="1">IF(E87,1,Parameters!E22)</f>
        <v>#N/A</v>
      </c>
      <c r="F219" s="115" t="e">
        <f ca="1">IF(F87,1,Parameters!F22)</f>
        <v>#N/A</v>
      </c>
      <c r="G219" s="87"/>
    </row>
    <row r="220" spans="2:8" s="34" customFormat="1" x14ac:dyDescent="0.2">
      <c r="B220" s="35" t="s">
        <v>91</v>
      </c>
      <c r="C220" s="115">
        <f>IF(C87,Parameters!C23,1)</f>
        <v>1</v>
      </c>
      <c r="D220" s="115">
        <f>IF(D87,Parameters!D23,1)</f>
        <v>1</v>
      </c>
      <c r="E220" s="115">
        <f>IF(E87,Parameters!E23,1)</f>
        <v>1</v>
      </c>
      <c r="F220" s="115">
        <f>IF(F87,Parameters!F23,1)</f>
        <v>1</v>
      </c>
      <c r="G220" s="87"/>
      <c r="H220" s="87"/>
    </row>
    <row r="221" spans="2:8" s="34" customFormat="1" x14ac:dyDescent="0.2">
      <c r="B221" s="35" t="s">
        <v>99</v>
      </c>
      <c r="C221" s="115">
        <f>IF(C87,Parameters!C21,1)</f>
        <v>1</v>
      </c>
      <c r="D221" s="115">
        <f>IF(D87,Parameters!D21,1)</f>
        <v>1</v>
      </c>
      <c r="E221" s="115">
        <f>IF(E87,Parameters!E21,1)</f>
        <v>1</v>
      </c>
      <c r="F221" s="115">
        <f>IF(F87,Parameters!F21,1)</f>
        <v>1</v>
      </c>
      <c r="G221" s="87"/>
      <c r="H221" s="87"/>
    </row>
    <row r="222" spans="2:8" s="34" customFormat="1" x14ac:dyDescent="0.2">
      <c r="B222" s="35" t="s">
        <v>254</v>
      </c>
      <c r="C222" s="116">
        <f>IF('Data Calculations'!C$87,'Data Calculations'!C91,1)</f>
        <v>1</v>
      </c>
      <c r="D222" s="116">
        <f>IF('Data Calculations'!D$87,'Data Calculations'!D91,1)</f>
        <v>1</v>
      </c>
      <c r="E222" s="116">
        <f>IF('Data Calculations'!E$87,'Data Calculations'!E91,1)</f>
        <v>1</v>
      </c>
      <c r="F222" s="116">
        <f>IF('Data Calculations'!F$87,'Data Calculations'!F91,1)</f>
        <v>1</v>
      </c>
      <c r="G222" s="87"/>
      <c r="H222" s="87"/>
    </row>
    <row r="223" spans="2:8" s="34" customFormat="1" x14ac:dyDescent="0.2">
      <c r="B223" s="35" t="s">
        <v>77</v>
      </c>
      <c r="C223" s="116">
        <f>IF($B$179,C188,1)</f>
        <v>1</v>
      </c>
      <c r="D223" s="116">
        <f>IF($B$179,D188,1)</f>
        <v>1</v>
      </c>
      <c r="E223" s="116">
        <f>IF($B$179,E188,1)</f>
        <v>1</v>
      </c>
      <c r="F223" s="116">
        <f>IF($B$179,F188,1)</f>
        <v>1</v>
      </c>
      <c r="G223" s="87"/>
      <c r="H223" s="87"/>
    </row>
    <row r="224" spans="2:8" s="34" customFormat="1" x14ac:dyDescent="0.2">
      <c r="B224" s="35" t="s">
        <v>255</v>
      </c>
      <c r="C224" s="117"/>
      <c r="D224" s="117"/>
      <c r="E224" s="117"/>
      <c r="F224" s="117"/>
      <c r="G224" s="87"/>
      <c r="H224" s="87"/>
    </row>
    <row r="225" spans="2:8" s="34" customFormat="1" ht="13.5" thickBot="1" x14ac:dyDescent="0.25">
      <c r="B225" s="70" t="s">
        <v>311</v>
      </c>
      <c r="C225" s="118"/>
      <c r="D225" s="118"/>
      <c r="E225" s="118"/>
      <c r="F225" s="118"/>
      <c r="G225" s="87"/>
      <c r="H225" s="87"/>
    </row>
    <row r="226" spans="2:8" s="34" customFormat="1" ht="13.5" thickBot="1" x14ac:dyDescent="0.25">
      <c r="B226" s="87"/>
      <c r="C226" s="87"/>
      <c r="D226" s="87"/>
      <c r="E226" s="87"/>
      <c r="F226" s="87"/>
      <c r="G226" s="87"/>
      <c r="H226" s="87"/>
    </row>
    <row r="227" spans="2:8" s="34" customFormat="1" x14ac:dyDescent="0.2">
      <c r="B227" s="614" t="s">
        <v>256</v>
      </c>
      <c r="C227" s="615"/>
      <c r="D227" s="615"/>
      <c r="E227" s="615"/>
      <c r="F227" s="615"/>
    </row>
    <row r="228" spans="2:8" s="34" customFormat="1" x14ac:dyDescent="0.2">
      <c r="B228" s="35" t="s">
        <v>84</v>
      </c>
      <c r="C228" s="659" t="b">
        <f ca="1">'Table References'!E74</f>
        <v>1</v>
      </c>
      <c r="D228" s="659"/>
      <c r="E228" s="659"/>
      <c r="F228" s="659"/>
    </row>
    <row r="229" spans="2:8" s="34" customFormat="1" x14ac:dyDescent="0.2">
      <c r="B229" s="35" t="s">
        <v>259</v>
      </c>
      <c r="C229" s="71" t="b">
        <f ca="1">AND(C34,C72,C116,C173,C192,$C$213)</f>
        <v>0</v>
      </c>
      <c r="D229" s="71" t="b">
        <f ca="1">AND(D34,D72,D116,D173,D192,$C$213)</f>
        <v>0</v>
      </c>
      <c r="E229" s="71" t="b">
        <f ca="1">AND(E34,E72,E116,E173,E192,$C$213)</f>
        <v>0</v>
      </c>
      <c r="F229" s="71" t="b">
        <f ca="1">AND(F34,F72,F116,F173,F192,$C$213)</f>
        <v>0</v>
      </c>
      <c r="G229" s="34" t="s">
        <v>326</v>
      </c>
    </row>
    <row r="230" spans="2:8" s="34" customFormat="1" x14ac:dyDescent="0.2">
      <c r="B230" s="35" t="s">
        <v>257</v>
      </c>
      <c r="C230" s="85" t="e">
        <f ca="1">C218*C219*C220*C221*C222*C223</f>
        <v>#N/A</v>
      </c>
      <c r="D230" s="85" t="e">
        <f ca="1">D218*D219*D220*D221*D222*D223</f>
        <v>#N/A</v>
      </c>
      <c r="E230" s="85" t="e">
        <f ca="1">E218*E219*E220*E221*E222*E223</f>
        <v>#N/A</v>
      </c>
      <c r="F230" s="85" t="e">
        <f ca="1">F218*F219*F220*F221*F222*F223</f>
        <v>#N/A</v>
      </c>
    </row>
    <row r="231" spans="2:8" s="34" customFormat="1" x14ac:dyDescent="0.2">
      <c r="B231" s="35" t="s">
        <v>313</v>
      </c>
      <c r="C231" s="661">
        <v>0.1</v>
      </c>
      <c r="D231" s="661"/>
      <c r="E231" s="661"/>
      <c r="F231" s="661"/>
    </row>
    <row r="232" spans="2:8" s="34" customFormat="1" x14ac:dyDescent="0.2">
      <c r="B232" s="35" t="s">
        <v>314</v>
      </c>
      <c r="C232" s="661">
        <v>1</v>
      </c>
      <c r="D232" s="661"/>
      <c r="E232" s="661"/>
      <c r="F232" s="661"/>
    </row>
    <row r="233" spans="2:8" s="34" customFormat="1" x14ac:dyDescent="0.2">
      <c r="B233" s="35" t="s">
        <v>315</v>
      </c>
      <c r="C233" s="119" t="e">
        <f ca="1">AND(C230&gt;=$C$231,C230&lt;=$C$232)</f>
        <v>#N/A</v>
      </c>
      <c r="D233" s="119" t="e">
        <f t="shared" ref="D233:F233" ca="1" si="30">AND(D230&gt;=$C$231,D230&lt;=$C$232)</f>
        <v>#N/A</v>
      </c>
      <c r="E233" s="119" t="e">
        <f t="shared" ca="1" si="30"/>
        <v>#N/A</v>
      </c>
      <c r="F233" s="119" t="e">
        <f t="shared" ca="1" si="30"/>
        <v>#N/A</v>
      </c>
      <c r="G233" s="34" t="s">
        <v>324</v>
      </c>
    </row>
    <row r="234" spans="2:8" s="34" customFormat="1" x14ac:dyDescent="0.2">
      <c r="B234" s="35" t="s">
        <v>321</v>
      </c>
      <c r="C234" s="84" t="e">
        <f ca="1">IF(C229,C215/C230,#N/A)</f>
        <v>#N/A</v>
      </c>
      <c r="D234" s="84" t="e">
        <f ca="1">IF(D229,D215/D230,#N/A)</f>
        <v>#N/A</v>
      </c>
      <c r="E234" s="84" t="e">
        <f ca="1">IF(E229,E215/E230,#N/A)</f>
        <v>#N/A</v>
      </c>
      <c r="F234" s="84" t="e">
        <f ca="1">IF(F229,F215/F230,#N/A)</f>
        <v>#N/A</v>
      </c>
    </row>
    <row r="235" spans="2:8" s="34" customFormat="1" x14ac:dyDescent="0.2">
      <c r="B235" s="35" t="s">
        <v>316</v>
      </c>
      <c r="C235" s="660">
        <v>10</v>
      </c>
      <c r="D235" s="660"/>
      <c r="E235" s="660"/>
      <c r="F235" s="660"/>
    </row>
    <row r="236" spans="2:8" s="34" customFormat="1" x14ac:dyDescent="0.2">
      <c r="B236" s="35" t="s">
        <v>317</v>
      </c>
      <c r="C236" s="660">
        <v>1000</v>
      </c>
      <c r="D236" s="660"/>
      <c r="E236" s="660"/>
      <c r="F236" s="660"/>
    </row>
    <row r="237" spans="2:8" s="34" customFormat="1" ht="13.5" thickBot="1" x14ac:dyDescent="0.25">
      <c r="B237" s="70" t="s">
        <v>318</v>
      </c>
      <c r="C237" s="120" t="e">
        <f ca="1">AND(C234&gt;=$C$235,C234&lt;=$C$236)</f>
        <v>#N/A</v>
      </c>
      <c r="D237" s="120" t="e">
        <f t="shared" ref="D237:F237" ca="1" si="31">AND(D234&gt;=$C$235,D234&lt;=$C$236)</f>
        <v>#N/A</v>
      </c>
      <c r="E237" s="120" t="e">
        <f t="shared" ca="1" si="31"/>
        <v>#N/A</v>
      </c>
      <c r="F237" s="120" t="e">
        <f t="shared" ca="1" si="31"/>
        <v>#N/A</v>
      </c>
      <c r="G237" s="34" t="s">
        <v>324</v>
      </c>
    </row>
    <row r="238" spans="2:8" s="34" customFormat="1" x14ac:dyDescent="0.2"/>
    <row r="239" spans="2:8" s="34" customFormat="1" x14ac:dyDescent="0.2"/>
    <row r="240" spans="2:8" s="34" customFormat="1" x14ac:dyDescent="0.2"/>
    <row r="241" spans="2:8" s="34" customFormat="1" x14ac:dyDescent="0.2"/>
    <row r="242" spans="2:8" s="34" customFormat="1" x14ac:dyDescent="0.2"/>
    <row r="243" spans="2:8" s="34" customFormat="1" ht="20.25" thickBot="1" x14ac:dyDescent="0.35">
      <c r="B243" s="66" t="s">
        <v>298</v>
      </c>
      <c r="C243" s="121" t="s">
        <v>299</v>
      </c>
    </row>
    <row r="244" spans="2:8" s="34" customFormat="1" ht="14.25" thickTop="1" thickBot="1" x14ac:dyDescent="0.25"/>
    <row r="245" spans="2:8" s="34" customFormat="1" ht="13.5" thickBot="1" x14ac:dyDescent="0.25">
      <c r="B245" s="657" t="s">
        <v>89</v>
      </c>
      <c r="C245" s="658"/>
      <c r="D245" s="658"/>
      <c r="E245" s="658"/>
      <c r="F245" s="658"/>
    </row>
    <row r="246" spans="2:8" s="34" customFormat="1" x14ac:dyDescent="0.2">
      <c r="B246" s="122" t="s">
        <v>76</v>
      </c>
      <c r="C246" s="123"/>
      <c r="D246" s="124"/>
      <c r="E246" s="124"/>
      <c r="F246" s="124"/>
      <c r="G246" s="87"/>
      <c r="H246" s="87"/>
    </row>
    <row r="247" spans="2:8" s="34" customFormat="1" x14ac:dyDescent="0.2">
      <c r="B247" s="122" t="s">
        <v>74</v>
      </c>
      <c r="C247" s="125" t="str">
        <f>IF(ISERR(SEARCH("(",C246)),"",MID(C246,SEARCH("(",C246)+1,SEARCH(")",C246)-SEARCH("(",C246)-1))</f>
        <v/>
      </c>
      <c r="D247" s="126" t="str">
        <f>IF(ISERR(SEARCH("(",D246)),"",MID(D246,SEARCH("(",D246)+1,SEARCH(")",D246)-SEARCH("(",D246)-1))</f>
        <v/>
      </c>
      <c r="E247" s="126" t="str">
        <f>IF(ISERR(SEARCH("(",E246)),"",MID(E246,SEARCH("(",E246)+1,SEARCH(")",E246)-SEARCH("(",E246)-1))</f>
        <v/>
      </c>
      <c r="F247" s="126" t="str">
        <f>IF(ISERR(SEARCH("(",F246)),"",MID(F246,SEARCH("(",F246)+1,SEARCH(")",F246)-SEARCH("(",F246)-1))</f>
        <v/>
      </c>
      <c r="G247" s="87"/>
      <c r="H247" s="87"/>
    </row>
    <row r="248" spans="2:8" s="34" customFormat="1" x14ac:dyDescent="0.2">
      <c r="B248" s="122" t="s">
        <v>75</v>
      </c>
      <c r="C248" s="125" t="str">
        <f>IF(C247="","",MID(C246,SEARCH(")",C246)+1,LEN(C246)-SEARCH(")",C246)))</f>
        <v/>
      </c>
      <c r="D248" s="126" t="str">
        <f>IF(D247="","",MID(D246,SEARCH(")",D246)+1,LEN(D246)-SEARCH(")",D246)))</f>
        <v/>
      </c>
      <c r="E248" s="126" t="str">
        <f>IF(E247="","",MID(E246,SEARCH(")",E246)+1,LEN(E246)-SEARCH(")",E246)))</f>
        <v/>
      </c>
      <c r="F248" s="126" t="str">
        <f>IF(F247="","",MID(F246,SEARCH(")",F246)+1,LEN(F246)-SEARCH(")",F246)))</f>
        <v/>
      </c>
      <c r="G248" s="87"/>
    </row>
    <row r="249" spans="2:8" s="34" customFormat="1" x14ac:dyDescent="0.2">
      <c r="B249" s="122" t="s">
        <v>48</v>
      </c>
      <c r="C249" s="127" t="str">
        <f>IF(ISERR(SEARCH("EDW",C248)),"",CONCATENATE(C247," ",C248))</f>
        <v/>
      </c>
      <c r="D249" s="128" t="str">
        <f>IF(ISERR(SEARCH("EDW",D248)),"",CONCATENATE(D247," ",D248))</f>
        <v/>
      </c>
      <c r="E249" s="128" t="str">
        <f>IF(ISERR(SEARCH("EDW",E248)),"",CONCATENATE(E247," ",E248))</f>
        <v/>
      </c>
      <c r="F249" s="128" t="str">
        <f>IF(ISERR(SEARCH("EDW",F248)),"",CONCATENATE(F247," ",F248))</f>
        <v/>
      </c>
      <c r="G249" s="87"/>
      <c r="H249" s="87"/>
    </row>
    <row r="250" spans="2:8" s="34" customFormat="1" ht="13.5" thickBot="1" x14ac:dyDescent="0.25">
      <c r="B250" s="87"/>
      <c r="C250" s="87"/>
      <c r="D250" s="87"/>
      <c r="E250" s="87"/>
      <c r="F250" s="87"/>
      <c r="G250" s="87"/>
      <c r="H250" s="87"/>
    </row>
    <row r="251" spans="2:8" s="34" customFormat="1" ht="13.5" thickBot="1" x14ac:dyDescent="0.25">
      <c r="B251" s="655" t="s">
        <v>85</v>
      </c>
      <c r="C251" s="656"/>
      <c r="D251" s="656"/>
      <c r="E251" s="656"/>
      <c r="F251" s="656"/>
      <c r="G251" s="87"/>
      <c r="H251" s="87"/>
    </row>
    <row r="252" spans="2:8" s="34" customFormat="1" x14ac:dyDescent="0.2">
      <c r="B252" s="129" t="s">
        <v>22</v>
      </c>
      <c r="C252" s="130" t="str">
        <f>'Data Entry'!C13</f>
        <v/>
      </c>
      <c r="D252" s="131" t="str">
        <f>'Data Entry'!D13</f>
        <v/>
      </c>
      <c r="E252" s="131" t="str">
        <f>'Data Entry'!E13</f>
        <v/>
      </c>
      <c r="F252" s="131" t="str">
        <f>'Data Entry'!F13</f>
        <v/>
      </c>
      <c r="G252" s="87"/>
      <c r="H252" s="87"/>
    </row>
    <row r="253" spans="2:8" s="34" customFormat="1" x14ac:dyDescent="0.2">
      <c r="B253" s="122" t="s">
        <v>109</v>
      </c>
      <c r="C253" s="132">
        <f>'Data Entry'!C25</f>
        <v>0</v>
      </c>
      <c r="D253" s="69">
        <f>'Data Entry'!D25</f>
        <v>0</v>
      </c>
      <c r="E253" s="69">
        <f>'Data Entry'!E25</f>
        <v>0</v>
      </c>
      <c r="F253" s="69">
        <f>'Data Entry'!F25</f>
        <v>0</v>
      </c>
      <c r="G253" s="87"/>
      <c r="H253" s="87"/>
    </row>
    <row r="254" spans="2:8" s="34" customFormat="1" x14ac:dyDescent="0.2">
      <c r="B254" s="122" t="s">
        <v>110</v>
      </c>
      <c r="C254" s="132">
        <f>'Data Entry'!C26</f>
        <v>0</v>
      </c>
      <c r="D254" s="69">
        <f>'Data Entry'!D26</f>
        <v>0</v>
      </c>
      <c r="E254" s="69">
        <f>'Data Entry'!E26</f>
        <v>0</v>
      </c>
      <c r="F254" s="69">
        <f>'Data Entry'!F26</f>
        <v>0</v>
      </c>
      <c r="G254" s="87"/>
      <c r="H254" s="87"/>
    </row>
    <row r="255" spans="2:8" s="34" customFormat="1" x14ac:dyDescent="0.2">
      <c r="B255" s="122" t="s">
        <v>111</v>
      </c>
      <c r="C255" s="132">
        <f>'Data Entry'!C28</f>
        <v>0</v>
      </c>
      <c r="D255" s="69">
        <f>'Data Entry'!D28</f>
        <v>0</v>
      </c>
      <c r="E255" s="69">
        <f>'Data Entry'!E28</f>
        <v>0</v>
      </c>
      <c r="F255" s="69">
        <f>'Data Entry'!F28</f>
        <v>0</v>
      </c>
      <c r="G255" s="87"/>
      <c r="H255" s="87"/>
    </row>
    <row r="256" spans="2:8" s="34" customFormat="1" x14ac:dyDescent="0.2">
      <c r="B256" s="122" t="s">
        <v>112</v>
      </c>
      <c r="C256" s="132">
        <f>'Data Entry'!C29</f>
        <v>0</v>
      </c>
      <c r="D256" s="69">
        <f>'Data Entry'!D29</f>
        <v>0</v>
      </c>
      <c r="E256" s="69">
        <f>'Data Entry'!E29</f>
        <v>0</v>
      </c>
      <c r="F256" s="69">
        <f>'Data Entry'!F29</f>
        <v>0</v>
      </c>
      <c r="G256" s="87"/>
      <c r="H256" s="87"/>
    </row>
    <row r="257" spans="2:8" s="34" customFormat="1" x14ac:dyDescent="0.2">
      <c r="B257" s="122" t="s">
        <v>86</v>
      </c>
      <c r="C257" s="125" t="str">
        <f>IF(AND(ISERR(SEARCH("IN",#REF!)),ISERR(SEARCH("OUT",#REF!))),IF(AND(ISERR(SEARCH("LEFT",#REF!)),ISERR(SEARCH("RIGHT",#REF!))),"",MAX(C253:C254)),MAX(C255:C256))</f>
        <v/>
      </c>
      <c r="D257" s="126" t="str">
        <f>IF(AND(ISERR(SEARCH("IN",#REF!)),ISERR(SEARCH("OUT",#REF!))),IF(AND(ISERR(SEARCH("LEFT",#REF!)),ISERR(SEARCH("RIGHT",#REF!))),"",MAX(D253:D254)),MAX(D255:D256))</f>
        <v/>
      </c>
      <c r="E257" s="126" t="str">
        <f>IF(AND(ISERR(SEARCH("IN",#REF!)),ISERR(SEARCH("OUT",#REF!))),IF(AND(ISERR(SEARCH("LEFT",#REF!)),ISERR(SEARCH("RIGHT",#REF!))),"",MAX(E253:E254)),MAX(E255:E256))</f>
        <v/>
      </c>
      <c r="F257" s="126" t="str">
        <f>IF(AND(ISERR(SEARCH("IN",#REF!)),ISERR(SEARCH("OUT",#REF!))),IF(AND(ISERR(SEARCH("LEFT",#REF!)),ISERR(SEARCH("RIGHT",#REF!))),"",MAX(F253:F254)),MAX(F255:F256))</f>
        <v/>
      </c>
      <c r="G257" s="87"/>
      <c r="H257" s="87"/>
    </row>
    <row r="258" spans="2:8" s="34" customFormat="1" x14ac:dyDescent="0.2">
      <c r="B258" s="122" t="s">
        <v>10</v>
      </c>
      <c r="C258" s="35" t="str">
        <f>IF(ISERR(SEARCH("60",#REF!)),IF(ISERR(SEARCH("45",#REF!)),IF(ISERR(SEARCH("30",#REF!)),IF(ISERR(SEARCH("15",#REF!)),"",15),30),45),60)</f>
        <v/>
      </c>
      <c r="D258" s="133" t="str">
        <f>IF(ISERR(SEARCH("60",#REF!)),IF(ISERR(SEARCH("45",#REF!)),IF(ISERR(SEARCH("30",#REF!)),IF(ISERR(SEARCH("15",#REF!)),"",15),30),45),60)</f>
        <v/>
      </c>
      <c r="E258" s="133" t="str">
        <f>IF(ISERR(SEARCH("60",#REF!)),IF(ISERR(SEARCH("45",#REF!)),IF(ISERR(SEARCH("30",#REF!)),IF(ISERR(SEARCH("15",#REF!)),"",15),30),45),60)</f>
        <v/>
      </c>
      <c r="F258" s="133" t="str">
        <f>IF(ISERR(SEARCH("60",#REF!)),IF(ISERR(SEARCH("45",#REF!)),IF(ISERR(SEARCH("30",#REF!)),IF(ISERR(SEARCH("15",#REF!)),"",15),30),45),60)</f>
        <v/>
      </c>
      <c r="G258" s="87"/>
      <c r="H258" s="87"/>
    </row>
    <row r="259" spans="2:8" s="34" customFormat="1" x14ac:dyDescent="0.2">
      <c r="B259" s="122" t="s">
        <v>85</v>
      </c>
      <c r="C259" s="35" t="e">
        <f>IF(#REF!="","",VLOOKUP(C258,'Data Calculations'!#REF!,MATCH(C252,'Data Calculations'!#REF!,0)+1,FALSE)&gt;=C257)</f>
        <v>#REF!</v>
      </c>
      <c r="D259" s="133" t="e">
        <f>IF(#REF!="","",VLOOKUP(D258,'Data Calculations'!#REF!,MATCH(D252,'Data Calculations'!#REF!,0)+1,FALSE)&gt;=D257)</f>
        <v>#REF!</v>
      </c>
      <c r="E259" s="133" t="e">
        <f>IF(#REF!="","",VLOOKUP(E258,'Data Calculations'!#REF!,MATCH(E252,'Data Calculations'!#REF!,0)+1,FALSE)&gt;=E257)</f>
        <v>#REF!</v>
      </c>
      <c r="F259" s="133" t="e">
        <f>IF(#REF!="","",VLOOKUP(F258,'Data Calculations'!#REF!,MATCH(F252,'Data Calculations'!#REF!,0)+1,FALSE)&gt;=F257)</f>
        <v>#REF!</v>
      </c>
    </row>
    <row r="260" spans="2:8" s="34" customFormat="1" x14ac:dyDescent="0.2">
      <c r="B260" s="122" t="s">
        <v>48</v>
      </c>
      <c r="C260" s="134" t="e">
        <f>SUBSTITUTE(UPPER(TRIM('Data Entry'!#REF!)),"EDW ","EDW")</f>
        <v>#REF!</v>
      </c>
      <c r="D260" s="135" t="e">
        <f>SUBSTITUTE(UPPER(TRIM('Data Entry'!#REF!)),"EDW ","EDW")</f>
        <v>#REF!</v>
      </c>
      <c r="E260" s="135" t="e">
        <f>SUBSTITUTE(UPPER(TRIM('Data Entry'!#REF!)),"EDW ","EDW")</f>
        <v>#REF!</v>
      </c>
      <c r="F260" s="135" t="e">
        <f>SUBSTITUTE(UPPER(TRIM('Data Entry'!#REF!)),"EDW ","EDW")</f>
        <v>#REF!</v>
      </c>
    </row>
    <row r="261" spans="2:8" s="34" customFormat="1" x14ac:dyDescent="0.2">
      <c r="B261" s="122" t="s">
        <v>59</v>
      </c>
      <c r="C261" s="136" t="str">
        <f>IF(ISERR(SEARCH("IN",C260)),IF(ISERR(SEARCH("OUT",C260)),"","OUT"),"IN")</f>
        <v/>
      </c>
      <c r="D261" s="137" t="str">
        <f>IF(ISERR(SEARCH("IN",D260)),IF(ISERR(SEARCH("OUT",D260)),"","OUT"),"IN")</f>
        <v/>
      </c>
      <c r="E261" s="137" t="str">
        <f>IF(ISERR(SEARCH("IN",E260)),IF(ISERR(SEARCH("OUT",E260)),"","OUT"),"IN")</f>
        <v/>
      </c>
      <c r="F261" s="137" t="str">
        <f>IF(ISERR(SEARCH("IN",F260)),IF(ISERR(SEARCH("OUT",F260)),"","OUT"),"IN")</f>
        <v/>
      </c>
    </row>
    <row r="262" spans="2:8" s="34" customFormat="1" x14ac:dyDescent="0.2">
      <c r="B262" s="122" t="s">
        <v>49</v>
      </c>
      <c r="C262" s="35" t="str">
        <f>IF(C261="OUT",C255,IF(C261="IN",C256,""))</f>
        <v/>
      </c>
      <c r="D262" s="133" t="str">
        <f>IF(D261="OUT",D255,IF(D261="IN",D256,""))</f>
        <v/>
      </c>
      <c r="E262" s="133" t="str">
        <f>IF(E261="OUT",E255,IF(E261="IN",E256,""))</f>
        <v/>
      </c>
      <c r="F262" s="133" t="str">
        <f>IF(F261="OUT",F255,IF(F261="IN",F256,""))</f>
        <v/>
      </c>
    </row>
    <row r="263" spans="2:8" s="34" customFormat="1" ht="13.5" thickBot="1" x14ac:dyDescent="0.25">
      <c r="B263" s="138" t="s">
        <v>87</v>
      </c>
      <c r="C263" s="70" t="e">
        <f>IF(C260="","",AND(C262&lt;=10,C262&gt;=0))</f>
        <v>#REF!</v>
      </c>
      <c r="D263" s="139" t="e">
        <f>IF(D260="","",AND(D262&lt;=10,D262&gt;=0))</f>
        <v>#REF!</v>
      </c>
      <c r="E263" s="139" t="e">
        <f>IF(E260="","",AND(E262&lt;=10,E262&gt;=0))</f>
        <v>#REF!</v>
      </c>
      <c r="F263" s="139" t="e">
        <f>IF(F260="","",AND(F262&lt;=10,F262&gt;=0))</f>
        <v>#REF!</v>
      </c>
    </row>
    <row r="264" spans="2:8" s="34" customFormat="1" x14ac:dyDescent="0.2"/>
    <row r="265" spans="2:8" s="34" customFormat="1" x14ac:dyDescent="0.2"/>
    <row r="266" spans="2:8" s="34" customFormat="1" x14ac:dyDescent="0.2"/>
    <row r="267" spans="2:8" s="34" customFormat="1" x14ac:dyDescent="0.2"/>
    <row r="268" spans="2:8" s="34" customFormat="1" x14ac:dyDescent="0.2"/>
    <row r="269" spans="2:8" s="34" customFormat="1" x14ac:dyDescent="0.2"/>
    <row r="270" spans="2:8" s="34" customFormat="1" x14ac:dyDescent="0.2"/>
    <row r="271" spans="2:8" s="34" customFormat="1" x14ac:dyDescent="0.2"/>
    <row r="272" spans="2:8" s="34" customFormat="1" x14ac:dyDescent="0.2"/>
    <row r="273" s="34" customFormat="1" x14ac:dyDescent="0.2"/>
    <row r="274" s="34" customFormat="1" x14ac:dyDescent="0.2"/>
    <row r="275" s="34" customFormat="1" x14ac:dyDescent="0.2"/>
    <row r="276" s="34" customFormat="1" x14ac:dyDescent="0.2"/>
    <row r="277" s="34" customFormat="1" x14ac:dyDescent="0.2"/>
    <row r="278" s="34" customFormat="1" x14ac:dyDescent="0.2"/>
    <row r="279" s="34" customFormat="1" x14ac:dyDescent="0.2"/>
    <row r="280" s="34" customFormat="1" x14ac:dyDescent="0.2"/>
    <row r="281" s="34" customFormat="1" x14ac:dyDescent="0.2"/>
    <row r="282" s="34" customFormat="1" x14ac:dyDescent="0.2"/>
    <row r="283" s="34" customFormat="1" x14ac:dyDescent="0.2"/>
    <row r="284" s="34" customFormat="1" x14ac:dyDescent="0.2"/>
    <row r="285" s="34" customFormat="1" x14ac:dyDescent="0.2"/>
    <row r="286" s="34" customFormat="1" x14ac:dyDescent="0.2"/>
    <row r="287" s="34" customFormat="1" x14ac:dyDescent="0.2"/>
    <row r="288" s="34" customFormat="1" x14ac:dyDescent="0.2"/>
    <row r="289" s="34" customFormat="1" x14ac:dyDescent="0.2"/>
    <row r="290" s="34" customFormat="1" x14ac:dyDescent="0.2"/>
    <row r="291" s="34" customFormat="1" x14ac:dyDescent="0.2"/>
    <row r="292" s="34" customFormat="1" x14ac:dyDescent="0.2"/>
    <row r="293" s="34" customFormat="1" x14ac:dyDescent="0.2"/>
    <row r="294" s="34" customFormat="1" x14ac:dyDescent="0.2"/>
    <row r="295" s="34" customFormat="1" x14ac:dyDescent="0.2"/>
    <row r="296" s="34" customFormat="1" x14ac:dyDescent="0.2"/>
    <row r="297" s="34" customFormat="1" x14ac:dyDescent="0.2"/>
    <row r="298" s="34" customFormat="1" x14ac:dyDescent="0.2"/>
    <row r="299" s="34" customFormat="1" x14ac:dyDescent="0.2"/>
    <row r="300" s="34" customFormat="1" x14ac:dyDescent="0.2"/>
    <row r="301" s="34" customFormat="1" x14ac:dyDescent="0.2"/>
    <row r="302" s="34" customFormat="1" x14ac:dyDescent="0.2"/>
    <row r="303" s="34" customFormat="1" x14ac:dyDescent="0.2"/>
    <row r="304" s="34" customFormat="1" x14ac:dyDescent="0.2"/>
    <row r="305" s="34" customFormat="1" x14ac:dyDescent="0.2"/>
    <row r="306" s="34" customFormat="1" x14ac:dyDescent="0.2"/>
    <row r="307" s="34" customFormat="1" x14ac:dyDescent="0.2"/>
    <row r="308" s="34" customFormat="1" x14ac:dyDescent="0.2"/>
    <row r="309" s="34" customFormat="1" x14ac:dyDescent="0.2"/>
    <row r="310" s="34" customFormat="1" x14ac:dyDescent="0.2"/>
    <row r="311" s="34" customFormat="1" x14ac:dyDescent="0.2"/>
    <row r="312" s="34" customFormat="1" x14ac:dyDescent="0.2"/>
    <row r="313" s="34" customFormat="1" x14ac:dyDescent="0.2"/>
    <row r="314" s="34" customFormat="1" x14ac:dyDescent="0.2"/>
    <row r="315" s="34" customFormat="1" x14ac:dyDescent="0.2"/>
    <row r="316" s="34" customFormat="1" x14ac:dyDescent="0.2"/>
    <row r="317" s="34" customFormat="1" x14ac:dyDescent="0.2"/>
    <row r="318" s="34" customFormat="1" x14ac:dyDescent="0.2"/>
    <row r="319" s="34" customFormat="1" x14ac:dyDescent="0.2"/>
    <row r="320" s="34" customFormat="1" x14ac:dyDescent="0.2"/>
    <row r="321" s="34" customFormat="1" x14ac:dyDescent="0.2"/>
    <row r="322" s="34" customFormat="1" x14ac:dyDescent="0.2"/>
    <row r="323" s="34" customFormat="1" x14ac:dyDescent="0.2"/>
    <row r="324" s="34" customFormat="1" x14ac:dyDescent="0.2"/>
    <row r="325" s="34" customFormat="1" x14ac:dyDescent="0.2"/>
    <row r="326" s="34" customFormat="1" x14ac:dyDescent="0.2"/>
    <row r="327" s="34" customFormat="1" x14ac:dyDescent="0.2"/>
    <row r="328" s="34" customFormat="1" x14ac:dyDescent="0.2"/>
    <row r="329" s="34" customFormat="1" x14ac:dyDescent="0.2"/>
    <row r="330" s="34" customFormat="1" x14ac:dyDescent="0.2"/>
    <row r="331" s="34" customFormat="1" x14ac:dyDescent="0.2"/>
    <row r="332" s="34" customFormat="1" x14ac:dyDescent="0.2"/>
    <row r="333" s="34" customFormat="1" x14ac:dyDescent="0.2"/>
    <row r="334" s="34" customFormat="1" x14ac:dyDescent="0.2"/>
    <row r="335" s="34" customFormat="1" x14ac:dyDescent="0.2"/>
    <row r="336" s="34" customFormat="1" x14ac:dyDescent="0.2"/>
    <row r="337" s="34" customFormat="1" x14ac:dyDescent="0.2"/>
    <row r="338" s="34" customFormat="1" x14ac:dyDescent="0.2"/>
    <row r="339" s="34" customFormat="1" x14ac:dyDescent="0.2"/>
    <row r="340" s="34" customFormat="1" x14ac:dyDescent="0.2"/>
    <row r="341" s="34" customFormat="1" x14ac:dyDescent="0.2"/>
    <row r="342" s="34" customFormat="1" x14ac:dyDescent="0.2"/>
    <row r="343" s="34" customFormat="1" x14ac:dyDescent="0.2"/>
    <row r="344" s="34" customFormat="1" x14ac:dyDescent="0.2"/>
    <row r="345" s="34" customFormat="1" x14ac:dyDescent="0.2"/>
    <row r="346" s="34" customFormat="1" x14ac:dyDescent="0.2"/>
    <row r="347" s="34" customFormat="1" x14ac:dyDescent="0.2"/>
    <row r="348" s="34" customFormat="1" x14ac:dyDescent="0.2"/>
    <row r="349" s="34" customFormat="1" x14ac:dyDescent="0.2"/>
    <row r="350" s="34" customFormat="1" x14ac:dyDescent="0.2"/>
    <row r="351" s="34" customFormat="1" x14ac:dyDescent="0.2"/>
    <row r="352" s="34" customFormat="1" x14ac:dyDescent="0.2"/>
    <row r="353" s="34" customFormat="1" x14ac:dyDescent="0.2"/>
    <row r="354" s="34" customFormat="1" x14ac:dyDescent="0.2"/>
    <row r="355" s="34" customFormat="1" x14ac:dyDescent="0.2"/>
    <row r="356" s="34" customFormat="1" x14ac:dyDescent="0.2"/>
    <row r="357" s="34" customFormat="1" x14ac:dyDescent="0.2"/>
    <row r="358" s="34" customFormat="1" x14ac:dyDescent="0.2"/>
    <row r="359" s="34" customFormat="1" x14ac:dyDescent="0.2"/>
    <row r="360" s="34" customFormat="1" x14ac:dyDescent="0.2"/>
    <row r="361" s="34" customFormat="1" x14ac:dyDescent="0.2"/>
    <row r="362" s="34" customFormat="1" x14ac:dyDescent="0.2"/>
    <row r="363" s="34" customFormat="1" x14ac:dyDescent="0.2"/>
    <row r="364" s="34" customFormat="1" x14ac:dyDescent="0.2"/>
    <row r="365" s="34" customFormat="1" x14ac:dyDescent="0.2"/>
    <row r="366" s="34" customFormat="1" x14ac:dyDescent="0.2"/>
    <row r="367" s="34" customFormat="1" x14ac:dyDescent="0.2"/>
    <row r="368" s="34" customFormat="1" x14ac:dyDescent="0.2"/>
    <row r="369" s="34" customFormat="1" x14ac:dyDescent="0.2"/>
    <row r="370" s="34" customFormat="1" x14ac:dyDescent="0.2"/>
    <row r="371" s="34" customFormat="1" x14ac:dyDescent="0.2"/>
    <row r="372" s="34" customFormat="1" x14ac:dyDescent="0.2"/>
    <row r="373" s="34" customFormat="1" x14ac:dyDescent="0.2"/>
    <row r="374" s="34" customFormat="1" x14ac:dyDescent="0.2"/>
    <row r="375" s="34" customFormat="1" x14ac:dyDescent="0.2"/>
    <row r="376" s="34" customFormat="1" x14ac:dyDescent="0.2"/>
    <row r="377" s="34" customFormat="1" x14ac:dyDescent="0.2"/>
    <row r="378" s="34" customFormat="1" x14ac:dyDescent="0.2"/>
    <row r="379" s="34" customFormat="1" x14ac:dyDescent="0.2"/>
    <row r="380" s="34" customFormat="1" x14ac:dyDescent="0.2"/>
    <row r="381" s="34" customFormat="1" x14ac:dyDescent="0.2"/>
    <row r="382" s="34" customFormat="1" x14ac:dyDescent="0.2"/>
    <row r="383" s="34" customFormat="1" x14ac:dyDescent="0.2"/>
    <row r="384" s="34" customFormat="1" x14ac:dyDescent="0.2"/>
    <row r="385" s="34" customFormat="1" x14ac:dyDescent="0.2"/>
    <row r="386" s="34" customFormat="1" x14ac:dyDescent="0.2"/>
    <row r="387" s="34" customFormat="1" x14ac:dyDescent="0.2"/>
    <row r="388" s="34" customFormat="1" x14ac:dyDescent="0.2"/>
    <row r="389" s="34" customFormat="1" x14ac:dyDescent="0.2"/>
    <row r="390" s="34" customFormat="1" x14ac:dyDescent="0.2"/>
    <row r="391" s="34" customFormat="1" x14ac:dyDescent="0.2"/>
    <row r="392" s="34" customFormat="1" x14ac:dyDescent="0.2"/>
    <row r="393" s="34" customFormat="1" x14ac:dyDescent="0.2"/>
    <row r="394" s="34" customFormat="1" x14ac:dyDescent="0.2"/>
    <row r="395" s="34" customFormat="1" x14ac:dyDescent="0.2"/>
    <row r="396" s="34" customFormat="1" x14ac:dyDescent="0.2"/>
    <row r="397" s="34" customFormat="1" x14ac:dyDescent="0.2"/>
    <row r="398" s="34" customFormat="1" x14ac:dyDescent="0.2"/>
    <row r="399" s="34" customFormat="1" x14ac:dyDescent="0.2"/>
    <row r="400" s="34" customFormat="1" x14ac:dyDescent="0.2"/>
    <row r="401" s="34" customFormat="1" x14ac:dyDescent="0.2"/>
    <row r="402" s="34" customFormat="1" x14ac:dyDescent="0.2"/>
    <row r="403" s="34" customFormat="1" x14ac:dyDescent="0.2"/>
    <row r="404" s="34" customFormat="1" x14ac:dyDescent="0.2"/>
    <row r="405" s="34" customFormat="1" x14ac:dyDescent="0.2"/>
    <row r="406" s="34" customFormat="1" x14ac:dyDescent="0.2"/>
    <row r="407" s="34" customFormat="1" x14ac:dyDescent="0.2"/>
    <row r="408" s="34" customFormat="1" x14ac:dyDescent="0.2"/>
    <row r="409" s="34" customFormat="1" x14ac:dyDescent="0.2"/>
    <row r="410" s="34" customFormat="1" x14ac:dyDescent="0.2"/>
    <row r="411" s="34" customFormat="1" x14ac:dyDescent="0.2"/>
    <row r="412" s="34" customFormat="1" x14ac:dyDescent="0.2"/>
    <row r="413" s="34" customFormat="1" x14ac:dyDescent="0.2"/>
    <row r="414" s="34" customFormat="1" x14ac:dyDescent="0.2"/>
    <row r="415" s="34" customFormat="1" x14ac:dyDescent="0.2"/>
    <row r="416" s="34" customFormat="1" x14ac:dyDescent="0.2"/>
    <row r="417" s="34" customFormat="1" x14ac:dyDescent="0.2"/>
    <row r="418" s="34" customFormat="1" x14ac:dyDescent="0.2"/>
    <row r="419" s="34" customFormat="1" x14ac:dyDescent="0.2"/>
    <row r="420" s="34" customFormat="1" x14ac:dyDescent="0.2"/>
    <row r="421" s="34" customFormat="1" x14ac:dyDescent="0.2"/>
    <row r="422" s="34" customFormat="1" x14ac:dyDescent="0.2"/>
    <row r="423" s="34" customFormat="1" x14ac:dyDescent="0.2"/>
    <row r="424" s="34" customFormat="1" x14ac:dyDescent="0.2"/>
    <row r="425" s="34" customFormat="1" x14ac:dyDescent="0.2"/>
    <row r="426" s="34" customFormat="1" x14ac:dyDescent="0.2"/>
    <row r="427" s="34" customFormat="1" x14ac:dyDescent="0.2"/>
    <row r="428" s="34" customFormat="1" x14ac:dyDescent="0.2"/>
    <row r="429" s="34" customFormat="1" x14ac:dyDescent="0.2"/>
    <row r="430" s="34" customFormat="1" x14ac:dyDescent="0.2"/>
    <row r="431" s="34" customFormat="1" x14ac:dyDescent="0.2"/>
    <row r="432" s="34" customFormat="1" x14ac:dyDescent="0.2"/>
    <row r="433" s="34" customFormat="1" x14ac:dyDescent="0.2"/>
    <row r="434" s="34" customFormat="1" x14ac:dyDescent="0.2"/>
    <row r="435" s="34" customFormat="1" x14ac:dyDescent="0.2"/>
    <row r="436" s="34" customFormat="1" x14ac:dyDescent="0.2"/>
    <row r="437" s="34" customFormat="1" x14ac:dyDescent="0.2"/>
    <row r="438" s="34" customFormat="1" x14ac:dyDescent="0.2"/>
    <row r="439" s="34" customFormat="1" x14ac:dyDescent="0.2"/>
    <row r="440" s="34" customFormat="1" x14ac:dyDescent="0.2"/>
    <row r="441" s="34" customFormat="1" x14ac:dyDescent="0.2"/>
    <row r="442" s="34" customFormat="1" x14ac:dyDescent="0.2"/>
    <row r="443" s="34" customFormat="1" x14ac:dyDescent="0.2"/>
    <row r="444" s="34" customFormat="1" x14ac:dyDescent="0.2"/>
    <row r="445" s="34" customFormat="1" x14ac:dyDescent="0.2"/>
    <row r="446" s="34" customFormat="1" x14ac:dyDescent="0.2"/>
    <row r="447" s="34" customFormat="1" x14ac:dyDescent="0.2"/>
    <row r="448" s="34" customFormat="1" x14ac:dyDescent="0.2"/>
    <row r="449" s="34" customFormat="1" x14ac:dyDescent="0.2"/>
    <row r="450" s="34" customFormat="1" x14ac:dyDescent="0.2"/>
    <row r="451" s="34" customFormat="1" x14ac:dyDescent="0.2"/>
    <row r="452" s="34" customFormat="1" x14ac:dyDescent="0.2"/>
    <row r="453" s="34" customFormat="1" x14ac:dyDescent="0.2"/>
    <row r="454" s="34" customFormat="1" x14ac:dyDescent="0.2"/>
    <row r="455" s="34" customFormat="1" x14ac:dyDescent="0.2"/>
    <row r="456" s="34" customFormat="1" x14ac:dyDescent="0.2"/>
    <row r="457" s="34" customFormat="1" x14ac:dyDescent="0.2"/>
    <row r="458" s="34" customFormat="1" x14ac:dyDescent="0.2"/>
    <row r="459" s="34" customFormat="1" x14ac:dyDescent="0.2"/>
    <row r="460" s="34" customFormat="1" x14ac:dyDescent="0.2"/>
    <row r="461" s="34" customFormat="1" x14ac:dyDescent="0.2"/>
    <row r="462" s="34" customFormat="1" x14ac:dyDescent="0.2"/>
    <row r="463" s="34" customFormat="1" x14ac:dyDescent="0.2"/>
    <row r="464" s="34" customFormat="1" x14ac:dyDescent="0.2"/>
    <row r="465" s="34" customFormat="1" x14ac:dyDescent="0.2"/>
    <row r="466" s="34" customFormat="1" x14ac:dyDescent="0.2"/>
    <row r="467" s="34" customFormat="1" x14ac:dyDescent="0.2"/>
    <row r="468" s="34" customFormat="1" x14ac:dyDescent="0.2"/>
    <row r="469" s="34" customFormat="1" x14ac:dyDescent="0.2"/>
    <row r="470" s="34" customFormat="1" x14ac:dyDescent="0.2"/>
    <row r="471" s="34" customFormat="1" x14ac:dyDescent="0.2"/>
    <row r="472" s="34" customFormat="1" x14ac:dyDescent="0.2"/>
    <row r="473" s="34" customFormat="1" x14ac:dyDescent="0.2"/>
    <row r="474" s="34" customFormat="1" x14ac:dyDescent="0.2"/>
    <row r="475" s="34" customFormat="1" x14ac:dyDescent="0.2"/>
    <row r="476" s="34" customFormat="1" x14ac:dyDescent="0.2"/>
    <row r="477" s="34" customFormat="1" x14ac:dyDescent="0.2"/>
    <row r="478" s="34" customFormat="1" x14ac:dyDescent="0.2"/>
    <row r="479" s="34" customFormat="1" x14ac:dyDescent="0.2"/>
    <row r="480" s="34" customFormat="1" x14ac:dyDescent="0.2"/>
    <row r="481" s="34" customFormat="1" x14ac:dyDescent="0.2"/>
    <row r="482" s="34" customFormat="1" x14ac:dyDescent="0.2"/>
    <row r="483" s="34" customFormat="1" x14ac:dyDescent="0.2"/>
    <row r="484" s="34" customFormat="1" x14ac:dyDescent="0.2"/>
    <row r="485" s="34" customFormat="1" x14ac:dyDescent="0.2"/>
    <row r="486" s="34" customFormat="1" x14ac:dyDescent="0.2"/>
    <row r="487" s="34" customFormat="1" x14ac:dyDescent="0.2"/>
    <row r="488" s="34" customFormat="1" x14ac:dyDescent="0.2"/>
    <row r="489" s="34" customFormat="1" x14ac:dyDescent="0.2"/>
    <row r="490" s="34" customFormat="1" x14ac:dyDescent="0.2"/>
    <row r="491" s="34" customFormat="1" x14ac:dyDescent="0.2"/>
    <row r="492" s="34" customFormat="1" x14ac:dyDescent="0.2"/>
    <row r="493" s="34" customFormat="1" x14ac:dyDescent="0.2"/>
    <row r="494" s="34" customFormat="1" x14ac:dyDescent="0.2"/>
    <row r="495" s="34" customFormat="1" x14ac:dyDescent="0.2"/>
    <row r="496" s="34" customFormat="1" x14ac:dyDescent="0.2"/>
    <row r="497" s="34" customFormat="1" x14ac:dyDescent="0.2"/>
    <row r="498" s="34" customFormat="1" x14ac:dyDescent="0.2"/>
    <row r="499" s="34" customFormat="1" x14ac:dyDescent="0.2"/>
    <row r="500" s="34" customFormat="1" x14ac:dyDescent="0.2"/>
    <row r="501" s="34" customFormat="1" x14ac:dyDescent="0.2"/>
    <row r="502" s="34" customFormat="1" x14ac:dyDescent="0.2"/>
    <row r="503" s="34" customFormat="1" x14ac:dyDescent="0.2"/>
    <row r="504" s="34" customFormat="1" x14ac:dyDescent="0.2"/>
    <row r="505" s="34" customFormat="1" x14ac:dyDescent="0.2"/>
    <row r="506" s="34" customFormat="1" x14ac:dyDescent="0.2"/>
    <row r="507" s="34" customFormat="1" x14ac:dyDescent="0.2"/>
    <row r="508" s="34" customFormat="1" x14ac:dyDescent="0.2"/>
    <row r="509" s="34" customFormat="1" x14ac:dyDescent="0.2"/>
    <row r="510" s="34" customFormat="1" x14ac:dyDescent="0.2"/>
    <row r="511" s="34" customFormat="1" x14ac:dyDescent="0.2"/>
    <row r="512" s="34" customFormat="1" x14ac:dyDescent="0.2"/>
    <row r="513" s="34" customFormat="1" x14ac:dyDescent="0.2"/>
    <row r="514" s="34" customFormat="1" x14ac:dyDescent="0.2"/>
    <row r="515" s="34" customFormat="1" x14ac:dyDescent="0.2"/>
    <row r="516" s="34" customFormat="1" x14ac:dyDescent="0.2"/>
    <row r="517" s="34" customFormat="1" x14ac:dyDescent="0.2"/>
    <row r="518" s="34" customFormat="1" x14ac:dyDescent="0.2"/>
    <row r="519" s="34" customFormat="1" x14ac:dyDescent="0.2"/>
    <row r="520" s="34" customFormat="1" x14ac:dyDescent="0.2"/>
    <row r="521" s="34" customFormat="1" x14ac:dyDescent="0.2"/>
    <row r="522" s="34" customFormat="1" x14ac:dyDescent="0.2"/>
    <row r="523" s="34" customFormat="1" x14ac:dyDescent="0.2"/>
    <row r="524" s="34" customFormat="1" x14ac:dyDescent="0.2"/>
    <row r="525" s="34" customFormat="1" x14ac:dyDescent="0.2"/>
    <row r="526" s="34" customFormat="1" x14ac:dyDescent="0.2"/>
    <row r="527" s="34" customFormat="1" x14ac:dyDescent="0.2"/>
    <row r="528" s="34" customFormat="1" x14ac:dyDescent="0.2"/>
    <row r="529" s="34" customFormat="1" x14ac:dyDescent="0.2"/>
    <row r="530" s="34" customFormat="1" x14ac:dyDescent="0.2"/>
    <row r="531" s="34" customFormat="1" x14ac:dyDescent="0.2"/>
    <row r="532" s="34" customFormat="1" x14ac:dyDescent="0.2"/>
    <row r="533" s="34" customFormat="1" x14ac:dyDescent="0.2"/>
    <row r="534" s="34" customFormat="1" x14ac:dyDescent="0.2"/>
    <row r="535" s="34" customFormat="1" x14ac:dyDescent="0.2"/>
    <row r="536" s="34" customFormat="1" x14ac:dyDescent="0.2"/>
    <row r="537" s="34" customFormat="1" x14ac:dyDescent="0.2"/>
    <row r="538" s="34" customFormat="1" x14ac:dyDescent="0.2"/>
    <row r="539" s="34" customFormat="1" x14ac:dyDescent="0.2"/>
    <row r="540" s="34" customFormat="1" x14ac:dyDescent="0.2"/>
    <row r="541" s="34" customFormat="1" x14ac:dyDescent="0.2"/>
    <row r="542" s="34" customFormat="1" x14ac:dyDescent="0.2"/>
    <row r="543" s="34" customFormat="1" x14ac:dyDescent="0.2"/>
    <row r="544" s="34" customFormat="1" x14ac:dyDescent="0.2"/>
    <row r="545" s="34" customFormat="1" x14ac:dyDescent="0.2"/>
    <row r="546" s="34" customFormat="1" x14ac:dyDescent="0.2"/>
    <row r="547" s="34" customFormat="1" x14ac:dyDescent="0.2"/>
    <row r="548" s="34" customFormat="1" x14ac:dyDescent="0.2"/>
    <row r="549" s="34" customFormat="1" x14ac:dyDescent="0.2"/>
    <row r="550" s="34" customFormat="1" x14ac:dyDescent="0.2"/>
    <row r="551" s="34" customFormat="1" x14ac:dyDescent="0.2"/>
    <row r="552" s="34" customFormat="1" x14ac:dyDescent="0.2"/>
    <row r="553" s="34" customFormat="1" x14ac:dyDescent="0.2"/>
    <row r="554" s="34" customFormat="1" x14ac:dyDescent="0.2"/>
    <row r="555" s="34" customFormat="1" x14ac:dyDescent="0.2"/>
    <row r="556" s="34" customFormat="1" x14ac:dyDescent="0.2"/>
    <row r="557" s="34" customFormat="1" x14ac:dyDescent="0.2"/>
    <row r="558" s="34" customFormat="1" x14ac:dyDescent="0.2"/>
    <row r="559" s="34" customFormat="1" x14ac:dyDescent="0.2"/>
    <row r="560" s="34" customFormat="1" x14ac:dyDescent="0.2"/>
    <row r="561" s="34" customFormat="1" x14ac:dyDescent="0.2"/>
    <row r="562" s="34" customFormat="1" x14ac:dyDescent="0.2"/>
    <row r="563" s="34" customFormat="1" x14ac:dyDescent="0.2"/>
    <row r="564" s="34" customFormat="1" x14ac:dyDescent="0.2"/>
    <row r="565" s="34" customFormat="1" x14ac:dyDescent="0.2"/>
    <row r="566" s="34" customFormat="1" x14ac:dyDescent="0.2"/>
    <row r="567" s="34" customFormat="1" x14ac:dyDescent="0.2"/>
    <row r="568" s="34" customFormat="1" x14ac:dyDescent="0.2"/>
    <row r="569" s="34" customFormat="1" x14ac:dyDescent="0.2"/>
    <row r="570" s="34" customFormat="1" x14ac:dyDescent="0.2"/>
    <row r="571" s="34" customFormat="1" x14ac:dyDescent="0.2"/>
    <row r="572" s="34" customFormat="1" x14ac:dyDescent="0.2"/>
    <row r="573" s="34" customFormat="1" x14ac:dyDescent="0.2"/>
    <row r="574" s="34" customFormat="1" x14ac:dyDescent="0.2"/>
    <row r="575" s="34" customFormat="1" x14ac:dyDescent="0.2"/>
    <row r="576" s="34" customFormat="1" x14ac:dyDescent="0.2"/>
    <row r="577" s="34" customFormat="1" x14ac:dyDescent="0.2"/>
    <row r="578" s="34" customFormat="1" x14ac:dyDescent="0.2"/>
    <row r="579" s="34" customFormat="1" x14ac:dyDescent="0.2"/>
    <row r="580" s="34" customFormat="1" x14ac:dyDescent="0.2"/>
    <row r="581" s="34" customFormat="1" x14ac:dyDescent="0.2"/>
    <row r="582" s="34" customFormat="1" x14ac:dyDescent="0.2"/>
    <row r="583" s="34" customFormat="1" x14ac:dyDescent="0.2"/>
    <row r="584" s="34" customFormat="1" x14ac:dyDescent="0.2"/>
    <row r="585" s="34" customFormat="1" x14ac:dyDescent="0.2"/>
    <row r="586" s="34" customFormat="1" x14ac:dyDescent="0.2"/>
    <row r="587" s="34" customFormat="1" x14ac:dyDescent="0.2"/>
    <row r="588" s="34" customFormat="1" x14ac:dyDescent="0.2"/>
    <row r="589" s="34" customFormat="1" x14ac:dyDescent="0.2"/>
    <row r="590" s="34" customFormat="1" x14ac:dyDescent="0.2"/>
    <row r="591" s="34" customFormat="1" x14ac:dyDescent="0.2"/>
    <row r="592" s="34" customFormat="1" x14ac:dyDescent="0.2"/>
    <row r="593" s="34" customFormat="1" x14ac:dyDescent="0.2"/>
    <row r="594" s="34" customFormat="1" x14ac:dyDescent="0.2"/>
    <row r="595" s="34" customFormat="1" x14ac:dyDescent="0.2"/>
    <row r="596" s="34" customFormat="1" x14ac:dyDescent="0.2"/>
    <row r="597" s="34" customFormat="1" x14ac:dyDescent="0.2"/>
    <row r="598" s="34" customFormat="1" x14ac:dyDescent="0.2"/>
    <row r="599" s="34" customFormat="1" x14ac:dyDescent="0.2"/>
    <row r="600" s="34" customFormat="1" x14ac:dyDescent="0.2"/>
    <row r="601" s="34" customFormat="1" x14ac:dyDescent="0.2"/>
    <row r="602" s="34" customFormat="1" x14ac:dyDescent="0.2"/>
    <row r="603" s="34" customFormat="1" x14ac:dyDescent="0.2"/>
    <row r="604" s="34" customFormat="1" x14ac:dyDescent="0.2"/>
    <row r="605" s="34" customFormat="1" x14ac:dyDescent="0.2"/>
    <row r="606" s="34" customFormat="1" x14ac:dyDescent="0.2"/>
    <row r="607" s="34" customFormat="1" x14ac:dyDescent="0.2"/>
    <row r="608" s="34" customFormat="1" x14ac:dyDescent="0.2"/>
    <row r="609" s="34" customFormat="1" x14ac:dyDescent="0.2"/>
    <row r="610" s="34" customFormat="1" x14ac:dyDescent="0.2"/>
    <row r="611" s="34" customFormat="1" x14ac:dyDescent="0.2"/>
    <row r="612" s="34" customFormat="1" x14ac:dyDescent="0.2"/>
    <row r="613" s="34" customFormat="1" x14ac:dyDescent="0.2"/>
    <row r="614" s="34" customFormat="1" x14ac:dyDescent="0.2"/>
    <row r="615" s="34" customFormat="1" x14ac:dyDescent="0.2"/>
    <row r="616" s="34" customFormat="1" x14ac:dyDescent="0.2"/>
    <row r="617" s="34" customFormat="1" x14ac:dyDescent="0.2"/>
    <row r="618" s="34" customFormat="1" x14ac:dyDescent="0.2"/>
    <row r="619" s="34" customFormat="1" x14ac:dyDescent="0.2"/>
    <row r="620" s="34" customFormat="1" x14ac:dyDescent="0.2"/>
    <row r="621" s="34" customFormat="1" x14ac:dyDescent="0.2"/>
    <row r="622" s="34" customFormat="1" x14ac:dyDescent="0.2"/>
    <row r="623" s="34" customFormat="1" x14ac:dyDescent="0.2"/>
    <row r="624" s="34" customFormat="1" x14ac:dyDescent="0.2"/>
    <row r="625" s="34" customFormat="1" x14ac:dyDescent="0.2"/>
    <row r="626" s="34" customFormat="1" x14ac:dyDescent="0.2"/>
    <row r="627" s="34" customFormat="1" x14ac:dyDescent="0.2"/>
    <row r="628" s="34" customFormat="1" x14ac:dyDescent="0.2"/>
    <row r="629" s="34" customFormat="1" x14ac:dyDescent="0.2"/>
    <row r="630" s="34" customFormat="1" x14ac:dyDescent="0.2"/>
    <row r="631" s="34" customFormat="1" x14ac:dyDescent="0.2"/>
    <row r="632" s="34" customFormat="1" x14ac:dyDescent="0.2"/>
    <row r="633" s="34" customFormat="1" x14ac:dyDescent="0.2"/>
    <row r="634" s="34" customFormat="1" x14ac:dyDescent="0.2"/>
    <row r="635" s="34" customFormat="1" x14ac:dyDescent="0.2"/>
    <row r="636" s="34" customFormat="1" x14ac:dyDescent="0.2"/>
    <row r="637" s="34" customFormat="1" x14ac:dyDescent="0.2"/>
  </sheetData>
  <mergeCells count="52">
    <mergeCell ref="B251:F251"/>
    <mergeCell ref="B138:F138"/>
    <mergeCell ref="B245:F245"/>
    <mergeCell ref="B122:F122"/>
    <mergeCell ref="C228:F228"/>
    <mergeCell ref="B227:F227"/>
    <mergeCell ref="B217:F217"/>
    <mergeCell ref="C200:F200"/>
    <mergeCell ref="C201:F201"/>
    <mergeCell ref="C204:F204"/>
    <mergeCell ref="C205:F205"/>
    <mergeCell ref="C202:F202"/>
    <mergeCell ref="C231:F231"/>
    <mergeCell ref="C232:F232"/>
    <mergeCell ref="C235:F235"/>
    <mergeCell ref="C236:F236"/>
    <mergeCell ref="C179:F179"/>
    <mergeCell ref="C94:F94"/>
    <mergeCell ref="C206:F206"/>
    <mergeCell ref="B52:C52"/>
    <mergeCell ref="C104:F104"/>
    <mergeCell ref="B56:G56"/>
    <mergeCell ref="B82:F82"/>
    <mergeCell ref="B110:F110"/>
    <mergeCell ref="C11:D11"/>
    <mergeCell ref="C13:D13"/>
    <mergeCell ref="C12:D12"/>
    <mergeCell ref="C17:D17"/>
    <mergeCell ref="C10:D10"/>
    <mergeCell ref="C16:D16"/>
    <mergeCell ref="C15:D15"/>
    <mergeCell ref="C4:D4"/>
    <mergeCell ref="C5:D5"/>
    <mergeCell ref="C6:D6"/>
    <mergeCell ref="C7:D7"/>
    <mergeCell ref="C9:D9"/>
    <mergeCell ref="B23:D23"/>
    <mergeCell ref="C213:F213"/>
    <mergeCell ref="B32:F32"/>
    <mergeCell ref="C83:F83"/>
    <mergeCell ref="B68:F68"/>
    <mergeCell ref="C199:F199"/>
    <mergeCell ref="C203:F203"/>
    <mergeCell ref="B78:F78"/>
    <mergeCell ref="C103:F103"/>
    <mergeCell ref="C107:F107"/>
    <mergeCell ref="B198:F198"/>
    <mergeCell ref="C105:F105"/>
    <mergeCell ref="C38:F38"/>
    <mergeCell ref="C212:F212"/>
    <mergeCell ref="C185:F185"/>
    <mergeCell ref="B36:F36"/>
  </mergeCells>
  <phoneticPr fontId="0" type="noConversion"/>
  <conditionalFormatting sqref="C86:F87">
    <cfRule type="cellIs" dxfId="40" priority="53" operator="equal">
      <formula>TRUE</formula>
    </cfRule>
  </conditionalFormatting>
  <conditionalFormatting sqref="C115:F115">
    <cfRule type="cellIs" dxfId="39" priority="52" operator="equal">
      <formula>TRUE</formula>
    </cfRule>
  </conditionalFormatting>
  <conditionalFormatting sqref="C101:F101">
    <cfRule type="cellIs" dxfId="38" priority="51" operator="equal">
      <formula>TRUE</formula>
    </cfRule>
  </conditionalFormatting>
  <conditionalFormatting sqref="C96:F96">
    <cfRule type="cellIs" dxfId="37" priority="50" operator="equal">
      <formula>TRUE</formula>
    </cfRule>
  </conditionalFormatting>
  <conditionalFormatting sqref="C116:F116">
    <cfRule type="cellIs" dxfId="36" priority="49" operator="equal">
      <formula>TRUE</formula>
    </cfRule>
  </conditionalFormatting>
  <conditionalFormatting sqref="C151:F154">
    <cfRule type="cellIs" dxfId="35" priority="48" operator="equal">
      <formula>TRUE</formula>
    </cfRule>
  </conditionalFormatting>
  <conditionalFormatting sqref="C169:F169">
    <cfRule type="cellIs" dxfId="34" priority="46" operator="equal">
      <formula>TRUE</formula>
    </cfRule>
  </conditionalFormatting>
  <conditionalFormatting sqref="C173:F173">
    <cfRule type="cellIs" dxfId="33" priority="45" operator="equal">
      <formula>TRUE</formula>
    </cfRule>
  </conditionalFormatting>
  <conditionalFormatting sqref="C213:F213">
    <cfRule type="cellIs" dxfId="32" priority="44" operator="equal">
      <formula>TRUE</formula>
    </cfRule>
  </conditionalFormatting>
  <conditionalFormatting sqref="C155:F156">
    <cfRule type="cellIs" dxfId="31" priority="42" operator="equal">
      <formula>TRUE</formula>
    </cfRule>
  </conditionalFormatting>
  <conditionalFormatting sqref="C72:F72">
    <cfRule type="cellIs" dxfId="30" priority="35" operator="equal">
      <formula>TRUE</formula>
    </cfRule>
  </conditionalFormatting>
  <conditionalFormatting sqref="D189:F189">
    <cfRule type="cellIs" dxfId="29" priority="34" operator="equal">
      <formula>TRUE</formula>
    </cfRule>
  </conditionalFormatting>
  <conditionalFormatting sqref="C229:F229">
    <cfRule type="cellIs" dxfId="28" priority="33" operator="equal">
      <formula>TRUE</formula>
    </cfRule>
  </conditionalFormatting>
  <conditionalFormatting sqref="C228:F228">
    <cfRule type="cellIs" dxfId="27" priority="32" operator="equal">
      <formula>TRUE</formula>
    </cfRule>
  </conditionalFormatting>
  <conditionalFormatting sqref="D24:D26">
    <cfRule type="cellIs" dxfId="26" priority="27" operator="equal">
      <formula>TRUE</formula>
    </cfRule>
  </conditionalFormatting>
  <conditionalFormatting sqref="C34:F34">
    <cfRule type="cellIs" dxfId="25" priority="26" operator="equal">
      <formula>TRUE</formula>
    </cfRule>
  </conditionalFormatting>
  <conditionalFormatting sqref="C88:F88">
    <cfRule type="expression" dxfId="24" priority="25">
      <formula>NOT(C$87)</formula>
    </cfRule>
  </conditionalFormatting>
  <conditionalFormatting sqref="C97:F98">
    <cfRule type="expression" dxfId="23" priority="24">
      <formula>NOT(C$96)</formula>
    </cfRule>
  </conditionalFormatting>
  <conditionalFormatting sqref="C95:F95">
    <cfRule type="expression" dxfId="22" priority="23">
      <formula>NOT($B$94)</formula>
    </cfRule>
  </conditionalFormatting>
  <conditionalFormatting sqref="C108:F108">
    <cfRule type="cellIs" dxfId="21" priority="22" operator="equal">
      <formula>TRUE</formula>
    </cfRule>
  </conditionalFormatting>
  <conditionalFormatting sqref="B103">
    <cfRule type="cellIs" dxfId="20" priority="21" operator="equal">
      <formula>TRUE</formula>
    </cfRule>
  </conditionalFormatting>
  <conditionalFormatting sqref="C89:F89">
    <cfRule type="cellIs" dxfId="19" priority="19" operator="equal">
      <formula>TRUE</formula>
    </cfRule>
  </conditionalFormatting>
  <conditionalFormatting sqref="C144:F144">
    <cfRule type="expression" dxfId="18" priority="18">
      <formula>C144</formula>
    </cfRule>
  </conditionalFormatting>
  <conditionalFormatting sqref="C141:F141">
    <cfRule type="expression" dxfId="17" priority="17">
      <formula>C$139</formula>
    </cfRule>
  </conditionalFormatting>
  <conditionalFormatting sqref="C192:F192">
    <cfRule type="cellIs" dxfId="16" priority="16" operator="equal">
      <formula>TRUE</formula>
    </cfRule>
  </conditionalFormatting>
  <conditionalFormatting sqref="C100:F100">
    <cfRule type="cellIs" dxfId="15" priority="15" operator="equal">
      <formula>TRUE</formula>
    </cfRule>
  </conditionalFormatting>
  <conditionalFormatting sqref="C202">
    <cfRule type="cellIs" dxfId="14" priority="14" operator="equal">
      <formula>TRUE</formula>
    </cfRule>
  </conditionalFormatting>
  <conditionalFormatting sqref="C206">
    <cfRule type="cellIs" dxfId="13" priority="12" operator="equal">
      <formula>TRUE</formula>
    </cfRule>
  </conditionalFormatting>
  <conditionalFormatting sqref="C207:F207">
    <cfRule type="cellIs" dxfId="12" priority="10" operator="equal">
      <formula>TRUE</formula>
    </cfRule>
  </conditionalFormatting>
  <conditionalFormatting sqref="C233:F233">
    <cfRule type="cellIs" dxfId="11" priority="9" operator="equal">
      <formula>TRUE</formula>
    </cfRule>
  </conditionalFormatting>
  <conditionalFormatting sqref="C237:F237">
    <cfRule type="cellIs" dxfId="10" priority="7" operator="equal">
      <formula>TRUE</formula>
    </cfRule>
  </conditionalFormatting>
  <conditionalFormatting sqref="C211:F211">
    <cfRule type="cellIs" dxfId="9" priority="6" operator="equal">
      <formula>TRUE</formula>
    </cfRule>
  </conditionalFormatting>
  <conditionalFormatting sqref="C212 C209:F209">
    <cfRule type="expression" dxfId="8" priority="419">
      <formula>NOT(C$207)</formula>
    </cfRule>
  </conditionalFormatting>
  <conditionalFormatting sqref="C189">
    <cfRule type="cellIs" dxfId="7" priority="5" operator="equal">
      <formula>TRUE</formula>
    </cfRule>
  </conditionalFormatting>
  <conditionalFormatting sqref="C210:F210">
    <cfRule type="cellIs" dxfId="6" priority="4" operator="equal">
      <formula>TRUE</formula>
    </cfRule>
  </conditionalFormatting>
  <conditionalFormatting sqref="C157:F157">
    <cfRule type="cellIs" dxfId="5" priority="3" operator="equal">
      <formula>TRUE</formula>
    </cfRule>
  </conditionalFormatting>
  <conditionalFormatting sqref="B83 B94 C139:F139 C142:F142 B179">
    <cfRule type="cellIs" dxfId="4" priority="1" operator="equal">
      <formula>TRUE</formula>
    </cfRule>
  </conditionalFormatting>
  <pageMargins left="0.75" right="0.75" top="1" bottom="1" header="0.5" footer="0.5"/>
  <pageSetup orientation="portrait" cellComments="atEnd"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248"/>
  <sheetViews>
    <sheetView topLeftCell="A38" zoomScale="75" workbookViewId="0">
      <selection activeCell="C17" sqref="C17"/>
    </sheetView>
  </sheetViews>
  <sheetFormatPr defaultColWidth="8.85546875" defaultRowHeight="12.75" outlineLevelRow="3" x14ac:dyDescent="0.2"/>
  <cols>
    <col min="1" max="1" width="6.28515625" style="155" customWidth="1"/>
    <col min="2" max="2" width="21.140625" style="155" customWidth="1"/>
    <col min="3" max="6" width="16.7109375" style="155" customWidth="1"/>
    <col min="7" max="16384" width="8.85546875" style="155"/>
  </cols>
  <sheetData>
    <row r="1" spans="2:6" x14ac:dyDescent="0.2">
      <c r="B1" s="65"/>
      <c r="C1" s="65"/>
    </row>
    <row r="2" spans="2:6" ht="15" x14ac:dyDescent="0.2">
      <c r="B2" s="156"/>
      <c r="C2" s="8" t="s">
        <v>342</v>
      </c>
      <c r="D2" s="157"/>
    </row>
    <row r="3" spans="2:6" ht="15" x14ac:dyDescent="0.2">
      <c r="B3" s="441"/>
      <c r="C3" s="8" t="s">
        <v>153</v>
      </c>
      <c r="D3" s="157"/>
      <c r="E3" s="158"/>
    </row>
    <row r="4" spans="2:6" ht="15.75" thickBot="1" x14ac:dyDescent="0.25">
      <c r="B4" s="159" t="s">
        <v>136</v>
      </c>
      <c r="C4" s="480" t="s">
        <v>341</v>
      </c>
      <c r="D4" s="157"/>
    </row>
    <row r="5" spans="2:6" ht="15" x14ac:dyDescent="0.2">
      <c r="B5" s="442"/>
      <c r="C5" s="8" t="s">
        <v>343</v>
      </c>
      <c r="D5" s="157"/>
    </row>
    <row r="6" spans="2:6" ht="15" x14ac:dyDescent="0.2">
      <c r="B6" s="444"/>
      <c r="C6" s="8" t="s">
        <v>152</v>
      </c>
      <c r="D6" s="157"/>
    </row>
    <row r="7" spans="2:6" ht="15" x14ac:dyDescent="0.2">
      <c r="B7" s="160"/>
      <c r="C7" s="8" t="s">
        <v>151</v>
      </c>
      <c r="D7" s="157"/>
    </row>
    <row r="8" spans="2:6" ht="15" x14ac:dyDescent="0.2">
      <c r="B8" s="450"/>
      <c r="C8" s="481" t="s">
        <v>154</v>
      </c>
      <c r="D8" s="157"/>
    </row>
    <row r="9" spans="2:6" ht="15" x14ac:dyDescent="0.2">
      <c r="B9" s="161"/>
      <c r="C9" s="481" t="s">
        <v>312</v>
      </c>
      <c r="D9" s="157"/>
    </row>
    <row r="10" spans="2:6" ht="13.5" thickBot="1" x14ac:dyDescent="0.25">
      <c r="B10" s="65"/>
      <c r="C10" s="65"/>
    </row>
    <row r="11" spans="2:6" s="65" customFormat="1" ht="16.5" thickBot="1" x14ac:dyDescent="0.3">
      <c r="B11" s="482"/>
      <c r="C11" s="665" t="s">
        <v>65</v>
      </c>
      <c r="D11" s="665"/>
      <c r="E11" s="665"/>
      <c r="F11" s="666"/>
    </row>
    <row r="12" spans="2:6" s="65" customFormat="1" ht="16.5" thickTop="1" thickBot="1" x14ac:dyDescent="0.25">
      <c r="B12" s="483" t="s">
        <v>67</v>
      </c>
      <c r="C12" s="484">
        <v>1</v>
      </c>
      <c r="D12" s="485">
        <v>2</v>
      </c>
      <c r="E12" s="484">
        <v>3</v>
      </c>
      <c r="F12" s="485">
        <v>4</v>
      </c>
    </row>
    <row r="13" spans="2:6" s="65" customFormat="1" ht="15" x14ac:dyDescent="0.2">
      <c r="B13" s="486" t="s">
        <v>247</v>
      </c>
      <c r="C13" s="487">
        <f>'Data Calculations'!C147</f>
        <v>0</v>
      </c>
      <c r="D13" s="487">
        <f>'Data Calculations'!D147</f>
        <v>0</v>
      </c>
      <c r="E13" s="487">
        <f>'Data Calculations'!E147</f>
        <v>0</v>
      </c>
      <c r="F13" s="487">
        <f>'Data Calculations'!F147</f>
        <v>0</v>
      </c>
    </row>
    <row r="14" spans="2:6" s="65" customFormat="1" ht="15" x14ac:dyDescent="0.2">
      <c r="B14" s="486" t="s">
        <v>248</v>
      </c>
      <c r="C14" s="487">
        <f>'Data Calculations'!C150</f>
        <v>0</v>
      </c>
      <c r="D14" s="487">
        <f>'Data Calculations'!D150</f>
        <v>0</v>
      </c>
      <c r="E14" s="487">
        <f>'Data Calculations'!E150</f>
        <v>0</v>
      </c>
      <c r="F14" s="487">
        <f>'Data Calculations'!F150</f>
        <v>0</v>
      </c>
    </row>
    <row r="15" spans="2:6" s="65" customFormat="1" ht="15" x14ac:dyDescent="0.2">
      <c r="B15" s="486" t="s">
        <v>96</v>
      </c>
      <c r="C15" s="488">
        <f>'Data Calculations'!C164</f>
        <v>0</v>
      </c>
      <c r="D15" s="488">
        <f>'Data Calculations'!D164</f>
        <v>0</v>
      </c>
      <c r="E15" s="488">
        <f>'Data Calculations'!E164</f>
        <v>0</v>
      </c>
      <c r="F15" s="488">
        <f>'Data Calculations'!F164</f>
        <v>0</v>
      </c>
    </row>
    <row r="16" spans="2:6" s="65" customFormat="1" ht="15" x14ac:dyDescent="0.2">
      <c r="B16" s="486" t="s">
        <v>97</v>
      </c>
      <c r="C16" s="488">
        <f>'Data Calculations'!C167</f>
        <v>0</v>
      </c>
      <c r="D16" s="488">
        <f>'Data Calculations'!D167</f>
        <v>0</v>
      </c>
      <c r="E16" s="488">
        <f>'Data Calculations'!E167</f>
        <v>0</v>
      </c>
      <c r="F16" s="488">
        <f>'Data Calculations'!F167</f>
        <v>0</v>
      </c>
    </row>
    <row r="17" spans="1:11" s="65" customFormat="1" ht="15" x14ac:dyDescent="0.2">
      <c r="B17" s="486" t="s">
        <v>23</v>
      </c>
      <c r="C17" s="488" t="e">
        <f>'Data Calculations'!C168</f>
        <v>#DIV/0!</v>
      </c>
      <c r="D17" s="488" t="e">
        <f>'Data Calculations'!D168</f>
        <v>#DIV/0!</v>
      </c>
      <c r="E17" s="488" t="e">
        <f>'Data Calculations'!E168</f>
        <v>#DIV/0!</v>
      </c>
      <c r="F17" s="488" t="e">
        <f>'Data Calculations'!F168</f>
        <v>#DIV/0!</v>
      </c>
    </row>
    <row r="18" spans="1:11" s="65" customFormat="1" ht="15" x14ac:dyDescent="0.2">
      <c r="B18" s="486" t="s">
        <v>24</v>
      </c>
      <c r="C18" s="489">
        <f>'Data Calculations'!C114</f>
        <v>100</v>
      </c>
      <c r="D18" s="489">
        <f>'Data Calculations'!D114</f>
        <v>100</v>
      </c>
      <c r="E18" s="489">
        <f>'Data Calculations'!E114</f>
        <v>100</v>
      </c>
      <c r="F18" s="489">
        <f>'Data Calculations'!F114</f>
        <v>100</v>
      </c>
    </row>
    <row r="19" spans="1:11" s="65" customFormat="1" ht="15" x14ac:dyDescent="0.2">
      <c r="B19" s="486" t="s">
        <v>344</v>
      </c>
      <c r="C19" s="487" t="e">
        <f>'Data Calculations'!C71</f>
        <v>#N/A</v>
      </c>
      <c r="D19" s="487" t="e">
        <f>'Data Calculations'!D71</f>
        <v>#N/A</v>
      </c>
      <c r="E19" s="487" t="e">
        <f>'Data Calculations'!E71</f>
        <v>#N/A</v>
      </c>
      <c r="F19" s="487" t="e">
        <f>'Data Calculations'!F71</f>
        <v>#N/A</v>
      </c>
      <c r="H19" s="155"/>
      <c r="I19" s="155"/>
      <c r="J19" s="155"/>
      <c r="K19" s="155"/>
    </row>
    <row r="20" spans="1:11" s="65" customFormat="1" ht="15.75" x14ac:dyDescent="0.25">
      <c r="B20" s="486" t="s">
        <v>8</v>
      </c>
      <c r="C20" s="490" t="e">
        <f ca="1">C161</f>
        <v>#N/A</v>
      </c>
      <c r="D20" s="490" t="e">
        <f ca="1">D161</f>
        <v>#N/A</v>
      </c>
      <c r="E20" s="490" t="e">
        <f ca="1">E161</f>
        <v>#N/A</v>
      </c>
      <c r="F20" s="490" t="e">
        <f ca="1">F161</f>
        <v>#N/A</v>
      </c>
      <c r="H20" s="155"/>
      <c r="J20" s="155"/>
      <c r="K20" s="155"/>
    </row>
    <row r="21" spans="1:11" s="65" customFormat="1" ht="15.75" x14ac:dyDescent="0.25">
      <c r="B21" s="486" t="s">
        <v>99</v>
      </c>
      <c r="C21" s="490" t="e">
        <f ca="1">C219</f>
        <v>#N/A</v>
      </c>
      <c r="D21" s="490" t="e">
        <f ca="1">D219</f>
        <v>#N/A</v>
      </c>
      <c r="E21" s="490" t="e">
        <f ca="1">E219</f>
        <v>#N/A</v>
      </c>
      <c r="F21" s="490" t="e">
        <f ca="1">F219</f>
        <v>#N/A</v>
      </c>
      <c r="H21" s="155"/>
      <c r="J21" s="155"/>
      <c r="K21" s="155"/>
    </row>
    <row r="22" spans="1:11" s="65" customFormat="1" ht="15.75" x14ac:dyDescent="0.25">
      <c r="B22" s="486" t="s">
        <v>9</v>
      </c>
      <c r="C22" s="490" t="e">
        <f ca="1">C183</f>
        <v>#N/A</v>
      </c>
      <c r="D22" s="490" t="e">
        <f ca="1">D183</f>
        <v>#N/A</v>
      </c>
      <c r="E22" s="490" t="e">
        <f ca="1">E183</f>
        <v>#N/A</v>
      </c>
      <c r="F22" s="490" t="e">
        <f ca="1">F183</f>
        <v>#N/A</v>
      </c>
      <c r="H22" s="155"/>
      <c r="J22" s="155"/>
      <c r="K22" s="155"/>
    </row>
    <row r="23" spans="1:11" s="65" customFormat="1" ht="16.5" thickBot="1" x14ac:dyDescent="0.3">
      <c r="B23" s="491" t="s">
        <v>91</v>
      </c>
      <c r="C23" s="492" t="e">
        <f ca="1">C205</f>
        <v>#N/A</v>
      </c>
      <c r="D23" s="492" t="e">
        <f ca="1">D205</f>
        <v>#N/A</v>
      </c>
      <c r="E23" s="492" t="e">
        <f ca="1">E205</f>
        <v>#N/A</v>
      </c>
      <c r="F23" s="492" t="e">
        <f ca="1">F205</f>
        <v>#N/A</v>
      </c>
      <c r="H23" s="155"/>
      <c r="J23" s="155"/>
      <c r="K23" s="155"/>
    </row>
    <row r="24" spans="1:11" s="65" customFormat="1" ht="15" outlineLevel="1" x14ac:dyDescent="0.2">
      <c r="B24" s="493" t="s">
        <v>156</v>
      </c>
      <c r="C24" s="494"/>
      <c r="D24" s="494"/>
      <c r="E24" s="494"/>
      <c r="F24" s="494"/>
      <c r="H24" s="155"/>
      <c r="J24" s="155"/>
      <c r="K24" s="155"/>
    </row>
    <row r="25" spans="1:11" s="65" customFormat="1" ht="15" outlineLevel="1" x14ac:dyDescent="0.2">
      <c r="B25" s="486" t="s">
        <v>48</v>
      </c>
      <c r="C25" s="495"/>
      <c r="D25" s="495"/>
      <c r="E25" s="495"/>
      <c r="F25" s="495"/>
      <c r="H25" s="155"/>
      <c r="I25" s="155"/>
      <c r="J25" s="155"/>
      <c r="K25" s="155"/>
    </row>
    <row r="26" spans="1:11" s="65" customFormat="1" ht="15" outlineLevel="1" x14ac:dyDescent="0.2">
      <c r="B26" s="486" t="s">
        <v>59</v>
      </c>
      <c r="C26" s="496"/>
      <c r="D26" s="497"/>
      <c r="E26" s="497"/>
      <c r="F26" s="497"/>
      <c r="H26" s="155"/>
      <c r="I26" s="155"/>
      <c r="J26" s="155"/>
      <c r="K26" s="155"/>
    </row>
    <row r="27" spans="1:11" s="65" customFormat="1" ht="15" outlineLevel="1" x14ac:dyDescent="0.2">
      <c r="B27" s="486" t="s">
        <v>49</v>
      </c>
      <c r="C27" s="495"/>
      <c r="D27" s="495"/>
      <c r="E27" s="495"/>
      <c r="F27" s="495"/>
      <c r="H27" s="155"/>
      <c r="I27" s="155"/>
      <c r="J27" s="155"/>
      <c r="K27" s="155"/>
    </row>
    <row r="28" spans="1:11" s="65" customFormat="1" ht="15" outlineLevel="1" x14ac:dyDescent="0.2">
      <c r="B28" s="486" t="s">
        <v>60</v>
      </c>
      <c r="C28" s="495"/>
      <c r="D28" s="498"/>
      <c r="E28" s="498"/>
      <c r="F28" s="498"/>
      <c r="H28" s="155"/>
      <c r="I28" s="155"/>
      <c r="J28" s="155"/>
      <c r="K28" s="155"/>
    </row>
    <row r="29" spans="1:11" s="65" customFormat="1" ht="16.5" outlineLevel="1" thickBot="1" x14ac:dyDescent="0.3">
      <c r="B29" s="491" t="s">
        <v>66</v>
      </c>
      <c r="C29" s="499"/>
      <c r="D29" s="499"/>
      <c r="E29" s="499"/>
      <c r="F29" s="499"/>
      <c r="H29" s="155"/>
      <c r="I29" s="155"/>
      <c r="J29" s="155"/>
      <c r="K29" s="155"/>
    </row>
    <row r="30" spans="1:11" s="65" customFormat="1" x14ac:dyDescent="0.2">
      <c r="C30" s="34"/>
      <c r="H30" s="155"/>
      <c r="I30" s="155"/>
      <c r="J30" s="155"/>
      <c r="K30" s="155"/>
    </row>
    <row r="31" spans="1:11" s="65" customFormat="1" ht="13.5" thickBot="1" x14ac:dyDescent="0.25">
      <c r="H31" s="155"/>
      <c r="I31" s="155"/>
      <c r="J31" s="155"/>
      <c r="K31" s="155"/>
    </row>
    <row r="32" spans="1:11" s="65" customFormat="1" outlineLevel="1" x14ac:dyDescent="0.2">
      <c r="A32" s="662" t="s">
        <v>197</v>
      </c>
      <c r="B32" s="162"/>
      <c r="C32" s="671" t="s">
        <v>278</v>
      </c>
      <c r="D32" s="671"/>
      <c r="E32" s="671"/>
      <c r="F32" s="672"/>
      <c r="H32" s="155"/>
      <c r="I32" s="155"/>
      <c r="J32" s="155"/>
      <c r="K32" s="155"/>
    </row>
    <row r="33" spans="1:11" s="65" customFormat="1" ht="14.25" customHeight="1" outlineLevel="1" x14ac:dyDescent="0.2">
      <c r="A33" s="663"/>
      <c r="B33" s="147" t="s">
        <v>67</v>
      </c>
      <c r="C33" s="163">
        <v>1</v>
      </c>
      <c r="D33" s="163">
        <v>2</v>
      </c>
      <c r="E33" s="163">
        <v>3</v>
      </c>
      <c r="F33" s="164">
        <v>4</v>
      </c>
      <c r="H33" s="155"/>
      <c r="I33" s="155"/>
      <c r="J33" s="155"/>
      <c r="K33" s="155"/>
    </row>
    <row r="34" spans="1:11" s="65" customFormat="1" ht="12.75" customHeight="1" outlineLevel="1" x14ac:dyDescent="0.2">
      <c r="A34" s="663"/>
      <c r="B34" s="165" t="s">
        <v>344</v>
      </c>
      <c r="C34" s="444" t="e">
        <f>C$19</f>
        <v>#N/A</v>
      </c>
      <c r="D34" s="444" t="e">
        <f>D$19</f>
        <v>#N/A</v>
      </c>
      <c r="E34" s="444" t="e">
        <f>E$19</f>
        <v>#N/A</v>
      </c>
      <c r="F34" s="445" t="e">
        <f>F$19</f>
        <v>#N/A</v>
      </c>
      <c r="H34" s="155"/>
      <c r="I34" s="155"/>
      <c r="J34" s="155"/>
      <c r="K34" s="155"/>
    </row>
    <row r="35" spans="1:11" s="65" customFormat="1" outlineLevel="1" x14ac:dyDescent="0.2">
      <c r="A35" s="663"/>
      <c r="B35" s="165" t="s">
        <v>252</v>
      </c>
      <c r="C35" s="442">
        <f>VLOOKUP("Limits",'Table References'!$D$37:$E$44,2)</f>
        <v>20</v>
      </c>
      <c r="D35" s="442">
        <f>VLOOKUP("Limits",'Table References'!$D$37:$E$44,2)</f>
        <v>20</v>
      </c>
      <c r="E35" s="442">
        <f>VLOOKUP("Limits",'Table References'!$D$37:$E$44,2)</f>
        <v>20</v>
      </c>
      <c r="F35" s="443">
        <f>VLOOKUP("Limits",'Table References'!$D$37:$E$44,2)</f>
        <v>20</v>
      </c>
      <c r="H35" s="155"/>
      <c r="I35" s="155"/>
      <c r="J35" s="155"/>
      <c r="K35" s="155"/>
    </row>
    <row r="36" spans="1:11" s="65" customFormat="1" outlineLevel="1" x14ac:dyDescent="0.2">
      <c r="A36" s="663"/>
      <c r="B36" s="147" t="s">
        <v>119</v>
      </c>
      <c r="C36" s="442" t="e">
        <f>INDEX('Table References'!$D$3:$G$34,C35,MATCH(C34,'Table References'!$D$2:$G$2,0))</f>
        <v>#N/A</v>
      </c>
      <c r="D36" s="442" t="e">
        <f>INDEX('Table References'!$D$3:$G$34,D35,MATCH(D34,'Table References'!$D$2:$G$2,0))</f>
        <v>#N/A</v>
      </c>
      <c r="E36" s="442" t="e">
        <f>INDEX('Table References'!$D$3:$G$34,E35,MATCH(E34,'Table References'!$D$2:$G$2,0))</f>
        <v>#N/A</v>
      </c>
      <c r="F36" s="443" t="e">
        <f>INDEX('Table References'!$D$3:$G$34,F35,MATCH(F34,'Table References'!$D$2:$G$2,0))</f>
        <v>#N/A</v>
      </c>
      <c r="H36" s="155"/>
      <c r="I36" s="155"/>
      <c r="J36" s="155"/>
      <c r="K36" s="155"/>
    </row>
    <row r="37" spans="1:11" s="65" customFormat="1" outlineLevel="1" x14ac:dyDescent="0.2">
      <c r="A37" s="663"/>
      <c r="B37" s="147" t="s">
        <v>125</v>
      </c>
      <c r="C37" s="442" t="e">
        <f ca="1">ROWS(INDIRECT(C$36))</f>
        <v>#N/A</v>
      </c>
      <c r="D37" s="442" t="e">
        <f ca="1">ROWS(INDIRECT(D36))</f>
        <v>#N/A</v>
      </c>
      <c r="E37" s="442" t="e">
        <f ca="1">ROWS(INDIRECT(E36))</f>
        <v>#N/A</v>
      </c>
      <c r="F37" s="443" t="e">
        <f ca="1">ROWS(INDIRECT(F36))</f>
        <v>#N/A</v>
      </c>
      <c r="H37" s="155"/>
      <c r="I37" s="155"/>
      <c r="J37" s="155"/>
      <c r="K37" s="155"/>
    </row>
    <row r="38" spans="1:11" s="65" customFormat="1" outlineLevel="1" x14ac:dyDescent="0.2">
      <c r="A38" s="663"/>
      <c r="B38" s="147" t="s">
        <v>126</v>
      </c>
      <c r="C38" s="442" t="e">
        <f ca="1">COLUMNS(INDIRECT(C$36))</f>
        <v>#N/A</v>
      </c>
      <c r="D38" s="442" t="e">
        <f ca="1">COLUMNS(INDIRECT(D36))</f>
        <v>#N/A</v>
      </c>
      <c r="E38" s="442" t="e">
        <f ca="1">COLUMNS(INDIRECT(E36))</f>
        <v>#N/A</v>
      </c>
      <c r="F38" s="443" t="e">
        <f ca="1">COLUMNS(INDIRECT(F36))</f>
        <v>#N/A</v>
      </c>
      <c r="H38" s="155"/>
      <c r="I38" s="155"/>
      <c r="J38" s="155"/>
      <c r="K38" s="155"/>
    </row>
    <row r="39" spans="1:11" s="65" customFormat="1" outlineLevel="1" x14ac:dyDescent="0.2">
      <c r="A39" s="663"/>
      <c r="B39" s="165" t="s">
        <v>206</v>
      </c>
      <c r="C39" s="166" t="e">
        <f ca="1">INDEX(INDIRECT(C$36),C57,C58)</f>
        <v>#N/A</v>
      </c>
      <c r="D39" s="166" t="e">
        <f ca="1">INDEX(INDIRECT(D$36),D57,D58)</f>
        <v>#N/A</v>
      </c>
      <c r="E39" s="166" t="e">
        <f ca="1">INDEX(INDIRECT(E$36),E57,E58)</f>
        <v>#N/A</v>
      </c>
      <c r="F39" s="167" t="e">
        <f ca="1">INDEX(INDIRECT(F$36),F57,F58)</f>
        <v>#N/A</v>
      </c>
      <c r="H39" s="155"/>
      <c r="I39" s="155"/>
      <c r="J39" s="155"/>
      <c r="K39" s="155"/>
    </row>
    <row r="40" spans="1:11" s="65" customFormat="1" ht="12.75" customHeight="1" outlineLevel="1" x14ac:dyDescent="0.2">
      <c r="A40" s="663"/>
      <c r="B40" s="165" t="s">
        <v>198</v>
      </c>
      <c r="C40" s="166" t="e">
        <f ca="1">INDEX(INDIRECT(C$36),C61,C62)</f>
        <v>#N/A</v>
      </c>
      <c r="D40" s="166" t="e">
        <f ca="1">INDEX(INDIRECT(D$36),D61,D62)</f>
        <v>#N/A</v>
      </c>
      <c r="E40" s="166" t="e">
        <f ca="1">INDEX(INDIRECT(E$36),E61,E62)</f>
        <v>#N/A</v>
      </c>
      <c r="F40" s="167" t="e">
        <f ca="1">INDEX(INDIRECT(F$36),F61,F62)</f>
        <v>#N/A</v>
      </c>
      <c r="H40" s="155"/>
      <c r="I40" s="155"/>
      <c r="J40" s="155"/>
      <c r="K40" s="155"/>
    </row>
    <row r="41" spans="1:11" s="65" customFormat="1" outlineLevel="1" x14ac:dyDescent="0.2">
      <c r="A41" s="663"/>
      <c r="B41" s="165" t="s">
        <v>217</v>
      </c>
      <c r="C41" s="166" t="e">
        <f ca="1">INDEX(INDIRECT(C$36),C65,C66)</f>
        <v>#N/A</v>
      </c>
      <c r="D41" s="166" t="e">
        <f ca="1">INDEX(INDIRECT(D$36),D65,D66)</f>
        <v>#N/A</v>
      </c>
      <c r="E41" s="166" t="e">
        <f ca="1">INDEX(INDIRECT(E$36),E65,E66)</f>
        <v>#N/A</v>
      </c>
      <c r="F41" s="167" t="e">
        <f ca="1">INDEX(INDIRECT(F$36),F65,F66)</f>
        <v>#N/A</v>
      </c>
      <c r="H41" s="155"/>
      <c r="I41" s="155"/>
      <c r="J41" s="155"/>
      <c r="K41" s="155"/>
    </row>
    <row r="42" spans="1:11" s="65" customFormat="1" outlineLevel="1" x14ac:dyDescent="0.2">
      <c r="A42" s="663"/>
      <c r="B42" s="165" t="s">
        <v>216</v>
      </c>
      <c r="C42" s="166" t="e">
        <f ca="1">INDEX(INDIRECT(C$36),C69,C70)</f>
        <v>#N/A</v>
      </c>
      <c r="D42" s="166" t="e">
        <f ca="1">INDEX(INDIRECT(D$36),D69,D70)</f>
        <v>#N/A</v>
      </c>
      <c r="E42" s="166" t="e">
        <f ca="1">INDEX(INDIRECT(E$36),E69,E70)</f>
        <v>#N/A</v>
      </c>
      <c r="F42" s="167" t="e">
        <f ca="1">INDEX(INDIRECT(F$36),F69,F70)</f>
        <v>#N/A</v>
      </c>
      <c r="H42" s="155"/>
      <c r="I42" s="155"/>
      <c r="J42" s="155"/>
      <c r="K42" s="155"/>
    </row>
    <row r="43" spans="1:11" s="65" customFormat="1" outlineLevel="1" x14ac:dyDescent="0.2">
      <c r="A43" s="663"/>
      <c r="B43" s="165" t="s">
        <v>208</v>
      </c>
      <c r="C43" s="166" t="e">
        <f ca="1">INDEX(INDIRECT(C$36),C73,C74)</f>
        <v>#N/A</v>
      </c>
      <c r="D43" s="166" t="e">
        <f ca="1">INDEX(INDIRECT(D$36),D73,D74)</f>
        <v>#N/A</v>
      </c>
      <c r="E43" s="166" t="e">
        <f ca="1">INDEX(INDIRECT(E$36),E73,E74)</f>
        <v>#N/A</v>
      </c>
      <c r="F43" s="167" t="e">
        <f ca="1">INDEX(INDIRECT(F$36),F73,F74)</f>
        <v>#N/A</v>
      </c>
      <c r="H43" s="155"/>
      <c r="I43" s="155"/>
      <c r="J43" s="155"/>
      <c r="K43" s="155"/>
    </row>
    <row r="44" spans="1:11" s="65" customFormat="1" outlineLevel="1" x14ac:dyDescent="0.2">
      <c r="A44" s="663"/>
      <c r="B44" s="165" t="s">
        <v>207</v>
      </c>
      <c r="C44" s="166" t="e">
        <f ca="1">INDEX(INDIRECT(C$36),C77,C78)</f>
        <v>#N/A</v>
      </c>
      <c r="D44" s="166" t="e">
        <f ca="1">INDEX(INDIRECT(D$36),D77,D78)</f>
        <v>#N/A</v>
      </c>
      <c r="E44" s="166" t="e">
        <f ca="1">INDEX(INDIRECT(E$36),E77,E78)</f>
        <v>#N/A</v>
      </c>
      <c r="F44" s="167" t="e">
        <f ca="1">INDEX(INDIRECT(F$36),F77,F78)</f>
        <v>#N/A</v>
      </c>
      <c r="H44" s="155"/>
      <c r="I44" s="155"/>
      <c r="J44" s="155"/>
      <c r="K44" s="155"/>
    </row>
    <row r="45" spans="1:11" s="65" customFormat="1" outlineLevel="1" x14ac:dyDescent="0.2">
      <c r="A45" s="663"/>
      <c r="B45" s="165" t="s">
        <v>219</v>
      </c>
      <c r="C45" s="166" t="e">
        <f ca="1">INDEX(INDIRECT(C$36),C81,C82)</f>
        <v>#N/A</v>
      </c>
      <c r="D45" s="166" t="e">
        <f ca="1">INDEX(INDIRECT(D$36),D81,D82)</f>
        <v>#N/A</v>
      </c>
      <c r="E45" s="166" t="e">
        <f ca="1">INDEX(INDIRECT(E$36),E81,E82)</f>
        <v>#N/A</v>
      </c>
      <c r="F45" s="167" t="e">
        <f ca="1">INDEX(INDIRECT(F$36),F81,F82)</f>
        <v>#N/A</v>
      </c>
      <c r="H45" s="155"/>
      <c r="I45" s="155"/>
      <c r="J45" s="155"/>
      <c r="K45" s="155"/>
    </row>
    <row r="46" spans="1:11" s="65" customFormat="1" outlineLevel="1" x14ac:dyDescent="0.2">
      <c r="A46" s="663"/>
      <c r="B46" s="165" t="s">
        <v>218</v>
      </c>
      <c r="C46" s="166" t="e">
        <f ca="1">INDEX(INDIRECT(C$36),C85,C86)</f>
        <v>#N/A</v>
      </c>
      <c r="D46" s="166" t="e">
        <f ca="1">INDEX(INDIRECT(D$36),D85,D86)</f>
        <v>#N/A</v>
      </c>
      <c r="E46" s="166" t="e">
        <f ca="1">INDEX(INDIRECT(E$36),E85,E86)</f>
        <v>#N/A</v>
      </c>
      <c r="F46" s="167" t="e">
        <f ca="1">INDEX(INDIRECT(F$36),F85,F86)</f>
        <v>#N/A</v>
      </c>
      <c r="H46" s="155"/>
      <c r="I46" s="155"/>
      <c r="J46" s="155"/>
      <c r="K46" s="155"/>
    </row>
    <row r="47" spans="1:11" s="65" customFormat="1" outlineLevel="1" x14ac:dyDescent="0.2">
      <c r="A47" s="663"/>
      <c r="B47" s="165" t="s">
        <v>291</v>
      </c>
      <c r="C47" s="166" t="e">
        <f ca="1">INDEX(INDIRECT(C$36),C89,C90)</f>
        <v>#N/A</v>
      </c>
      <c r="D47" s="166" t="e">
        <f ca="1">INDEX(INDIRECT(D$36),D89,D90)</f>
        <v>#N/A</v>
      </c>
      <c r="E47" s="166" t="e">
        <f ca="1">INDEX(INDIRECT(E$36),E89,E90)</f>
        <v>#N/A</v>
      </c>
      <c r="F47" s="167" t="e">
        <f ca="1">INDEX(INDIRECT(F$36),F89,F90)</f>
        <v>#N/A</v>
      </c>
      <c r="H47" s="155"/>
      <c r="I47" s="155"/>
      <c r="J47" s="155"/>
      <c r="K47" s="155"/>
    </row>
    <row r="48" spans="1:11" s="65" customFormat="1" outlineLevel="1" x14ac:dyDescent="0.2">
      <c r="A48" s="663"/>
      <c r="B48" s="165" t="s">
        <v>292</v>
      </c>
      <c r="C48" s="166" t="e">
        <f ca="1">INDEX(INDIRECT(C$36),C93,C94)</f>
        <v>#N/A</v>
      </c>
      <c r="D48" s="166" t="e">
        <f ca="1">INDEX(INDIRECT(D$36),D93,D94)</f>
        <v>#N/A</v>
      </c>
      <c r="E48" s="166" t="e">
        <f ca="1">INDEX(INDIRECT(E$36),E93,E94)</f>
        <v>#N/A</v>
      </c>
      <c r="F48" s="167" t="e">
        <f ca="1">INDEX(INDIRECT(F$36),F93,F94)</f>
        <v>#N/A</v>
      </c>
      <c r="H48" s="155"/>
      <c r="I48" s="155"/>
      <c r="J48" s="155"/>
      <c r="K48" s="155"/>
    </row>
    <row r="49" spans="1:11" s="65" customFormat="1" outlineLevel="1" x14ac:dyDescent="0.2">
      <c r="A49" s="663"/>
      <c r="B49" s="165" t="s">
        <v>293</v>
      </c>
      <c r="C49" s="166" t="e">
        <f ca="1">INDEX(INDIRECT(C$36),C97,C98)</f>
        <v>#N/A</v>
      </c>
      <c r="D49" s="166" t="e">
        <f ca="1">INDEX(INDIRECT(D$36),D97,D98)</f>
        <v>#N/A</v>
      </c>
      <c r="E49" s="166" t="e">
        <f ca="1">INDEX(INDIRECT(E$36),E97,E98)</f>
        <v>#N/A</v>
      </c>
      <c r="F49" s="167" t="e">
        <f ca="1">INDEX(INDIRECT(F$36),F97,F98)</f>
        <v>#N/A</v>
      </c>
      <c r="H49" s="155"/>
      <c r="I49" s="155"/>
      <c r="J49" s="155"/>
      <c r="K49" s="155"/>
    </row>
    <row r="50" spans="1:11" s="65" customFormat="1" outlineLevel="1" x14ac:dyDescent="0.2">
      <c r="A50" s="663"/>
      <c r="B50" s="165" t="s">
        <v>294</v>
      </c>
      <c r="C50" s="166" t="e">
        <f ca="1">INDEX(INDIRECT(C$36),C101,C102)</f>
        <v>#N/A</v>
      </c>
      <c r="D50" s="166" t="e">
        <f ca="1">INDEX(INDIRECT(D$36),D101,D102)</f>
        <v>#N/A</v>
      </c>
      <c r="E50" s="166" t="e">
        <f ca="1">INDEX(INDIRECT(E$36),E101,E102)</f>
        <v>#N/A</v>
      </c>
      <c r="F50" s="167" t="e">
        <f ca="1">INDEX(INDIRECT(F$36),F101,F102)</f>
        <v>#N/A</v>
      </c>
      <c r="H50" s="155"/>
      <c r="I50" s="155"/>
      <c r="J50" s="155"/>
      <c r="K50" s="155"/>
    </row>
    <row r="51" spans="1:11" s="65" customFormat="1" outlineLevel="1" x14ac:dyDescent="0.2">
      <c r="A51" s="663"/>
      <c r="B51" s="165" t="s">
        <v>213</v>
      </c>
      <c r="C51" s="166" t="e">
        <f ca="1">INDEX(INDIRECT(C$36),C105,C106)</f>
        <v>#N/A</v>
      </c>
      <c r="D51" s="166" t="e">
        <f ca="1">INDEX(INDIRECT(D$36),D105,D106)</f>
        <v>#N/A</v>
      </c>
      <c r="E51" s="166" t="e">
        <f ca="1">INDEX(INDIRECT(E$36),E105,E106)</f>
        <v>#N/A</v>
      </c>
      <c r="F51" s="167" t="e">
        <f ca="1">INDEX(INDIRECT(F$36),F105,F106)</f>
        <v>#N/A</v>
      </c>
      <c r="H51" s="155"/>
      <c r="I51" s="155"/>
      <c r="J51" s="155"/>
      <c r="K51" s="155"/>
    </row>
    <row r="52" spans="1:11" s="65" customFormat="1" outlineLevel="1" x14ac:dyDescent="0.2">
      <c r="A52" s="663"/>
      <c r="B52" s="165" t="s">
        <v>214</v>
      </c>
      <c r="C52" s="166" t="e">
        <f ca="1">INDEX(INDIRECT(C$36),C109,C110)</f>
        <v>#N/A</v>
      </c>
      <c r="D52" s="166" t="e">
        <f ca="1">INDEX(INDIRECT(D$36),D109,D110)</f>
        <v>#N/A</v>
      </c>
      <c r="E52" s="166" t="e">
        <f ca="1">INDEX(INDIRECT(E$36),E109,E110)</f>
        <v>#N/A</v>
      </c>
      <c r="F52" s="167" t="e">
        <f ca="1">INDEX(INDIRECT(F$36),F109,F110)</f>
        <v>#N/A</v>
      </c>
      <c r="H52" s="155"/>
      <c r="I52" s="155"/>
      <c r="J52" s="155"/>
      <c r="K52" s="155"/>
    </row>
    <row r="53" spans="1:11" s="65" customFormat="1" outlineLevel="1" x14ac:dyDescent="0.2">
      <c r="A53" s="663"/>
      <c r="B53" s="165" t="s">
        <v>209</v>
      </c>
      <c r="C53" s="166" t="e">
        <f ca="1">INDEX(INDIRECT(C$36),C113,C114)</f>
        <v>#N/A</v>
      </c>
      <c r="D53" s="166" t="e">
        <f ca="1">INDEX(INDIRECT(D$36),D113,D114)</f>
        <v>#N/A</v>
      </c>
      <c r="E53" s="166" t="e">
        <f ca="1">INDEX(INDIRECT(E$36),E113,E114)</f>
        <v>#N/A</v>
      </c>
      <c r="F53" s="167" t="e">
        <f ca="1">INDEX(INDIRECT(F$36),F113,F114)</f>
        <v>#N/A</v>
      </c>
      <c r="H53" s="155"/>
      <c r="I53" s="155"/>
      <c r="J53" s="155"/>
      <c r="K53" s="155"/>
    </row>
    <row r="54" spans="1:11" s="65" customFormat="1" outlineLevel="1" x14ac:dyDescent="0.2">
      <c r="A54" s="663"/>
      <c r="B54" s="165" t="s">
        <v>223</v>
      </c>
      <c r="C54" s="166" t="e">
        <f ca="1">INDEX(INDIRECT(C$36),C117,C118)</f>
        <v>#N/A</v>
      </c>
      <c r="D54" s="166" t="e">
        <f ca="1">INDEX(INDIRECT(D$36),D117,D118)</f>
        <v>#N/A</v>
      </c>
      <c r="E54" s="166" t="e">
        <f ca="1">INDEX(INDIRECT(E$36),E117,E118)</f>
        <v>#N/A</v>
      </c>
      <c r="F54" s="167" t="e">
        <f ca="1">INDEX(INDIRECT(F$36),F117,F118)</f>
        <v>#N/A</v>
      </c>
      <c r="H54" s="155"/>
      <c r="I54" s="155"/>
      <c r="J54" s="155"/>
      <c r="K54" s="155"/>
    </row>
    <row r="55" spans="1:11" s="65" customFormat="1" outlineLevel="3" x14ac:dyDescent="0.2">
      <c r="A55" s="663"/>
      <c r="B55" s="165" t="s">
        <v>115</v>
      </c>
      <c r="C55" s="444" t="str">
        <f>LEFT(TRIM($B39),LEN(TRIM($B39))-4)</f>
        <v>X1</v>
      </c>
      <c r="D55" s="444" t="str">
        <f>LEFT(TRIM($B39),LEN(TRIM($B39))-4)</f>
        <v>X1</v>
      </c>
      <c r="E55" s="444" t="str">
        <f>LEFT(TRIM($B39),LEN(TRIM($B39))-4)</f>
        <v>X1</v>
      </c>
      <c r="F55" s="445" t="str">
        <f>LEFT(TRIM($B39),LEN(TRIM($B39))-4)</f>
        <v>X1</v>
      </c>
      <c r="H55" s="155"/>
      <c r="I55" s="155"/>
      <c r="J55" s="155"/>
      <c r="K55" s="155"/>
    </row>
    <row r="56" spans="1:11" s="65" customFormat="1" outlineLevel="3" x14ac:dyDescent="0.2">
      <c r="A56" s="663"/>
      <c r="B56" s="165" t="s">
        <v>210</v>
      </c>
      <c r="C56" s="446" t="str">
        <f>RIGHT(TRIM($B39),3)</f>
        <v>Min</v>
      </c>
      <c r="D56" s="446" t="str">
        <f>RIGHT(TRIM($B39),3)</f>
        <v>Min</v>
      </c>
      <c r="E56" s="446" t="str">
        <f>RIGHT(TRIM($B39),3)</f>
        <v>Min</v>
      </c>
      <c r="F56" s="447" t="str">
        <f>RIGHT(TRIM($B39),3)</f>
        <v>Min</v>
      </c>
      <c r="H56" s="155"/>
      <c r="I56" s="155"/>
      <c r="J56" s="155"/>
      <c r="K56" s="155"/>
    </row>
    <row r="57" spans="1:11" s="65" customFormat="1" outlineLevel="3" x14ac:dyDescent="0.2">
      <c r="A57" s="663"/>
      <c r="B57" s="165" t="s">
        <v>211</v>
      </c>
      <c r="C57" s="442" t="e">
        <f ca="1">MATCH(C55,OFFSET(INDIRECT(C$36),0,0,C$37,1),0)</f>
        <v>#N/A</v>
      </c>
      <c r="D57" s="442" t="e">
        <f ca="1">MATCH(D55,OFFSET(INDIRECT(D$36),0,0,D$37,1),0)</f>
        <v>#N/A</v>
      </c>
      <c r="E57" s="442" t="e">
        <f ca="1">MATCH(E55,OFFSET(INDIRECT(E$36),0,0,E$37,1),0)</f>
        <v>#N/A</v>
      </c>
      <c r="F57" s="443" t="e">
        <f ca="1">MATCH(F55,OFFSET(INDIRECT(F$36),0,0,F$37,1),0)</f>
        <v>#N/A</v>
      </c>
      <c r="H57" s="155"/>
      <c r="I57" s="155"/>
      <c r="J57" s="155"/>
      <c r="K57" s="155"/>
    </row>
    <row r="58" spans="1:11" s="65" customFormat="1" outlineLevel="3" x14ac:dyDescent="0.2">
      <c r="A58" s="663"/>
      <c r="B58" s="165" t="s">
        <v>212</v>
      </c>
      <c r="C58" s="442" t="e">
        <f ca="1">MATCH(C56,OFFSET(INDIRECT(C$36),0,0,1,C$38),0)</f>
        <v>#N/A</v>
      </c>
      <c r="D58" s="442" t="e">
        <f ca="1">MATCH(D56,OFFSET(INDIRECT(D$36),0,0,1,D$38),0)</f>
        <v>#N/A</v>
      </c>
      <c r="E58" s="442" t="e">
        <f ca="1">MATCH(E56,OFFSET(INDIRECT(E$36),0,0,1,E$38),0)</f>
        <v>#N/A</v>
      </c>
      <c r="F58" s="443" t="e">
        <f ca="1">MATCH(F56,OFFSET(INDIRECT(F$36),0,0,1,F$38),0)</f>
        <v>#N/A</v>
      </c>
      <c r="H58" s="155"/>
      <c r="I58" s="155"/>
      <c r="J58" s="155"/>
      <c r="K58" s="155"/>
    </row>
    <row r="59" spans="1:11" s="65" customFormat="1" outlineLevel="3" x14ac:dyDescent="0.2">
      <c r="A59" s="663"/>
      <c r="B59" s="165" t="s">
        <v>115</v>
      </c>
      <c r="C59" s="444" t="str">
        <f>LEFT(TRIM($B40),LEN(TRIM($B40))-4)</f>
        <v>X1</v>
      </c>
      <c r="D59" s="444" t="str">
        <f>LEFT(TRIM($B40),LEN(TRIM($B40))-4)</f>
        <v>X1</v>
      </c>
      <c r="E59" s="444" t="str">
        <f>LEFT(TRIM($B40),LEN(TRIM($B40))-4)</f>
        <v>X1</v>
      </c>
      <c r="F59" s="445" t="str">
        <f>LEFT(TRIM($B40),LEN(TRIM($B40))-4)</f>
        <v>X1</v>
      </c>
      <c r="H59" s="155"/>
      <c r="I59" s="155"/>
      <c r="J59" s="155"/>
      <c r="K59" s="155"/>
    </row>
    <row r="60" spans="1:11" s="65" customFormat="1" outlineLevel="3" x14ac:dyDescent="0.2">
      <c r="A60" s="663"/>
      <c r="B60" s="165" t="s">
        <v>210</v>
      </c>
      <c r="C60" s="446" t="str">
        <f>RIGHT(TRIM($B40),3)</f>
        <v>Max</v>
      </c>
      <c r="D60" s="446" t="str">
        <f>RIGHT(TRIM($B40),3)</f>
        <v>Max</v>
      </c>
      <c r="E60" s="446" t="str">
        <f>RIGHT(TRIM($B40),3)</f>
        <v>Max</v>
      </c>
      <c r="F60" s="447" t="str">
        <f>RIGHT(TRIM($B40),3)</f>
        <v>Max</v>
      </c>
      <c r="H60" s="155"/>
      <c r="I60" s="155"/>
      <c r="J60" s="155"/>
      <c r="K60" s="155"/>
    </row>
    <row r="61" spans="1:11" s="65" customFormat="1" outlineLevel="3" x14ac:dyDescent="0.2">
      <c r="A61" s="663"/>
      <c r="B61" s="165" t="s">
        <v>211</v>
      </c>
      <c r="C61" s="442" t="e">
        <f ca="1">MATCH(C59,OFFSET(INDIRECT(C$36),0,0,C$37,1),0)</f>
        <v>#N/A</v>
      </c>
      <c r="D61" s="442" t="e">
        <f ca="1">MATCH(D59,OFFSET(INDIRECT(D$36),0,0,D$37,1),0)</f>
        <v>#N/A</v>
      </c>
      <c r="E61" s="442" t="e">
        <f ca="1">MATCH(E59,OFFSET(INDIRECT(E$36),0,0,E$37,1),0)</f>
        <v>#N/A</v>
      </c>
      <c r="F61" s="443" t="e">
        <f ca="1">MATCH(F59,OFFSET(INDIRECT(F$36),0,0,F$37,1),0)</f>
        <v>#N/A</v>
      </c>
      <c r="H61" s="155"/>
      <c r="I61" s="155"/>
      <c r="J61" s="155"/>
      <c r="K61" s="155"/>
    </row>
    <row r="62" spans="1:11" s="65" customFormat="1" outlineLevel="3" x14ac:dyDescent="0.2">
      <c r="A62" s="663"/>
      <c r="B62" s="165" t="s">
        <v>212</v>
      </c>
      <c r="C62" s="442" t="e">
        <f ca="1">MATCH(C60,OFFSET(INDIRECT(C$36),0,0,1,C$38),0)</f>
        <v>#N/A</v>
      </c>
      <c r="D62" s="442" t="e">
        <f ca="1">MATCH(D60,OFFSET(INDIRECT(D$36),0,0,1,D$38),0)</f>
        <v>#N/A</v>
      </c>
      <c r="E62" s="442" t="e">
        <f ca="1">MATCH(E60,OFFSET(INDIRECT(E$36),0,0,1,E$38),0)</f>
        <v>#N/A</v>
      </c>
      <c r="F62" s="443" t="e">
        <f ca="1">MATCH(F60,OFFSET(INDIRECT(F$36),0,0,1,F$38),0)</f>
        <v>#N/A</v>
      </c>
      <c r="H62" s="155"/>
      <c r="I62" s="155"/>
      <c r="J62" s="155"/>
      <c r="K62" s="155"/>
    </row>
    <row r="63" spans="1:11" s="65" customFormat="1" outlineLevel="3" x14ac:dyDescent="0.2">
      <c r="A63" s="663"/>
      <c r="B63" s="165" t="s">
        <v>115</v>
      </c>
      <c r="C63" s="444" t="str">
        <f>LEFT(TRIM($B41),LEN(TRIM($B41))-4)</f>
        <v>X2</v>
      </c>
      <c r="D63" s="444" t="str">
        <f>LEFT(TRIM($B41),LEN(TRIM($B41))-4)</f>
        <v>X2</v>
      </c>
      <c r="E63" s="444" t="str">
        <f>LEFT(TRIM($B41),LEN(TRIM($B41))-4)</f>
        <v>X2</v>
      </c>
      <c r="F63" s="445" t="str">
        <f>LEFT(TRIM($B41),LEN(TRIM($B41))-4)</f>
        <v>X2</v>
      </c>
      <c r="H63" s="155"/>
      <c r="I63" s="155"/>
      <c r="J63" s="155"/>
      <c r="K63" s="155"/>
    </row>
    <row r="64" spans="1:11" s="65" customFormat="1" outlineLevel="3" x14ac:dyDescent="0.2">
      <c r="A64" s="663"/>
      <c r="B64" s="165" t="s">
        <v>210</v>
      </c>
      <c r="C64" s="446" t="str">
        <f>RIGHT(TRIM($B41),3)</f>
        <v>Min</v>
      </c>
      <c r="D64" s="446" t="str">
        <f>RIGHT(TRIM($B41),3)</f>
        <v>Min</v>
      </c>
      <c r="E64" s="446" t="str">
        <f>RIGHT(TRIM($B41),3)</f>
        <v>Min</v>
      </c>
      <c r="F64" s="447" t="str">
        <f>RIGHT(TRIM($B41),3)</f>
        <v>Min</v>
      </c>
      <c r="H64" s="155"/>
      <c r="I64" s="155"/>
      <c r="J64" s="155"/>
      <c r="K64" s="155"/>
    </row>
    <row r="65" spans="1:11" s="65" customFormat="1" outlineLevel="3" x14ac:dyDescent="0.2">
      <c r="A65" s="663"/>
      <c r="B65" s="165" t="s">
        <v>211</v>
      </c>
      <c r="C65" s="442" t="e">
        <f ca="1">MATCH(C63,OFFSET(INDIRECT(C$36),0,0,C$37,1),0)</f>
        <v>#N/A</v>
      </c>
      <c r="D65" s="442" t="e">
        <f ca="1">MATCH(D63,OFFSET(INDIRECT(D$36),0,0,D$37,1),0)</f>
        <v>#N/A</v>
      </c>
      <c r="E65" s="442" t="e">
        <f ca="1">MATCH(E63,OFFSET(INDIRECT(E$36),0,0,E$37,1),0)</f>
        <v>#N/A</v>
      </c>
      <c r="F65" s="443" t="e">
        <f ca="1">MATCH(F63,OFFSET(INDIRECT(F$36),0,0,F$37,1),0)</f>
        <v>#N/A</v>
      </c>
      <c r="H65" s="155"/>
      <c r="I65" s="155"/>
      <c r="J65" s="155"/>
      <c r="K65" s="155"/>
    </row>
    <row r="66" spans="1:11" s="65" customFormat="1" outlineLevel="3" x14ac:dyDescent="0.2">
      <c r="A66" s="663"/>
      <c r="B66" s="165" t="s">
        <v>212</v>
      </c>
      <c r="C66" s="442" t="e">
        <f ca="1">MATCH(C64,OFFSET(INDIRECT(C$36),0,0,1,C$38),0)</f>
        <v>#N/A</v>
      </c>
      <c r="D66" s="442" t="e">
        <f ca="1">MATCH(D64,OFFSET(INDIRECT(D$36),0,0,1,D$38),0)</f>
        <v>#N/A</v>
      </c>
      <c r="E66" s="442" t="e">
        <f ca="1">MATCH(E64,OFFSET(INDIRECT(E$36),0,0,1,E$38),0)</f>
        <v>#N/A</v>
      </c>
      <c r="F66" s="443" t="e">
        <f ca="1">MATCH(F64,OFFSET(INDIRECT(F$36),0,0,1,F$38),0)</f>
        <v>#N/A</v>
      </c>
      <c r="H66" s="155"/>
      <c r="I66" s="155"/>
      <c r="J66" s="155"/>
      <c r="K66" s="155"/>
    </row>
    <row r="67" spans="1:11" s="65" customFormat="1" outlineLevel="3" x14ac:dyDescent="0.2">
      <c r="A67" s="663"/>
      <c r="B67" s="165" t="s">
        <v>115</v>
      </c>
      <c r="C67" s="444" t="str">
        <f>LEFT(TRIM($B42),LEN(TRIM($B42))-4)</f>
        <v>X2</v>
      </c>
      <c r="D67" s="444" t="str">
        <f>LEFT(TRIM($B42),LEN(TRIM($B42))-4)</f>
        <v>X2</v>
      </c>
      <c r="E67" s="444" t="str">
        <f>LEFT(TRIM($B42),LEN(TRIM($B42))-4)</f>
        <v>X2</v>
      </c>
      <c r="F67" s="445" t="str">
        <f>LEFT(TRIM($B42),LEN(TRIM($B42))-4)</f>
        <v>X2</v>
      </c>
      <c r="H67" s="155"/>
      <c r="I67" s="155"/>
      <c r="J67" s="155"/>
      <c r="K67" s="155"/>
    </row>
    <row r="68" spans="1:11" s="65" customFormat="1" outlineLevel="3" x14ac:dyDescent="0.2">
      <c r="A68" s="663"/>
      <c r="B68" s="165" t="s">
        <v>210</v>
      </c>
      <c r="C68" s="446" t="str">
        <f>RIGHT(TRIM($B42),3)</f>
        <v>Max</v>
      </c>
      <c r="D68" s="446" t="str">
        <f>RIGHT(TRIM($B42),3)</f>
        <v>Max</v>
      </c>
      <c r="E68" s="446" t="str">
        <f>RIGHT(TRIM($B42),3)</f>
        <v>Max</v>
      </c>
      <c r="F68" s="447" t="str">
        <f>RIGHT(TRIM($B42),3)</f>
        <v>Max</v>
      </c>
      <c r="H68" s="155"/>
      <c r="I68" s="155"/>
      <c r="J68" s="155"/>
      <c r="K68" s="155"/>
    </row>
    <row r="69" spans="1:11" s="65" customFormat="1" outlineLevel="3" x14ac:dyDescent="0.2">
      <c r="A69" s="663"/>
      <c r="B69" s="165" t="s">
        <v>211</v>
      </c>
      <c r="C69" s="442" t="e">
        <f ca="1">MATCH(C67,OFFSET(INDIRECT(C$36),0,0,C$37,1),0)</f>
        <v>#N/A</v>
      </c>
      <c r="D69" s="442" t="e">
        <f ca="1">MATCH(D67,OFFSET(INDIRECT(D$36),0,0,D$37,1),0)</f>
        <v>#N/A</v>
      </c>
      <c r="E69" s="442" t="e">
        <f ca="1">MATCH(E67,OFFSET(INDIRECT(E$36),0,0,E$37,1),0)</f>
        <v>#N/A</v>
      </c>
      <c r="F69" s="443" t="e">
        <f ca="1">MATCH(F67,OFFSET(INDIRECT(F$36),0,0,F$37,1),0)</f>
        <v>#N/A</v>
      </c>
      <c r="H69" s="155"/>
      <c r="I69" s="155"/>
      <c r="J69" s="155"/>
      <c r="K69" s="155"/>
    </row>
    <row r="70" spans="1:11" s="65" customFormat="1" outlineLevel="3" x14ac:dyDescent="0.2">
      <c r="A70" s="663"/>
      <c r="B70" s="165" t="s">
        <v>212</v>
      </c>
      <c r="C70" s="442" t="e">
        <f ca="1">MATCH(C68,OFFSET(INDIRECT(C$36),0,0,1,C$38),0)</f>
        <v>#N/A</v>
      </c>
      <c r="D70" s="442" t="e">
        <f ca="1">MATCH(D68,OFFSET(INDIRECT(D$36),0,0,1,D$38),0)</f>
        <v>#N/A</v>
      </c>
      <c r="E70" s="442" t="e">
        <f ca="1">MATCH(E68,OFFSET(INDIRECT(E$36),0,0,1,E$38),0)</f>
        <v>#N/A</v>
      </c>
      <c r="F70" s="443" t="e">
        <f ca="1">MATCH(F68,OFFSET(INDIRECT(F$36),0,0,1,F$38),0)</f>
        <v>#N/A</v>
      </c>
      <c r="H70" s="155"/>
      <c r="I70" s="155"/>
      <c r="J70" s="155"/>
      <c r="K70" s="155"/>
    </row>
    <row r="71" spans="1:11" s="65" customFormat="1" outlineLevel="3" x14ac:dyDescent="0.2">
      <c r="A71" s="663"/>
      <c r="B71" s="165" t="s">
        <v>115</v>
      </c>
      <c r="C71" s="444" t="str">
        <f>LEFT(TRIM($B43),LEN(TRIM($B43))-4)</f>
        <v>Y1</v>
      </c>
      <c r="D71" s="444" t="str">
        <f>LEFT(TRIM($B43),LEN(TRIM($B43))-4)</f>
        <v>Y1</v>
      </c>
      <c r="E71" s="444" t="str">
        <f>LEFT(TRIM($B43),LEN(TRIM($B43))-4)</f>
        <v>Y1</v>
      </c>
      <c r="F71" s="445" t="str">
        <f>LEFT(TRIM($B43),LEN(TRIM($B43))-4)</f>
        <v>Y1</v>
      </c>
      <c r="H71" s="155"/>
      <c r="I71" s="155"/>
      <c r="J71" s="155"/>
      <c r="K71" s="155"/>
    </row>
    <row r="72" spans="1:11" s="65" customFormat="1" outlineLevel="3" x14ac:dyDescent="0.2">
      <c r="A72" s="663"/>
      <c r="B72" s="165" t="s">
        <v>210</v>
      </c>
      <c r="C72" s="446" t="str">
        <f>RIGHT(TRIM($B43),3)</f>
        <v>Min</v>
      </c>
      <c r="D72" s="446" t="str">
        <f>RIGHT(TRIM($B43),3)</f>
        <v>Min</v>
      </c>
      <c r="E72" s="446" t="str">
        <f>RIGHT(TRIM($B43),3)</f>
        <v>Min</v>
      </c>
      <c r="F72" s="447" t="str">
        <f>RIGHT(TRIM($B43),3)</f>
        <v>Min</v>
      </c>
      <c r="H72" s="155"/>
      <c r="I72" s="155"/>
      <c r="J72" s="155"/>
      <c r="K72" s="155"/>
    </row>
    <row r="73" spans="1:11" s="65" customFormat="1" outlineLevel="3" x14ac:dyDescent="0.2">
      <c r="A73" s="663"/>
      <c r="B73" s="165" t="s">
        <v>211</v>
      </c>
      <c r="C73" s="442" t="e">
        <f ca="1">MATCH(C71,OFFSET(INDIRECT(C$36),0,0,C$37,1),0)</f>
        <v>#N/A</v>
      </c>
      <c r="D73" s="442" t="e">
        <f ca="1">MATCH(D71,OFFSET(INDIRECT(D$36),0,0,D$37,1),0)</f>
        <v>#N/A</v>
      </c>
      <c r="E73" s="442" t="e">
        <f ca="1">MATCH(E71,OFFSET(INDIRECT(E$36),0,0,E$37,1),0)</f>
        <v>#N/A</v>
      </c>
      <c r="F73" s="443" t="e">
        <f ca="1">MATCH(F71,OFFSET(INDIRECT(F$36),0,0,F$37,1),0)</f>
        <v>#N/A</v>
      </c>
      <c r="H73" s="155"/>
      <c r="I73" s="155"/>
      <c r="J73" s="155"/>
      <c r="K73" s="155"/>
    </row>
    <row r="74" spans="1:11" s="65" customFormat="1" outlineLevel="3" x14ac:dyDescent="0.2">
      <c r="A74" s="663"/>
      <c r="B74" s="165" t="s">
        <v>212</v>
      </c>
      <c r="C74" s="442" t="e">
        <f ca="1">MATCH(C72,OFFSET(INDIRECT(C$36),0,0,1,C$38),0)</f>
        <v>#N/A</v>
      </c>
      <c r="D74" s="442" t="e">
        <f ca="1">MATCH(D72,OFFSET(INDIRECT(D$36),0,0,1,D$38),0)</f>
        <v>#N/A</v>
      </c>
      <c r="E74" s="442" t="e">
        <f ca="1">MATCH(E72,OFFSET(INDIRECT(E$36),0,0,1,E$38),0)</f>
        <v>#N/A</v>
      </c>
      <c r="F74" s="443" t="e">
        <f ca="1">MATCH(F72,OFFSET(INDIRECT(F$36),0,0,1,F$38),0)</f>
        <v>#N/A</v>
      </c>
      <c r="H74" s="155"/>
      <c r="I74" s="155"/>
      <c r="J74" s="155"/>
      <c r="K74" s="155"/>
    </row>
    <row r="75" spans="1:11" s="65" customFormat="1" outlineLevel="3" x14ac:dyDescent="0.2">
      <c r="A75" s="663"/>
      <c r="B75" s="165" t="s">
        <v>115</v>
      </c>
      <c r="C75" s="444" t="str">
        <f>LEFT(TRIM($B44),LEN(TRIM($B44))-4)</f>
        <v>Y1</v>
      </c>
      <c r="D75" s="444" t="str">
        <f>LEFT(TRIM($B44),LEN(TRIM($B44))-4)</f>
        <v>Y1</v>
      </c>
      <c r="E75" s="444" t="str">
        <f>LEFT(TRIM($B44),LEN(TRIM($B44))-4)</f>
        <v>Y1</v>
      </c>
      <c r="F75" s="445" t="str">
        <f>LEFT(TRIM($B44),LEN(TRIM($B44))-4)</f>
        <v>Y1</v>
      </c>
      <c r="H75" s="155"/>
      <c r="I75" s="155"/>
      <c r="J75" s="155"/>
      <c r="K75" s="155"/>
    </row>
    <row r="76" spans="1:11" s="65" customFormat="1" outlineLevel="3" x14ac:dyDescent="0.2">
      <c r="A76" s="663"/>
      <c r="B76" s="165" t="s">
        <v>210</v>
      </c>
      <c r="C76" s="446" t="str">
        <f>RIGHT(TRIM($B44),3)</f>
        <v>Max</v>
      </c>
      <c r="D76" s="446" t="str">
        <f>RIGHT(TRIM($B44),3)</f>
        <v>Max</v>
      </c>
      <c r="E76" s="446" t="str">
        <f>RIGHT(TRIM($B44),3)</f>
        <v>Max</v>
      </c>
      <c r="F76" s="447" t="str">
        <f>RIGHT(TRIM($B44),3)</f>
        <v>Max</v>
      </c>
      <c r="H76" s="155"/>
      <c r="I76" s="155"/>
      <c r="J76" s="155"/>
      <c r="K76" s="155"/>
    </row>
    <row r="77" spans="1:11" s="65" customFormat="1" outlineLevel="3" x14ac:dyDescent="0.2">
      <c r="A77" s="663"/>
      <c r="B77" s="165" t="s">
        <v>211</v>
      </c>
      <c r="C77" s="442" t="e">
        <f ca="1">MATCH(C75,OFFSET(INDIRECT(C$36),0,0,C$37,1),0)</f>
        <v>#N/A</v>
      </c>
      <c r="D77" s="442" t="e">
        <f ca="1">MATCH(D75,OFFSET(INDIRECT(D$36),0,0,D$37,1),0)</f>
        <v>#N/A</v>
      </c>
      <c r="E77" s="442" t="e">
        <f ca="1">MATCH(E75,OFFSET(INDIRECT(E$36),0,0,E$37,1),0)</f>
        <v>#N/A</v>
      </c>
      <c r="F77" s="443" t="e">
        <f ca="1">MATCH(F75,OFFSET(INDIRECT(F$36),0,0,F$37,1),0)</f>
        <v>#N/A</v>
      </c>
      <c r="H77" s="155"/>
      <c r="I77" s="155"/>
      <c r="J77" s="155"/>
      <c r="K77" s="155"/>
    </row>
    <row r="78" spans="1:11" s="65" customFormat="1" outlineLevel="3" x14ac:dyDescent="0.2">
      <c r="A78" s="663"/>
      <c r="B78" s="165" t="s">
        <v>212</v>
      </c>
      <c r="C78" s="442" t="e">
        <f ca="1">MATCH(C76,OFFSET(INDIRECT(C$36),0,0,1,C$38),0)</f>
        <v>#N/A</v>
      </c>
      <c r="D78" s="442" t="e">
        <f ca="1">MATCH(D76,OFFSET(INDIRECT(D$36),0,0,1,D$38),0)</f>
        <v>#N/A</v>
      </c>
      <c r="E78" s="442" t="e">
        <f ca="1">MATCH(E76,OFFSET(INDIRECT(E$36),0,0,1,E$38),0)</f>
        <v>#N/A</v>
      </c>
      <c r="F78" s="443" t="e">
        <f ca="1">MATCH(F76,OFFSET(INDIRECT(F$36),0,0,1,F$38),0)</f>
        <v>#N/A</v>
      </c>
      <c r="H78" s="155"/>
      <c r="I78" s="155"/>
      <c r="J78" s="155"/>
      <c r="K78" s="155"/>
    </row>
    <row r="79" spans="1:11" s="65" customFormat="1" outlineLevel="3" x14ac:dyDescent="0.2">
      <c r="A79" s="663"/>
      <c r="B79" s="165" t="s">
        <v>115</v>
      </c>
      <c r="C79" s="444" t="str">
        <f>LEFT(TRIM($B45),LEN(TRIM($B45))-4)</f>
        <v>Y2</v>
      </c>
      <c r="D79" s="444" t="str">
        <f>LEFT(TRIM($B45),LEN(TRIM($B45))-4)</f>
        <v>Y2</v>
      </c>
      <c r="E79" s="444" t="str">
        <f>LEFT(TRIM($B45),LEN(TRIM($B45))-4)</f>
        <v>Y2</v>
      </c>
      <c r="F79" s="445" t="str">
        <f>LEFT(TRIM($B45),LEN(TRIM($B45))-4)</f>
        <v>Y2</v>
      </c>
      <c r="H79" s="155"/>
      <c r="I79" s="155"/>
      <c r="J79" s="155"/>
      <c r="K79" s="155"/>
    </row>
    <row r="80" spans="1:11" s="65" customFormat="1" outlineLevel="3" x14ac:dyDescent="0.2">
      <c r="A80" s="663"/>
      <c r="B80" s="165" t="s">
        <v>210</v>
      </c>
      <c r="C80" s="446" t="str">
        <f>RIGHT(TRIM($B45),3)</f>
        <v>Min</v>
      </c>
      <c r="D80" s="446" t="str">
        <f>RIGHT(TRIM($B45),3)</f>
        <v>Min</v>
      </c>
      <c r="E80" s="446" t="str">
        <f>RIGHT(TRIM($B45),3)</f>
        <v>Min</v>
      </c>
      <c r="F80" s="447" t="str">
        <f>RIGHT(TRIM($B45),3)</f>
        <v>Min</v>
      </c>
      <c r="H80" s="155"/>
      <c r="I80" s="155"/>
      <c r="J80" s="155"/>
      <c r="K80" s="155"/>
    </row>
    <row r="81" spans="1:11" s="65" customFormat="1" outlineLevel="3" x14ac:dyDescent="0.2">
      <c r="A81" s="663"/>
      <c r="B81" s="165" t="s">
        <v>211</v>
      </c>
      <c r="C81" s="442" t="e">
        <f ca="1">MATCH(C79,OFFSET(INDIRECT(C$36),0,0,C$37,1),0)</f>
        <v>#N/A</v>
      </c>
      <c r="D81" s="442" t="e">
        <f ca="1">MATCH(D79,OFFSET(INDIRECT(D$36),0,0,D$37,1),0)</f>
        <v>#N/A</v>
      </c>
      <c r="E81" s="442" t="e">
        <f ca="1">MATCH(E79,OFFSET(INDIRECT(E$36),0,0,E$37,1),0)</f>
        <v>#N/A</v>
      </c>
      <c r="F81" s="443" t="e">
        <f ca="1">MATCH(F79,OFFSET(INDIRECT(F$36),0,0,F$37,1),0)</f>
        <v>#N/A</v>
      </c>
      <c r="H81" s="155"/>
      <c r="I81" s="155"/>
      <c r="J81" s="155"/>
      <c r="K81" s="155"/>
    </row>
    <row r="82" spans="1:11" s="65" customFormat="1" outlineLevel="3" x14ac:dyDescent="0.2">
      <c r="A82" s="663"/>
      <c r="B82" s="165" t="s">
        <v>212</v>
      </c>
      <c r="C82" s="442" t="e">
        <f ca="1">MATCH(C80,OFFSET(INDIRECT(C$36),0,0,1,C$38),0)</f>
        <v>#N/A</v>
      </c>
      <c r="D82" s="442" t="e">
        <f ca="1">MATCH(D80,OFFSET(INDIRECT(D$36),0,0,1,D$38),0)</f>
        <v>#N/A</v>
      </c>
      <c r="E82" s="442" t="e">
        <f ca="1">MATCH(E80,OFFSET(INDIRECT(E$36),0,0,1,E$38),0)</f>
        <v>#N/A</v>
      </c>
      <c r="F82" s="443" t="e">
        <f ca="1">MATCH(F80,OFFSET(INDIRECT(F$36),0,0,1,F$38),0)</f>
        <v>#N/A</v>
      </c>
      <c r="H82" s="155"/>
      <c r="I82" s="155"/>
      <c r="J82" s="155"/>
      <c r="K82" s="155"/>
    </row>
    <row r="83" spans="1:11" s="65" customFormat="1" outlineLevel="3" x14ac:dyDescent="0.2">
      <c r="A83" s="663"/>
      <c r="B83" s="165" t="s">
        <v>115</v>
      </c>
      <c r="C83" s="444" t="str">
        <f>LEFT(TRIM($B46),LEN(TRIM($B46))-4)</f>
        <v>Y2</v>
      </c>
      <c r="D83" s="444" t="str">
        <f>LEFT(TRIM($B46),LEN(TRIM($B46))-4)</f>
        <v>Y2</v>
      </c>
      <c r="E83" s="444" t="str">
        <f>LEFT(TRIM($B46),LEN(TRIM($B46))-4)</f>
        <v>Y2</v>
      </c>
      <c r="F83" s="445" t="str">
        <f>LEFT(TRIM($B46),LEN(TRIM($B46))-4)</f>
        <v>Y2</v>
      </c>
      <c r="H83" s="155"/>
      <c r="I83" s="155"/>
      <c r="J83" s="155"/>
      <c r="K83" s="155"/>
    </row>
    <row r="84" spans="1:11" s="65" customFormat="1" outlineLevel="3" x14ac:dyDescent="0.2">
      <c r="A84" s="663"/>
      <c r="B84" s="165" t="s">
        <v>210</v>
      </c>
      <c r="C84" s="446" t="str">
        <f>RIGHT(TRIM($B46),3)</f>
        <v>Max</v>
      </c>
      <c r="D84" s="446" t="str">
        <f>RIGHT(TRIM($B46),3)</f>
        <v>Max</v>
      </c>
      <c r="E84" s="446" t="str">
        <f>RIGHT(TRIM($B46),3)</f>
        <v>Max</v>
      </c>
      <c r="F84" s="447" t="str">
        <f>RIGHT(TRIM($B46),3)</f>
        <v>Max</v>
      </c>
      <c r="H84" s="155"/>
      <c r="I84" s="155"/>
      <c r="J84" s="155"/>
      <c r="K84" s="155"/>
    </row>
    <row r="85" spans="1:11" s="65" customFormat="1" outlineLevel="3" x14ac:dyDescent="0.2">
      <c r="A85" s="663"/>
      <c r="B85" s="165" t="s">
        <v>211</v>
      </c>
      <c r="C85" s="442" t="e">
        <f ca="1">MATCH(C83,OFFSET(INDIRECT(C$36),0,0,C$37,1),0)</f>
        <v>#N/A</v>
      </c>
      <c r="D85" s="442" t="e">
        <f ca="1">MATCH(D83,OFFSET(INDIRECT(D$36),0,0,D$37,1),0)</f>
        <v>#N/A</v>
      </c>
      <c r="E85" s="442" t="e">
        <f ca="1">MATCH(E83,OFFSET(INDIRECT(E$36),0,0,E$37,1),0)</f>
        <v>#N/A</v>
      </c>
      <c r="F85" s="443" t="e">
        <f ca="1">MATCH(F83,OFFSET(INDIRECT(F$36),0,0,F$37,1),0)</f>
        <v>#N/A</v>
      </c>
      <c r="H85" s="155"/>
      <c r="I85" s="155"/>
      <c r="J85" s="155"/>
      <c r="K85" s="155"/>
    </row>
    <row r="86" spans="1:11" s="65" customFormat="1" outlineLevel="3" x14ac:dyDescent="0.2">
      <c r="A86" s="663"/>
      <c r="B86" s="165" t="s">
        <v>212</v>
      </c>
      <c r="C86" s="442" t="e">
        <f ca="1">MATCH(C84,OFFSET(INDIRECT(C$36),0,0,1,C$38),0)</f>
        <v>#N/A</v>
      </c>
      <c r="D86" s="442" t="e">
        <f ca="1">MATCH(D84,OFFSET(INDIRECT(D$36),0,0,1,D$38),0)</f>
        <v>#N/A</v>
      </c>
      <c r="E86" s="442" t="e">
        <f ca="1">MATCH(E84,OFFSET(INDIRECT(E$36),0,0,1,E$38),0)</f>
        <v>#N/A</v>
      </c>
      <c r="F86" s="443" t="e">
        <f ca="1">MATCH(F84,OFFSET(INDIRECT(F$36),0,0,1,F$38),0)</f>
        <v>#N/A</v>
      </c>
      <c r="H86" s="155"/>
      <c r="I86" s="155"/>
      <c r="J86" s="155"/>
      <c r="K86" s="155"/>
    </row>
    <row r="87" spans="1:11" s="65" customFormat="1" outlineLevel="3" x14ac:dyDescent="0.2">
      <c r="A87" s="663"/>
      <c r="B87" s="165" t="s">
        <v>115</v>
      </c>
      <c r="C87" s="444" t="str">
        <f>LEFT(TRIM($B47),LEN(TRIM($B47))-4)</f>
        <v>X Collimator</v>
      </c>
      <c r="D87" s="444" t="str">
        <f>LEFT(TRIM($B47),LEN(TRIM($B47))-4)</f>
        <v>X Collimator</v>
      </c>
      <c r="E87" s="444" t="str">
        <f>LEFT(TRIM($B47),LEN(TRIM($B47))-4)</f>
        <v>X Collimator</v>
      </c>
      <c r="F87" s="445" t="str">
        <f>LEFT(TRIM($B47),LEN(TRIM($B47))-4)</f>
        <v>X Collimator</v>
      </c>
      <c r="H87" s="155"/>
      <c r="I87" s="155"/>
      <c r="J87" s="155"/>
      <c r="K87" s="155"/>
    </row>
    <row r="88" spans="1:11" s="65" customFormat="1" outlineLevel="3" x14ac:dyDescent="0.2">
      <c r="A88" s="663"/>
      <c r="B88" s="165" t="s">
        <v>210</v>
      </c>
      <c r="C88" s="446" t="str">
        <f>RIGHT(TRIM($B47),3)</f>
        <v>Min</v>
      </c>
      <c r="D88" s="446" t="str">
        <f>RIGHT(TRIM($B47),3)</f>
        <v>Min</v>
      </c>
      <c r="E88" s="446" t="str">
        <f>RIGHT(TRIM($B47),3)</f>
        <v>Min</v>
      </c>
      <c r="F88" s="447" t="str">
        <f>RIGHT(TRIM($B47),3)</f>
        <v>Min</v>
      </c>
      <c r="H88" s="155"/>
      <c r="I88" s="155"/>
      <c r="J88" s="155"/>
      <c r="K88" s="155"/>
    </row>
    <row r="89" spans="1:11" s="65" customFormat="1" outlineLevel="3" x14ac:dyDescent="0.2">
      <c r="A89" s="663"/>
      <c r="B89" s="165" t="s">
        <v>211</v>
      </c>
      <c r="C89" s="442" t="e">
        <f ca="1">MATCH(C87,OFFSET(INDIRECT(C$36),0,0,C$37,1),0)</f>
        <v>#N/A</v>
      </c>
      <c r="D89" s="442" t="e">
        <f ca="1">MATCH(D87,OFFSET(INDIRECT(D$36),0,0,D$37,1),0)</f>
        <v>#N/A</v>
      </c>
      <c r="E89" s="442" t="e">
        <f ca="1">MATCH(E87,OFFSET(INDIRECT(E$36),0,0,E$37,1),0)</f>
        <v>#N/A</v>
      </c>
      <c r="F89" s="443" t="e">
        <f ca="1">MATCH(F87,OFFSET(INDIRECT(F$36),0,0,F$37,1),0)</f>
        <v>#N/A</v>
      </c>
      <c r="H89" s="155"/>
      <c r="I89" s="155"/>
      <c r="J89" s="155"/>
      <c r="K89" s="155"/>
    </row>
    <row r="90" spans="1:11" s="65" customFormat="1" outlineLevel="3" x14ac:dyDescent="0.2">
      <c r="A90" s="663"/>
      <c r="B90" s="165" t="s">
        <v>212</v>
      </c>
      <c r="C90" s="442" t="e">
        <f ca="1">MATCH(C88,OFFSET(INDIRECT(C$36),0,0,1,C$38),0)</f>
        <v>#N/A</v>
      </c>
      <c r="D90" s="442" t="e">
        <f ca="1">MATCH(D88,OFFSET(INDIRECT(D$36),0,0,1,D$38),0)</f>
        <v>#N/A</v>
      </c>
      <c r="E90" s="442" t="e">
        <f ca="1">MATCH(E88,OFFSET(INDIRECT(E$36),0,0,1,E$38),0)</f>
        <v>#N/A</v>
      </c>
      <c r="F90" s="443" t="e">
        <f ca="1">MATCH(F88,OFFSET(INDIRECT(F$36),0,0,1,F$38),0)</f>
        <v>#N/A</v>
      </c>
      <c r="H90" s="155"/>
      <c r="I90" s="155"/>
      <c r="J90" s="155"/>
      <c r="K90" s="155"/>
    </row>
    <row r="91" spans="1:11" s="65" customFormat="1" outlineLevel="3" x14ac:dyDescent="0.2">
      <c r="A91" s="663"/>
      <c r="B91" s="165" t="s">
        <v>115</v>
      </c>
      <c r="C91" s="444" t="str">
        <f>LEFT(TRIM($B48),LEN(TRIM($B48))-4)</f>
        <v>X Collimator</v>
      </c>
      <c r="D91" s="444" t="str">
        <f>LEFT(TRIM($B48),LEN(TRIM($B48))-4)</f>
        <v>X Collimator</v>
      </c>
      <c r="E91" s="444" t="str">
        <f>LEFT(TRIM($B48),LEN(TRIM($B48))-4)</f>
        <v>X Collimator</v>
      </c>
      <c r="F91" s="445" t="str">
        <f>LEFT(TRIM($B48),LEN(TRIM($B48))-4)</f>
        <v>X Collimator</v>
      </c>
      <c r="H91" s="155"/>
      <c r="I91" s="155"/>
      <c r="J91" s="155"/>
      <c r="K91" s="155"/>
    </row>
    <row r="92" spans="1:11" s="65" customFormat="1" outlineLevel="3" x14ac:dyDescent="0.2">
      <c r="A92" s="663"/>
      <c r="B92" s="165" t="s">
        <v>210</v>
      </c>
      <c r="C92" s="446" t="str">
        <f>RIGHT(TRIM($B48),3)</f>
        <v>Max</v>
      </c>
      <c r="D92" s="446" t="str">
        <f>RIGHT(TRIM($B48),3)</f>
        <v>Max</v>
      </c>
      <c r="E92" s="446" t="str">
        <f>RIGHT(TRIM($B48),3)</f>
        <v>Max</v>
      </c>
      <c r="F92" s="447" t="str">
        <f>RIGHT(TRIM($B48),3)</f>
        <v>Max</v>
      </c>
      <c r="H92" s="155"/>
      <c r="I92" s="155"/>
      <c r="J92" s="155"/>
      <c r="K92" s="155"/>
    </row>
    <row r="93" spans="1:11" s="65" customFormat="1" outlineLevel="3" x14ac:dyDescent="0.2">
      <c r="A93" s="663"/>
      <c r="B93" s="165" t="s">
        <v>211</v>
      </c>
      <c r="C93" s="442" t="e">
        <f ca="1">MATCH(C91,OFFSET(INDIRECT(C$36),0,0,C$37,1),0)</f>
        <v>#N/A</v>
      </c>
      <c r="D93" s="442" t="e">
        <f ca="1">MATCH(D91,OFFSET(INDIRECT(D$36),0,0,D$37,1),0)</f>
        <v>#N/A</v>
      </c>
      <c r="E93" s="442" t="e">
        <f ca="1">MATCH(E91,OFFSET(INDIRECT(E$36),0,0,E$37,1),0)</f>
        <v>#N/A</v>
      </c>
      <c r="F93" s="443" t="e">
        <f ca="1">MATCH(F91,OFFSET(INDIRECT(F$36),0,0,F$37,1),0)</f>
        <v>#N/A</v>
      </c>
      <c r="H93" s="155"/>
      <c r="I93" s="155"/>
      <c r="J93" s="155"/>
      <c r="K93" s="155"/>
    </row>
    <row r="94" spans="1:11" s="65" customFormat="1" outlineLevel="3" x14ac:dyDescent="0.2">
      <c r="A94" s="663"/>
      <c r="B94" s="165" t="s">
        <v>212</v>
      </c>
      <c r="C94" s="442" t="e">
        <f ca="1">MATCH(C92,OFFSET(INDIRECT(C$36),0,0,1,C$38),0)</f>
        <v>#N/A</v>
      </c>
      <c r="D94" s="442" t="e">
        <f ca="1">MATCH(D92,OFFSET(INDIRECT(D$36),0,0,1,D$38),0)</f>
        <v>#N/A</v>
      </c>
      <c r="E94" s="442" t="e">
        <f ca="1">MATCH(E92,OFFSET(INDIRECT(E$36),0,0,1,E$38),0)</f>
        <v>#N/A</v>
      </c>
      <c r="F94" s="443" t="e">
        <f ca="1">MATCH(F92,OFFSET(INDIRECT(F$36),0,0,1,F$38),0)</f>
        <v>#N/A</v>
      </c>
      <c r="H94" s="155"/>
      <c r="I94" s="155"/>
      <c r="J94" s="155"/>
      <c r="K94" s="155"/>
    </row>
    <row r="95" spans="1:11" s="65" customFormat="1" outlineLevel="3" x14ac:dyDescent="0.2">
      <c r="A95" s="663"/>
      <c r="B95" s="165" t="s">
        <v>115</v>
      </c>
      <c r="C95" s="444" t="str">
        <f>LEFT(TRIM($B49),LEN(TRIM($B49))-4)</f>
        <v>Y Collimator</v>
      </c>
      <c r="D95" s="444" t="str">
        <f>LEFT(TRIM($B49),LEN(TRIM($B49))-4)</f>
        <v>Y Collimator</v>
      </c>
      <c r="E95" s="444" t="str">
        <f>LEFT(TRIM($B49),LEN(TRIM($B49))-4)</f>
        <v>Y Collimator</v>
      </c>
      <c r="F95" s="445" t="str">
        <f>LEFT(TRIM($B49),LEN(TRIM($B49))-4)</f>
        <v>Y Collimator</v>
      </c>
      <c r="H95" s="155"/>
      <c r="I95" s="155"/>
      <c r="J95" s="155"/>
      <c r="K95" s="155"/>
    </row>
    <row r="96" spans="1:11" s="65" customFormat="1" outlineLevel="3" x14ac:dyDescent="0.2">
      <c r="A96" s="663"/>
      <c r="B96" s="165" t="s">
        <v>210</v>
      </c>
      <c r="C96" s="446" t="str">
        <f>RIGHT(TRIM($B49),3)</f>
        <v>Min</v>
      </c>
      <c r="D96" s="446" t="str">
        <f>RIGHT(TRIM($B49),3)</f>
        <v>Min</v>
      </c>
      <c r="E96" s="446" t="str">
        <f>RIGHT(TRIM($B49),3)</f>
        <v>Min</v>
      </c>
      <c r="F96" s="447" t="str">
        <f>RIGHT(TRIM($B49),3)</f>
        <v>Min</v>
      </c>
      <c r="H96" s="155"/>
      <c r="I96" s="155"/>
      <c r="J96" s="155"/>
      <c r="K96" s="155"/>
    </row>
    <row r="97" spans="1:11" s="65" customFormat="1" outlineLevel="3" x14ac:dyDescent="0.2">
      <c r="A97" s="663"/>
      <c r="B97" s="165" t="s">
        <v>211</v>
      </c>
      <c r="C97" s="442" t="e">
        <f ca="1">MATCH(C95,OFFSET(INDIRECT(C$36),0,0,C$37,1),0)</f>
        <v>#N/A</v>
      </c>
      <c r="D97" s="442" t="e">
        <f ca="1">MATCH(D95,OFFSET(INDIRECT(D$36),0,0,D$37,1),0)</f>
        <v>#N/A</v>
      </c>
      <c r="E97" s="442" t="e">
        <f ca="1">MATCH(E95,OFFSET(INDIRECT(E$36),0,0,E$37,1),0)</f>
        <v>#N/A</v>
      </c>
      <c r="F97" s="443" t="e">
        <f ca="1">MATCH(F95,OFFSET(INDIRECT(F$36),0,0,F$37,1),0)</f>
        <v>#N/A</v>
      </c>
      <c r="H97" s="155"/>
      <c r="I97" s="155"/>
      <c r="J97" s="155"/>
      <c r="K97" s="155"/>
    </row>
    <row r="98" spans="1:11" s="65" customFormat="1" outlineLevel="3" x14ac:dyDescent="0.2">
      <c r="A98" s="663"/>
      <c r="B98" s="165" t="s">
        <v>212</v>
      </c>
      <c r="C98" s="442" t="e">
        <f ca="1">MATCH(C96,OFFSET(INDIRECT(C$36),0,0,1,C$38),0)</f>
        <v>#N/A</v>
      </c>
      <c r="D98" s="442" t="e">
        <f ca="1">MATCH(D96,OFFSET(INDIRECT(D$36),0,0,1,D$38),0)</f>
        <v>#N/A</v>
      </c>
      <c r="E98" s="442" t="e">
        <f ca="1">MATCH(E96,OFFSET(INDIRECT(E$36),0,0,1,E$38),0)</f>
        <v>#N/A</v>
      </c>
      <c r="F98" s="443" t="e">
        <f ca="1">MATCH(F96,OFFSET(INDIRECT(F$36),0,0,1,F$38),0)</f>
        <v>#N/A</v>
      </c>
      <c r="H98" s="155"/>
      <c r="I98" s="155"/>
      <c r="J98" s="155"/>
      <c r="K98" s="155"/>
    </row>
    <row r="99" spans="1:11" s="65" customFormat="1" outlineLevel="3" x14ac:dyDescent="0.2">
      <c r="A99" s="663"/>
      <c r="B99" s="165" t="s">
        <v>115</v>
      </c>
      <c r="C99" s="444" t="str">
        <f>LEFT(TRIM($B50),LEN(TRIM($B50))-4)</f>
        <v>Y Collimator</v>
      </c>
      <c r="D99" s="444" t="str">
        <f>LEFT(TRIM($B50),LEN(TRIM($B50))-4)</f>
        <v>Y Collimator</v>
      </c>
      <c r="E99" s="444" t="str">
        <f>LEFT(TRIM($B50),LEN(TRIM($B50))-4)</f>
        <v>Y Collimator</v>
      </c>
      <c r="F99" s="445" t="str">
        <f>LEFT(TRIM($B50),LEN(TRIM($B50))-4)</f>
        <v>Y Collimator</v>
      </c>
      <c r="H99" s="155"/>
      <c r="I99" s="155"/>
      <c r="J99" s="155"/>
      <c r="K99" s="155"/>
    </row>
    <row r="100" spans="1:11" s="65" customFormat="1" outlineLevel="3" x14ac:dyDescent="0.2">
      <c r="A100" s="663"/>
      <c r="B100" s="165" t="s">
        <v>210</v>
      </c>
      <c r="C100" s="446" t="str">
        <f>RIGHT(TRIM($B50),3)</f>
        <v>Max</v>
      </c>
      <c r="D100" s="446" t="str">
        <f>RIGHT(TRIM($B50),3)</f>
        <v>Max</v>
      </c>
      <c r="E100" s="446" t="str">
        <f>RIGHT(TRIM($B50),3)</f>
        <v>Max</v>
      </c>
      <c r="F100" s="447" t="str">
        <f>RIGHT(TRIM($B50),3)</f>
        <v>Max</v>
      </c>
      <c r="H100" s="155"/>
      <c r="I100" s="155"/>
      <c r="J100" s="155"/>
      <c r="K100" s="155"/>
    </row>
    <row r="101" spans="1:11" s="65" customFormat="1" outlineLevel="3" x14ac:dyDescent="0.2">
      <c r="A101" s="663"/>
      <c r="B101" s="165" t="s">
        <v>211</v>
      </c>
      <c r="C101" s="442" t="e">
        <f ca="1">MATCH(C99,OFFSET(INDIRECT(C$36),0,0,C$37,1),0)</f>
        <v>#N/A</v>
      </c>
      <c r="D101" s="442" t="e">
        <f ca="1">MATCH(D99,OFFSET(INDIRECT(D$36),0,0,D$37,1),0)</f>
        <v>#N/A</v>
      </c>
      <c r="E101" s="442" t="e">
        <f ca="1">MATCH(E99,OFFSET(INDIRECT(E$36),0,0,E$37,1),0)</f>
        <v>#N/A</v>
      </c>
      <c r="F101" s="443" t="e">
        <f ca="1">MATCH(F99,OFFSET(INDIRECT(F$36),0,0,F$37,1),0)</f>
        <v>#N/A</v>
      </c>
      <c r="H101" s="155"/>
      <c r="I101" s="155"/>
      <c r="J101" s="155"/>
      <c r="K101" s="155"/>
    </row>
    <row r="102" spans="1:11" s="65" customFormat="1" outlineLevel="3" x14ac:dyDescent="0.2">
      <c r="A102" s="663"/>
      <c r="B102" s="165" t="s">
        <v>212</v>
      </c>
      <c r="C102" s="442" t="e">
        <f ca="1">MATCH(C100,OFFSET(INDIRECT(C$36),0,0,1,C$38),0)</f>
        <v>#N/A</v>
      </c>
      <c r="D102" s="442" t="e">
        <f ca="1">MATCH(D100,OFFSET(INDIRECT(D$36),0,0,1,D$38),0)</f>
        <v>#N/A</v>
      </c>
      <c r="E102" s="442" t="e">
        <f ca="1">MATCH(E100,OFFSET(INDIRECT(E$36),0,0,1,E$38),0)</f>
        <v>#N/A</v>
      </c>
      <c r="F102" s="443" t="e">
        <f ca="1">MATCH(F100,OFFSET(INDIRECT(F$36),0,0,1,F$38),0)</f>
        <v>#N/A</v>
      </c>
      <c r="H102" s="155"/>
      <c r="I102" s="155"/>
      <c r="J102" s="155"/>
      <c r="K102" s="155"/>
    </row>
    <row r="103" spans="1:11" s="65" customFormat="1" outlineLevel="3" x14ac:dyDescent="0.2">
      <c r="A103" s="663"/>
      <c r="B103" s="165" t="s">
        <v>115</v>
      </c>
      <c r="C103" s="444" t="str">
        <f>LEFT(TRIM($B51),LEN(TRIM($B51))-4)</f>
        <v>Field Size</v>
      </c>
      <c r="D103" s="444" t="str">
        <f>LEFT(TRIM($B51),LEN(TRIM($B51))-4)</f>
        <v>Field Size</v>
      </c>
      <c r="E103" s="444" t="str">
        <f>LEFT(TRIM($B51),LEN(TRIM($B51))-4)</f>
        <v>Field Size</v>
      </c>
      <c r="F103" s="445" t="str">
        <f>LEFT(TRIM($B51),LEN(TRIM($B51))-4)</f>
        <v>Field Size</v>
      </c>
      <c r="H103" s="155"/>
      <c r="I103" s="155"/>
      <c r="J103" s="155"/>
      <c r="K103" s="155"/>
    </row>
    <row r="104" spans="1:11" s="65" customFormat="1" outlineLevel="3" x14ac:dyDescent="0.2">
      <c r="A104" s="663"/>
      <c r="B104" s="165" t="s">
        <v>210</v>
      </c>
      <c r="C104" s="446" t="str">
        <f>RIGHT(TRIM($B51),3)</f>
        <v>Min</v>
      </c>
      <c r="D104" s="446" t="str">
        <f>RIGHT(TRIM($B51),3)</f>
        <v>Min</v>
      </c>
      <c r="E104" s="446" t="str">
        <f>RIGHT(TRIM($B51),3)</f>
        <v>Min</v>
      </c>
      <c r="F104" s="447" t="str">
        <f>RIGHT(TRIM($B51),3)</f>
        <v>Min</v>
      </c>
      <c r="H104" s="155"/>
      <c r="I104" s="155"/>
      <c r="J104" s="155"/>
      <c r="K104" s="155"/>
    </row>
    <row r="105" spans="1:11" s="65" customFormat="1" outlineLevel="3" x14ac:dyDescent="0.2">
      <c r="A105" s="663"/>
      <c r="B105" s="165" t="s">
        <v>211</v>
      </c>
      <c r="C105" s="442" t="e">
        <f ca="1">MATCH(C103,OFFSET(INDIRECT(C$36),0,0,C$37,1),0)</f>
        <v>#N/A</v>
      </c>
      <c r="D105" s="442" t="e">
        <f ca="1">MATCH(D103,OFFSET(INDIRECT(D$36),0,0,D$37,1),0)</f>
        <v>#N/A</v>
      </c>
      <c r="E105" s="442" t="e">
        <f ca="1">MATCH(E103,OFFSET(INDIRECT(E$36),0,0,E$37,1),0)</f>
        <v>#N/A</v>
      </c>
      <c r="F105" s="443" t="e">
        <f ca="1">MATCH(F103,OFFSET(INDIRECT(F$36),0,0,F$37,1),0)</f>
        <v>#N/A</v>
      </c>
      <c r="H105" s="155"/>
      <c r="I105" s="155"/>
      <c r="J105" s="155"/>
      <c r="K105" s="155"/>
    </row>
    <row r="106" spans="1:11" s="65" customFormat="1" outlineLevel="3" x14ac:dyDescent="0.2">
      <c r="A106" s="663"/>
      <c r="B106" s="165" t="s">
        <v>212</v>
      </c>
      <c r="C106" s="442" t="e">
        <f ca="1">MATCH(C104,OFFSET(INDIRECT(C$36),0,0,1,C$38),0)</f>
        <v>#N/A</v>
      </c>
      <c r="D106" s="442" t="e">
        <f ca="1">MATCH(D104,OFFSET(INDIRECT(D$36),0,0,1,D$38),0)</f>
        <v>#N/A</v>
      </c>
      <c r="E106" s="442" t="e">
        <f ca="1">MATCH(E104,OFFSET(INDIRECT(E$36),0,0,1,E$38),0)</f>
        <v>#N/A</v>
      </c>
      <c r="F106" s="443" t="e">
        <f ca="1">MATCH(F104,OFFSET(INDIRECT(F$36),0,0,1,F$38),0)</f>
        <v>#N/A</v>
      </c>
      <c r="H106" s="155"/>
      <c r="I106" s="155"/>
      <c r="J106" s="155"/>
      <c r="K106" s="155"/>
    </row>
    <row r="107" spans="1:11" s="65" customFormat="1" outlineLevel="3" x14ac:dyDescent="0.2">
      <c r="A107" s="663"/>
      <c r="B107" s="165" t="s">
        <v>115</v>
      </c>
      <c r="C107" s="444" t="str">
        <f>LEFT(TRIM($B52),LEN(TRIM($B52))-4)</f>
        <v>Field Size</v>
      </c>
      <c r="D107" s="444" t="str">
        <f>LEFT(TRIM($B52),LEN(TRIM($B52))-4)</f>
        <v>Field Size</v>
      </c>
      <c r="E107" s="444" t="str">
        <f>LEFT(TRIM($B52),LEN(TRIM($B52))-4)</f>
        <v>Field Size</v>
      </c>
      <c r="F107" s="445" t="str">
        <f>LEFT(TRIM($B52),LEN(TRIM($B52))-4)</f>
        <v>Field Size</v>
      </c>
      <c r="H107" s="155"/>
      <c r="I107" s="155"/>
      <c r="J107" s="155"/>
      <c r="K107" s="155"/>
    </row>
    <row r="108" spans="1:11" s="65" customFormat="1" outlineLevel="3" x14ac:dyDescent="0.2">
      <c r="A108" s="663"/>
      <c r="B108" s="165" t="s">
        <v>210</v>
      </c>
      <c r="C108" s="446" t="str">
        <f>RIGHT(TRIM($B52),3)</f>
        <v>Max</v>
      </c>
      <c r="D108" s="446" t="str">
        <f>RIGHT(TRIM($B52),3)</f>
        <v>Max</v>
      </c>
      <c r="E108" s="446" t="str">
        <f>RIGHT(TRIM($B52),3)</f>
        <v>Max</v>
      </c>
      <c r="F108" s="447" t="str">
        <f>RIGHT(TRIM($B52),3)</f>
        <v>Max</v>
      </c>
      <c r="H108" s="155"/>
      <c r="I108" s="155"/>
      <c r="J108" s="155"/>
      <c r="K108" s="155"/>
    </row>
    <row r="109" spans="1:11" s="65" customFormat="1" outlineLevel="3" x14ac:dyDescent="0.2">
      <c r="A109" s="663"/>
      <c r="B109" s="165" t="s">
        <v>211</v>
      </c>
      <c r="C109" s="442" t="e">
        <f ca="1">MATCH(C107,OFFSET(INDIRECT(C$36),0,0,C$37,1),0)</f>
        <v>#N/A</v>
      </c>
      <c r="D109" s="442" t="e">
        <f ca="1">MATCH(D107,OFFSET(INDIRECT(D$36),0,0,D$37,1),0)</f>
        <v>#N/A</v>
      </c>
      <c r="E109" s="442" t="e">
        <f ca="1">MATCH(E107,OFFSET(INDIRECT(E$36),0,0,E$37,1),0)</f>
        <v>#N/A</v>
      </c>
      <c r="F109" s="443" t="e">
        <f ca="1">MATCH(F107,OFFSET(INDIRECT(F$36),0,0,F$37,1),0)</f>
        <v>#N/A</v>
      </c>
      <c r="H109" s="155"/>
      <c r="I109" s="155"/>
      <c r="J109" s="155"/>
      <c r="K109" s="155"/>
    </row>
    <row r="110" spans="1:11" s="65" customFormat="1" outlineLevel="3" x14ac:dyDescent="0.2">
      <c r="A110" s="663"/>
      <c r="B110" s="165" t="s">
        <v>212</v>
      </c>
      <c r="C110" s="442" t="e">
        <f ca="1">MATCH(C108,OFFSET(INDIRECT(C$36),0,0,1,C$38),0)</f>
        <v>#N/A</v>
      </c>
      <c r="D110" s="442" t="e">
        <f ca="1">MATCH(D108,OFFSET(INDIRECT(D$36),0,0,1,D$38),0)</f>
        <v>#N/A</v>
      </c>
      <c r="E110" s="442" t="e">
        <f ca="1">MATCH(E108,OFFSET(INDIRECT(E$36),0,0,1,E$38),0)</f>
        <v>#N/A</v>
      </c>
      <c r="F110" s="443" t="e">
        <f ca="1">MATCH(F108,OFFSET(INDIRECT(F$36),0,0,1,F$38),0)</f>
        <v>#N/A</v>
      </c>
      <c r="H110" s="155"/>
      <c r="I110" s="155"/>
      <c r="J110" s="155"/>
      <c r="K110" s="155"/>
    </row>
    <row r="111" spans="1:11" s="65" customFormat="1" outlineLevel="3" x14ac:dyDescent="0.2">
      <c r="A111" s="663"/>
      <c r="B111" s="165" t="s">
        <v>115</v>
      </c>
      <c r="C111" s="444" t="str">
        <f>LEFT(TRIM($B53),LEN(TRIM($B53))-4)</f>
        <v>Depth</v>
      </c>
      <c r="D111" s="444" t="str">
        <f>LEFT(TRIM($B53),LEN(TRIM($B53))-4)</f>
        <v>Depth</v>
      </c>
      <c r="E111" s="444" t="str">
        <f>LEFT(TRIM($B53),LEN(TRIM($B53))-4)</f>
        <v>Depth</v>
      </c>
      <c r="F111" s="445" t="str">
        <f>LEFT(TRIM($B53),LEN(TRIM($B53))-4)</f>
        <v>Depth</v>
      </c>
      <c r="H111" s="155"/>
      <c r="I111" s="155"/>
      <c r="J111" s="155"/>
      <c r="K111" s="155"/>
    </row>
    <row r="112" spans="1:11" s="65" customFormat="1" outlineLevel="3" x14ac:dyDescent="0.2">
      <c r="A112" s="663"/>
      <c r="B112" s="165" t="s">
        <v>210</v>
      </c>
      <c r="C112" s="446" t="str">
        <f>RIGHT(TRIM($B53),3)</f>
        <v>Min</v>
      </c>
      <c r="D112" s="446" t="str">
        <f>RIGHT(TRIM($B53),3)</f>
        <v>Min</v>
      </c>
      <c r="E112" s="446" t="str">
        <f>RIGHT(TRIM($B53),3)</f>
        <v>Min</v>
      </c>
      <c r="F112" s="447" t="str">
        <f>RIGHT(TRIM($B53),3)</f>
        <v>Min</v>
      </c>
      <c r="H112" s="155"/>
      <c r="I112" s="155"/>
      <c r="J112" s="155"/>
      <c r="K112" s="155"/>
    </row>
    <row r="113" spans="1:18" s="65" customFormat="1" outlineLevel="3" x14ac:dyDescent="0.2">
      <c r="A113" s="663"/>
      <c r="B113" s="165" t="s">
        <v>211</v>
      </c>
      <c r="C113" s="442" t="e">
        <f ca="1">MATCH(C111,OFFSET(INDIRECT(C$36),0,0,C$37,1),0)</f>
        <v>#N/A</v>
      </c>
      <c r="D113" s="442" t="e">
        <f ca="1">MATCH(D111,OFFSET(INDIRECT(D$36),0,0,D$37,1),0)</f>
        <v>#N/A</v>
      </c>
      <c r="E113" s="442" t="e">
        <f ca="1">MATCH(E111,OFFSET(INDIRECT(E$36),0,0,E$37,1),0)</f>
        <v>#N/A</v>
      </c>
      <c r="F113" s="443" t="e">
        <f ca="1">MATCH(F111,OFFSET(INDIRECT(F$36),0,0,F$37,1),0)</f>
        <v>#N/A</v>
      </c>
      <c r="H113" s="155"/>
      <c r="I113" s="155"/>
      <c r="J113" s="155"/>
      <c r="K113" s="155"/>
    </row>
    <row r="114" spans="1:18" s="65" customFormat="1" outlineLevel="3" x14ac:dyDescent="0.2">
      <c r="A114" s="663"/>
      <c r="B114" s="165" t="s">
        <v>212</v>
      </c>
      <c r="C114" s="442" t="e">
        <f ca="1">MATCH(C112,OFFSET(INDIRECT(C$36),0,0,1,C$38),0)</f>
        <v>#N/A</v>
      </c>
      <c r="D114" s="442" t="e">
        <f ca="1">MATCH(D112,OFFSET(INDIRECT(D$36),0,0,1,D$38),0)</f>
        <v>#N/A</v>
      </c>
      <c r="E114" s="442" t="e">
        <f ca="1">MATCH(E112,OFFSET(INDIRECT(E$36),0,0,1,E$38),0)</f>
        <v>#N/A</v>
      </c>
      <c r="F114" s="443" t="e">
        <f ca="1">MATCH(F112,OFFSET(INDIRECT(F$36),0,0,1,F$38),0)</f>
        <v>#N/A</v>
      </c>
      <c r="H114" s="155"/>
      <c r="I114" s="155"/>
      <c r="J114" s="155"/>
      <c r="K114" s="155"/>
    </row>
    <row r="115" spans="1:18" s="65" customFormat="1" outlineLevel="3" x14ac:dyDescent="0.2">
      <c r="A115" s="663"/>
      <c r="B115" s="165" t="s">
        <v>115</v>
      </c>
      <c r="C115" s="444" t="str">
        <f>LEFT(TRIM($B54),LEN(TRIM($B54))-4)</f>
        <v>Depth</v>
      </c>
      <c r="D115" s="444" t="str">
        <f>LEFT(TRIM($B54),LEN(TRIM($B54))-4)</f>
        <v>Depth</v>
      </c>
      <c r="E115" s="444" t="str">
        <f>LEFT(TRIM($B54),LEN(TRIM($B54))-4)</f>
        <v>Depth</v>
      </c>
      <c r="F115" s="445" t="str">
        <f>LEFT(TRIM($B54),LEN(TRIM($B54))-4)</f>
        <v>Depth</v>
      </c>
      <c r="H115" s="155"/>
      <c r="I115" s="155"/>
      <c r="J115" s="155"/>
      <c r="K115" s="155"/>
    </row>
    <row r="116" spans="1:18" s="65" customFormat="1" outlineLevel="3" x14ac:dyDescent="0.2">
      <c r="A116" s="663"/>
      <c r="B116" s="165" t="s">
        <v>210</v>
      </c>
      <c r="C116" s="446" t="str">
        <f>RIGHT(TRIM($B54),3)</f>
        <v>Max</v>
      </c>
      <c r="D116" s="446" t="str">
        <f>RIGHT(TRIM($B54),3)</f>
        <v>Max</v>
      </c>
      <c r="E116" s="446" t="str">
        <f>RIGHT(TRIM($B54),3)</f>
        <v>Max</v>
      </c>
      <c r="F116" s="447" t="str">
        <f>RIGHT(TRIM($B54),3)</f>
        <v>Max</v>
      </c>
      <c r="H116" s="155"/>
      <c r="I116" s="155"/>
      <c r="J116" s="155"/>
      <c r="K116" s="155"/>
    </row>
    <row r="117" spans="1:18" s="65" customFormat="1" outlineLevel="3" x14ac:dyDescent="0.2">
      <c r="A117" s="663"/>
      <c r="B117" s="165" t="s">
        <v>211</v>
      </c>
      <c r="C117" s="442" t="e">
        <f ca="1">MATCH(C115,OFFSET(INDIRECT(C$36),0,0,C$37,1),0)</f>
        <v>#N/A</v>
      </c>
      <c r="D117" s="442" t="e">
        <f ca="1">MATCH(D115,OFFSET(INDIRECT(D$36),0,0,D$37,1),0)</f>
        <v>#N/A</v>
      </c>
      <c r="E117" s="442" t="e">
        <f ca="1">MATCH(E115,OFFSET(INDIRECT(E$36),0,0,E$37,1),0)</f>
        <v>#N/A</v>
      </c>
      <c r="F117" s="443" t="e">
        <f ca="1">MATCH(F115,OFFSET(INDIRECT(F$36),0,0,F$37,1),0)</f>
        <v>#N/A</v>
      </c>
      <c r="H117" s="155"/>
      <c r="I117" s="155"/>
      <c r="J117" s="155"/>
      <c r="K117" s="155"/>
    </row>
    <row r="118" spans="1:18" s="65" customFormat="1" ht="13.5" outlineLevel="3" thickBot="1" x14ac:dyDescent="0.25">
      <c r="A118" s="664"/>
      <c r="B118" s="168" t="s">
        <v>212</v>
      </c>
      <c r="C118" s="455" t="e">
        <f ca="1">MATCH(C116,OFFSET(INDIRECT(C$36),0,0,1,C$38),0)</f>
        <v>#N/A</v>
      </c>
      <c r="D118" s="455" t="e">
        <f ca="1">MATCH(D116,OFFSET(INDIRECT(D$36),0,0,1,D$38),0)</f>
        <v>#N/A</v>
      </c>
      <c r="E118" s="455" t="e">
        <f ca="1">MATCH(E116,OFFSET(INDIRECT(E$36),0,0,1,E$38),0)</f>
        <v>#N/A</v>
      </c>
      <c r="F118" s="456" t="e">
        <f ca="1">MATCH(F116,OFFSET(INDIRECT(F$36),0,0,1,F$38),0)</f>
        <v>#N/A</v>
      </c>
      <c r="H118" s="155"/>
      <c r="I118" s="155"/>
      <c r="J118" s="155"/>
      <c r="K118" s="155"/>
    </row>
    <row r="119" spans="1:18" s="65" customFormat="1" x14ac:dyDescent="0.2">
      <c r="H119" s="155"/>
      <c r="I119" s="155"/>
      <c r="J119" s="155"/>
      <c r="K119" s="155"/>
    </row>
    <row r="120" spans="1:18" s="65" customFormat="1" x14ac:dyDescent="0.2">
      <c r="B120" s="155"/>
      <c r="C120" s="155"/>
      <c r="D120" s="155"/>
      <c r="E120" s="155"/>
      <c r="F120" s="155"/>
      <c r="H120" s="155"/>
      <c r="I120" s="155"/>
      <c r="J120" s="155"/>
      <c r="K120" s="155"/>
    </row>
    <row r="121" spans="1:18" s="65" customFormat="1" ht="12.75" customHeight="1" thickBot="1" x14ac:dyDescent="0.25">
      <c r="A121" s="155"/>
      <c r="B121" s="169"/>
      <c r="C121" s="169"/>
      <c r="H121" s="155"/>
      <c r="I121" s="155"/>
      <c r="J121" s="155"/>
      <c r="K121" s="155"/>
      <c r="R121" s="155"/>
    </row>
    <row r="122" spans="1:18" s="65" customFormat="1" ht="12.75" customHeight="1" outlineLevel="1" x14ac:dyDescent="0.2">
      <c r="A122" s="668" t="s">
        <v>349</v>
      </c>
      <c r="B122" s="457" t="s">
        <v>344</v>
      </c>
      <c r="C122" s="448" t="e">
        <f>C$19</f>
        <v>#N/A</v>
      </c>
      <c r="D122" s="448" t="e">
        <f t="shared" ref="D122:F122" si="0">D$19</f>
        <v>#N/A</v>
      </c>
      <c r="E122" s="448" t="e">
        <f t="shared" si="0"/>
        <v>#N/A</v>
      </c>
      <c r="F122" s="449" t="e">
        <f t="shared" si="0"/>
        <v>#N/A</v>
      </c>
      <c r="H122" s="155"/>
      <c r="I122" s="155"/>
      <c r="J122" s="155"/>
      <c r="K122" s="155"/>
      <c r="R122" s="155"/>
    </row>
    <row r="123" spans="1:18" s="65" customFormat="1" outlineLevel="1" x14ac:dyDescent="0.2">
      <c r="A123" s="669"/>
      <c r="B123" s="165" t="s">
        <v>252</v>
      </c>
      <c r="C123" s="442">
        <f>VLOOKUP("Shielding Factors",'Table References'!$D$37:$E$44,2)</f>
        <v>16</v>
      </c>
      <c r="D123" s="442">
        <f>VLOOKUP("Shielding Factors",'Table References'!$D$37:$E$44,2)</f>
        <v>16</v>
      </c>
      <c r="E123" s="442">
        <f>VLOOKUP("Shielding Factors",'Table References'!$D$37:$E$44,2)</f>
        <v>16</v>
      </c>
      <c r="F123" s="443">
        <f>VLOOKUP("Shielding Factors",'Table References'!$D$37:$E$44,2)</f>
        <v>16</v>
      </c>
      <c r="H123" s="155"/>
      <c r="I123" s="155"/>
      <c r="J123" s="155"/>
      <c r="K123" s="155"/>
      <c r="R123" s="155"/>
    </row>
    <row r="124" spans="1:18" s="65" customFormat="1" ht="12.75" customHeight="1" outlineLevel="1" x14ac:dyDescent="0.2">
      <c r="A124" s="669"/>
      <c r="B124" s="147" t="s">
        <v>119</v>
      </c>
      <c r="C124" s="442" t="e">
        <f>INDEX('Table References'!$D$3:$G$34,C123,MATCH(C122,'Table References'!$D$2:$G$2,0))</f>
        <v>#N/A</v>
      </c>
      <c r="D124" s="442" t="e">
        <f>INDEX('Table References'!$D$3:$G$34,D123,MATCH(D122,'Table References'!$D$2:$G$2,0))</f>
        <v>#N/A</v>
      </c>
      <c r="E124" s="442" t="e">
        <f>INDEX('Table References'!$D$3:$G$34,E123,MATCH(E122,'Table References'!$D$2:$G$2,0))</f>
        <v>#N/A</v>
      </c>
      <c r="F124" s="443" t="e">
        <f>INDEX('Table References'!$D$3:$G$34,F123,MATCH(F122,'Table References'!$D$2:$G$2,0))</f>
        <v>#N/A</v>
      </c>
      <c r="H124" s="155"/>
      <c r="I124" s="155"/>
      <c r="J124" s="155"/>
      <c r="K124" s="155"/>
      <c r="R124" s="155"/>
    </row>
    <row r="125" spans="1:18" s="65" customFormat="1" ht="12.75" customHeight="1" outlineLevel="1" thickBot="1" x14ac:dyDescent="0.25">
      <c r="A125" s="669"/>
      <c r="B125" s="147" t="s">
        <v>125</v>
      </c>
      <c r="C125" s="442" t="e">
        <f ca="1">ROWS(INDIRECT(C124))</f>
        <v>#N/A</v>
      </c>
      <c r="D125" s="442" t="e">
        <f t="shared" ref="D125:F125" ca="1" si="1">ROWS(INDIRECT(D124))</f>
        <v>#N/A</v>
      </c>
      <c r="E125" s="442" t="e">
        <f t="shared" ca="1" si="1"/>
        <v>#N/A</v>
      </c>
      <c r="F125" s="443" t="e">
        <f t="shared" ca="1" si="1"/>
        <v>#N/A</v>
      </c>
      <c r="H125" s="155"/>
      <c r="I125" s="155"/>
      <c r="J125" s="155"/>
      <c r="K125" s="155"/>
      <c r="R125" s="155"/>
    </row>
    <row r="126" spans="1:18" s="65" customFormat="1" outlineLevel="1" x14ac:dyDescent="0.2">
      <c r="A126" s="669"/>
      <c r="B126" s="457" t="s">
        <v>78</v>
      </c>
      <c r="C126" s="171" t="e">
        <f ca="1">MATCH($B126,OFFSET(INDIRECT(C$124),0,0,C$125,1),0)</f>
        <v>#N/A</v>
      </c>
      <c r="D126" s="171" t="e">
        <f t="shared" ref="D126:F126" ca="1" si="2">MATCH($B126,OFFSET(INDIRECT(D$124),0,0,D$125,1),0)</f>
        <v>#N/A</v>
      </c>
      <c r="E126" s="171" t="e">
        <f t="shared" ca="1" si="2"/>
        <v>#N/A</v>
      </c>
      <c r="F126" s="172" t="e">
        <f t="shared" ca="1" si="2"/>
        <v>#N/A</v>
      </c>
      <c r="H126" s="155"/>
      <c r="I126" s="155"/>
      <c r="J126" s="155"/>
      <c r="K126" s="155"/>
      <c r="R126" s="155"/>
    </row>
    <row r="127" spans="1:18" s="65" customFormat="1" outlineLevel="1" x14ac:dyDescent="0.2">
      <c r="A127" s="669"/>
      <c r="B127" s="165" t="s">
        <v>71</v>
      </c>
      <c r="C127" s="166" t="e">
        <f t="shared" ref="C127:F129" ca="1" si="3">MATCH($B127,OFFSET(INDIRECT(C$124),0,0,C$125,1),0)</f>
        <v>#N/A</v>
      </c>
      <c r="D127" s="166" t="e">
        <f t="shared" ca="1" si="3"/>
        <v>#N/A</v>
      </c>
      <c r="E127" s="166" t="e">
        <f t="shared" ca="1" si="3"/>
        <v>#N/A</v>
      </c>
      <c r="F127" s="167" t="e">
        <f t="shared" ca="1" si="3"/>
        <v>#N/A</v>
      </c>
      <c r="H127" s="155"/>
      <c r="I127" s="155"/>
      <c r="J127" s="155"/>
      <c r="K127" s="155"/>
      <c r="R127" s="155"/>
    </row>
    <row r="128" spans="1:18" s="65" customFormat="1" outlineLevel="1" x14ac:dyDescent="0.2">
      <c r="A128" s="669"/>
      <c r="B128" s="165" t="s">
        <v>72</v>
      </c>
      <c r="C128" s="166" t="e">
        <f t="shared" ca="1" si="3"/>
        <v>#N/A</v>
      </c>
      <c r="D128" s="166" t="e">
        <f t="shared" ca="1" si="3"/>
        <v>#N/A</v>
      </c>
      <c r="E128" s="166" t="e">
        <f t="shared" ca="1" si="3"/>
        <v>#N/A</v>
      </c>
      <c r="F128" s="167" t="e">
        <f t="shared" ca="1" si="3"/>
        <v>#N/A</v>
      </c>
      <c r="H128" s="155"/>
      <c r="I128" s="155"/>
      <c r="J128" s="155"/>
      <c r="K128" s="155"/>
      <c r="R128" s="155"/>
    </row>
    <row r="129" spans="1:18" s="65" customFormat="1" ht="13.5" outlineLevel="1" thickBot="1" x14ac:dyDescent="0.25">
      <c r="A129" s="669"/>
      <c r="B129" s="168" t="s">
        <v>73</v>
      </c>
      <c r="C129" s="173" t="e">
        <f t="shared" ca="1" si="3"/>
        <v>#N/A</v>
      </c>
      <c r="D129" s="173" t="e">
        <f t="shared" ca="1" si="3"/>
        <v>#N/A</v>
      </c>
      <c r="E129" s="173" t="e">
        <f t="shared" ca="1" si="3"/>
        <v>#N/A</v>
      </c>
      <c r="F129" s="174" t="e">
        <f t="shared" ca="1" si="3"/>
        <v>#N/A</v>
      </c>
      <c r="H129" s="155"/>
      <c r="I129" s="155"/>
      <c r="J129" s="155"/>
      <c r="K129" s="155"/>
      <c r="R129" s="155"/>
    </row>
    <row r="130" spans="1:18" s="65" customFormat="1" outlineLevel="1" x14ac:dyDescent="0.2">
      <c r="A130" s="669"/>
      <c r="B130" s="457" t="str">
        <f>B126</f>
        <v>None</v>
      </c>
      <c r="C130" s="175" t="str">
        <f t="shared" ref="C130:F133" ca="1" si="4">IF(OR(ISNA(C126),ISBLANK(INDEX(INDIRECT(C$124),C126,2))),"",INDEX(INDIRECT(C$124),C126,2))</f>
        <v/>
      </c>
      <c r="D130" s="175" t="str">
        <f t="shared" ca="1" si="4"/>
        <v/>
      </c>
      <c r="E130" s="175" t="str">
        <f t="shared" ca="1" si="4"/>
        <v/>
      </c>
      <c r="F130" s="176" t="str">
        <f t="shared" ca="1" si="4"/>
        <v/>
      </c>
      <c r="H130" s="155"/>
      <c r="I130" s="155"/>
      <c r="J130" s="155"/>
      <c r="K130" s="155"/>
      <c r="R130" s="155"/>
    </row>
    <row r="131" spans="1:18" s="65" customFormat="1" outlineLevel="1" x14ac:dyDescent="0.2">
      <c r="A131" s="669"/>
      <c r="B131" s="165" t="str">
        <f>B127</f>
        <v>Poured Block</v>
      </c>
      <c r="C131" s="177" t="str">
        <f t="shared" ca="1" si="4"/>
        <v/>
      </c>
      <c r="D131" s="177" t="str">
        <f t="shared" ca="1" si="4"/>
        <v/>
      </c>
      <c r="E131" s="177" t="str">
        <f t="shared" ca="1" si="4"/>
        <v/>
      </c>
      <c r="F131" s="178" t="str">
        <f t="shared" ca="1" si="4"/>
        <v/>
      </c>
      <c r="H131" s="155"/>
      <c r="I131" s="155"/>
      <c r="J131" s="155"/>
      <c r="K131" s="155"/>
      <c r="R131" s="155"/>
    </row>
    <row r="132" spans="1:18" s="65" customFormat="1" outlineLevel="1" x14ac:dyDescent="0.2">
      <c r="A132" s="669"/>
      <c r="B132" s="165" t="str">
        <f>B128</f>
        <v>Placed Block</v>
      </c>
      <c r="C132" s="177" t="str">
        <f t="shared" ca="1" si="4"/>
        <v/>
      </c>
      <c r="D132" s="177" t="str">
        <f t="shared" ca="1" si="4"/>
        <v/>
      </c>
      <c r="E132" s="177" t="str">
        <f t="shared" ca="1" si="4"/>
        <v/>
      </c>
      <c r="F132" s="178" t="str">
        <f t="shared" ca="1" si="4"/>
        <v/>
      </c>
      <c r="H132" s="155"/>
      <c r="I132" s="155"/>
      <c r="J132" s="155"/>
      <c r="K132" s="155"/>
    </row>
    <row r="133" spans="1:18" s="65" customFormat="1" ht="13.5" outlineLevel="1" thickBot="1" x14ac:dyDescent="0.25">
      <c r="A133" s="670"/>
      <c r="B133" s="168" t="str">
        <f>B129</f>
        <v>Slotted Block</v>
      </c>
      <c r="C133" s="179" t="str">
        <f t="shared" ca="1" si="4"/>
        <v/>
      </c>
      <c r="D133" s="179" t="str">
        <f t="shared" ca="1" si="4"/>
        <v/>
      </c>
      <c r="E133" s="179" t="str">
        <f t="shared" ca="1" si="4"/>
        <v/>
      </c>
      <c r="F133" s="180" t="str">
        <f t="shared" ca="1" si="4"/>
        <v/>
      </c>
      <c r="H133" s="155"/>
      <c r="I133" s="155"/>
      <c r="J133" s="155"/>
      <c r="K133" s="155"/>
    </row>
    <row r="134" spans="1:18" s="65" customFormat="1" ht="13.5" customHeight="1" thickBot="1" x14ac:dyDescent="0.25">
      <c r="A134" s="459"/>
      <c r="B134" s="667"/>
      <c r="C134" s="667"/>
      <c r="D134" s="460"/>
      <c r="E134" s="460"/>
      <c r="F134" s="460"/>
      <c r="H134" s="155"/>
      <c r="I134" s="155"/>
      <c r="J134" s="155"/>
      <c r="K134" s="155"/>
    </row>
    <row r="135" spans="1:18" s="65" customFormat="1" ht="12.75" customHeight="1" outlineLevel="2" x14ac:dyDescent="0.2">
      <c r="A135" s="668" t="s">
        <v>280</v>
      </c>
      <c r="B135" s="457" t="s">
        <v>205</v>
      </c>
      <c r="C135" s="448" t="e">
        <f>C$19</f>
        <v>#N/A</v>
      </c>
      <c r="D135" s="448" t="e">
        <f t="shared" ref="D135:F135" si="5">D$19</f>
        <v>#N/A</v>
      </c>
      <c r="E135" s="448" t="e">
        <f t="shared" si="5"/>
        <v>#N/A</v>
      </c>
      <c r="F135" s="449" t="e">
        <f t="shared" si="5"/>
        <v>#N/A</v>
      </c>
      <c r="H135" s="155"/>
      <c r="I135" s="155"/>
      <c r="J135" s="155"/>
      <c r="K135" s="155"/>
      <c r="R135" s="155"/>
    </row>
    <row r="136" spans="1:18" s="65" customFormat="1" outlineLevel="2" x14ac:dyDescent="0.2">
      <c r="A136" s="669"/>
      <c r="B136" s="165" t="s">
        <v>252</v>
      </c>
      <c r="C136" s="442">
        <f>VLOOKUP("Effective SSD",'Table References'!$D$37:$E$44,2)</f>
        <v>12</v>
      </c>
      <c r="D136" s="442">
        <f>VLOOKUP("Effective SSD",'Table References'!$D$37:$E$44,2)</f>
        <v>12</v>
      </c>
      <c r="E136" s="442">
        <f>VLOOKUP("Effective SSD",'Table References'!$D$37:$E$44,2)</f>
        <v>12</v>
      </c>
      <c r="F136" s="443">
        <f>VLOOKUP("Effective SSD",'Table References'!$D$37:$E$44,2)</f>
        <v>12</v>
      </c>
      <c r="H136" s="155"/>
      <c r="I136" s="155"/>
      <c r="J136" s="155"/>
      <c r="K136" s="155"/>
      <c r="R136" s="155"/>
    </row>
    <row r="137" spans="1:18" s="65" customFormat="1" ht="12.75" customHeight="1" outlineLevel="2" x14ac:dyDescent="0.2">
      <c r="A137" s="669"/>
      <c r="B137" s="147" t="s">
        <v>119</v>
      </c>
      <c r="C137" s="442" t="e">
        <f>INDEX('Table References'!$D$3:$G$34,C136,MATCH(C135,'Table References'!$D$2:$G$2,0))</f>
        <v>#N/A</v>
      </c>
      <c r="D137" s="442" t="e">
        <f>INDEX('Table References'!$D$3:$G$34,D136,MATCH(D135,'Table References'!$D$2:$G$2,0))</f>
        <v>#N/A</v>
      </c>
      <c r="E137" s="442" t="e">
        <f>INDEX('Table References'!$D$3:$G$34,E136,MATCH(E135,'Table References'!$D$2:$G$2,0))</f>
        <v>#N/A</v>
      </c>
      <c r="F137" s="443" t="e">
        <f>INDEX('Table References'!$D$3:$G$34,F136,MATCH(F135,'Table References'!$D$2:$G$2,0))</f>
        <v>#N/A</v>
      </c>
      <c r="H137" s="155"/>
      <c r="I137" s="155"/>
      <c r="J137" s="155"/>
      <c r="K137" s="155"/>
      <c r="R137" s="155"/>
    </row>
    <row r="138" spans="1:18" s="65" customFormat="1" ht="12.75" customHeight="1" outlineLevel="2" thickBot="1" x14ac:dyDescent="0.25">
      <c r="A138" s="669"/>
      <c r="B138" s="147" t="s">
        <v>125</v>
      </c>
      <c r="C138" s="442" t="e">
        <f ca="1">ROWS(INDIRECT(C137))</f>
        <v>#N/A</v>
      </c>
      <c r="D138" s="442" t="e">
        <f t="shared" ref="D138:F138" ca="1" si="6">ROWS(INDIRECT(D137))</f>
        <v>#N/A</v>
      </c>
      <c r="E138" s="442" t="e">
        <f t="shared" ca="1" si="6"/>
        <v>#N/A</v>
      </c>
      <c r="F138" s="443" t="e">
        <f t="shared" ca="1" si="6"/>
        <v>#N/A</v>
      </c>
      <c r="H138" s="155"/>
      <c r="I138" s="155"/>
      <c r="J138" s="155"/>
      <c r="K138" s="155"/>
      <c r="R138" s="155"/>
    </row>
    <row r="139" spans="1:18" s="65" customFormat="1" ht="13.5" outlineLevel="2" thickBot="1" x14ac:dyDescent="0.25">
      <c r="A139" s="670"/>
      <c r="B139" s="458" t="s">
        <v>280</v>
      </c>
      <c r="C139" s="181" t="e">
        <f ca="1">INDEX(INDIRECT(C137),1,2)</f>
        <v>#N/A</v>
      </c>
      <c r="D139" s="181" t="e">
        <f t="shared" ref="D139:F139" ca="1" si="7">INDEX(INDIRECT(D137),1,2)</f>
        <v>#N/A</v>
      </c>
      <c r="E139" s="181" t="e">
        <f t="shared" ca="1" si="7"/>
        <v>#N/A</v>
      </c>
      <c r="F139" s="182" t="e">
        <f t="shared" ca="1" si="7"/>
        <v>#N/A</v>
      </c>
      <c r="H139" s="155"/>
      <c r="I139" s="155"/>
      <c r="J139" s="155"/>
      <c r="K139" s="155"/>
      <c r="R139" s="155"/>
    </row>
    <row r="140" spans="1:18" s="65" customFormat="1" ht="13.5" thickBot="1" x14ac:dyDescent="0.25">
      <c r="A140" s="183"/>
      <c r="B140" s="673"/>
      <c r="C140" s="673"/>
      <c r="H140" s="155"/>
      <c r="I140" s="155"/>
      <c r="J140" s="155"/>
      <c r="K140" s="155"/>
    </row>
    <row r="141" spans="1:18" s="65" customFormat="1" outlineLevel="1" x14ac:dyDescent="0.2">
      <c r="A141" s="662" t="s">
        <v>106</v>
      </c>
      <c r="B141" s="170" t="s">
        <v>344</v>
      </c>
      <c r="C141" s="448" t="e">
        <f>C$19</f>
        <v>#N/A</v>
      </c>
      <c r="D141" s="448" t="e">
        <f>D$19</f>
        <v>#N/A</v>
      </c>
      <c r="E141" s="448" t="e">
        <f>E$19</f>
        <v>#N/A</v>
      </c>
      <c r="F141" s="449" t="e">
        <f>F$19</f>
        <v>#N/A</v>
      </c>
      <c r="H141" s="155"/>
      <c r="I141" s="155"/>
      <c r="J141" s="155"/>
      <c r="K141" s="155"/>
    </row>
    <row r="142" spans="1:18" s="65" customFormat="1" outlineLevel="1" x14ac:dyDescent="0.2">
      <c r="A142" s="663"/>
      <c r="B142" s="87" t="s">
        <v>252</v>
      </c>
      <c r="C142" s="442">
        <f>VLOOKUP("TPR",'Table References'!$D$37:$E$44,2)</f>
        <v>24</v>
      </c>
      <c r="D142" s="442">
        <f>VLOOKUP("TPR",'Table References'!$D$37:$E$44,2)</f>
        <v>24</v>
      </c>
      <c r="E142" s="442">
        <f>VLOOKUP("TPR",'Table References'!$D$37:$E$44,2)</f>
        <v>24</v>
      </c>
      <c r="F142" s="443">
        <f>VLOOKUP("TPR",'Table References'!$D$37:$E$44,2)</f>
        <v>24</v>
      </c>
      <c r="H142" s="155"/>
      <c r="I142" s="155"/>
      <c r="J142" s="155"/>
      <c r="K142" s="155"/>
    </row>
    <row r="143" spans="1:18" s="65" customFormat="1" outlineLevel="1" x14ac:dyDescent="0.2">
      <c r="A143" s="663"/>
      <c r="B143" s="1" t="s">
        <v>119</v>
      </c>
      <c r="C143" s="442" t="e">
        <f>INDEX('Table References'!$D$3:$G$34,C142,MATCH(C141,'Table References'!$D$2:$G$2,0))</f>
        <v>#N/A</v>
      </c>
      <c r="D143" s="442" t="e">
        <f>INDEX('Table References'!$D$3:$G$34,D142,MATCH(D141,'Table References'!$D$2:$G$2,0))</f>
        <v>#N/A</v>
      </c>
      <c r="E143" s="442" t="e">
        <f>INDEX('Table References'!$D$3:$G$34,E142,MATCH(E141,'Table References'!$D$2:$G$2,0))</f>
        <v>#N/A</v>
      </c>
      <c r="F143" s="443" t="e">
        <f>INDEX('Table References'!$D$3:$G$34,F142,MATCH(F141,'Table References'!$D$2:$G$2,0))</f>
        <v>#N/A</v>
      </c>
      <c r="H143" s="155"/>
      <c r="I143" s="155"/>
      <c r="J143" s="155"/>
      <c r="K143" s="155"/>
    </row>
    <row r="144" spans="1:18" s="65" customFormat="1" outlineLevel="1" x14ac:dyDescent="0.2">
      <c r="A144" s="663"/>
      <c r="B144" s="1" t="s">
        <v>125</v>
      </c>
      <c r="C144" s="442" t="e">
        <f ca="1">ROWS(INDIRECT(C143))</f>
        <v>#N/A</v>
      </c>
      <c r="D144" s="442" t="e">
        <f t="shared" ref="D144:F144" ca="1" si="8">ROWS(INDIRECT(D143))</f>
        <v>#N/A</v>
      </c>
      <c r="E144" s="442" t="e">
        <f t="shared" ca="1" si="8"/>
        <v>#N/A</v>
      </c>
      <c r="F144" s="443" t="e">
        <f t="shared" ca="1" si="8"/>
        <v>#N/A</v>
      </c>
      <c r="H144" s="155"/>
      <c r="I144" s="155"/>
      <c r="J144" s="155"/>
      <c r="K144" s="155"/>
    </row>
    <row r="145" spans="1:11" s="65" customFormat="1" outlineLevel="1" x14ac:dyDescent="0.2">
      <c r="A145" s="663"/>
      <c r="B145" s="1" t="s">
        <v>126</v>
      </c>
      <c r="C145" s="442" t="e">
        <f ca="1">COLUMNS(INDIRECT(C143))</f>
        <v>#N/A</v>
      </c>
      <c r="D145" s="442" t="e">
        <f t="shared" ref="D145:F145" ca="1" si="9">COLUMNS(INDIRECT(D143))</f>
        <v>#N/A</v>
      </c>
      <c r="E145" s="442" t="e">
        <f t="shared" ca="1" si="9"/>
        <v>#N/A</v>
      </c>
      <c r="F145" s="443" t="e">
        <f t="shared" ca="1" si="9"/>
        <v>#N/A</v>
      </c>
      <c r="H145" s="155"/>
      <c r="I145" s="155"/>
      <c r="J145" s="155"/>
      <c r="K145" s="155"/>
    </row>
    <row r="146" spans="1:11" s="65" customFormat="1" outlineLevel="1" x14ac:dyDescent="0.2">
      <c r="A146" s="663"/>
      <c r="B146" s="1" t="s">
        <v>24</v>
      </c>
      <c r="C146" s="444">
        <f>C$18</f>
        <v>100</v>
      </c>
      <c r="D146" s="444">
        <f t="shared" ref="D146:F146" si="10">D$18</f>
        <v>100</v>
      </c>
      <c r="E146" s="444">
        <f t="shared" si="10"/>
        <v>100</v>
      </c>
      <c r="F146" s="445">
        <f t="shared" si="10"/>
        <v>100</v>
      </c>
      <c r="H146" s="155"/>
      <c r="I146" s="155"/>
      <c r="J146" s="155"/>
      <c r="K146" s="155"/>
    </row>
    <row r="147" spans="1:11" s="65" customFormat="1" outlineLevel="1" x14ac:dyDescent="0.2">
      <c r="A147" s="663"/>
      <c r="B147" s="1" t="s">
        <v>31</v>
      </c>
      <c r="C147" s="446" t="e">
        <f>C$17</f>
        <v>#DIV/0!</v>
      </c>
      <c r="D147" s="446" t="e">
        <f t="shared" ref="D147:F147" si="11">D$17</f>
        <v>#DIV/0!</v>
      </c>
      <c r="E147" s="446" t="e">
        <f t="shared" si="11"/>
        <v>#DIV/0!</v>
      </c>
      <c r="F147" s="447" t="e">
        <f t="shared" si="11"/>
        <v>#DIV/0!</v>
      </c>
      <c r="H147" s="155"/>
      <c r="I147" s="155"/>
      <c r="J147" s="155"/>
      <c r="K147" s="155"/>
    </row>
    <row r="148" spans="1:11" s="65" customFormat="1" outlineLevel="1" x14ac:dyDescent="0.2">
      <c r="A148" s="663"/>
      <c r="B148" s="1" t="s">
        <v>158</v>
      </c>
      <c r="C148" s="442" t="e">
        <f ca="1">MATCH(C146,OFFSET(INDIRECT(C143),0,0,C144,1),1)</f>
        <v>#N/A</v>
      </c>
      <c r="D148" s="442" t="e">
        <f t="shared" ref="D148:F148" ca="1" si="12">MATCH(D146,OFFSET(INDIRECT(D143),0,0,D144,1),1)</f>
        <v>#N/A</v>
      </c>
      <c r="E148" s="442" t="e">
        <f t="shared" ca="1" si="12"/>
        <v>#N/A</v>
      </c>
      <c r="F148" s="443" t="e">
        <f t="shared" ca="1" si="12"/>
        <v>#N/A</v>
      </c>
      <c r="H148" s="155"/>
      <c r="I148" s="155"/>
      <c r="J148" s="155"/>
      <c r="K148" s="155"/>
    </row>
    <row r="149" spans="1:11" s="65" customFormat="1" outlineLevel="1" x14ac:dyDescent="0.2">
      <c r="A149" s="663"/>
      <c r="B149" s="1" t="s">
        <v>157</v>
      </c>
      <c r="C149" s="442" t="e">
        <f ca="1">MATCH(C147,OFFSET(INDIRECT(C143),0,0,1,C145),1)</f>
        <v>#DIV/0!</v>
      </c>
      <c r="D149" s="442" t="e">
        <f t="shared" ref="D149:F149" ca="1" si="13">MATCH(D147,OFFSET(INDIRECT(D143),0,0,1,D145),1)</f>
        <v>#DIV/0!</v>
      </c>
      <c r="E149" s="442" t="e">
        <f t="shared" ca="1" si="13"/>
        <v>#DIV/0!</v>
      </c>
      <c r="F149" s="443" t="e">
        <f t="shared" ca="1" si="13"/>
        <v>#DIV/0!</v>
      </c>
      <c r="H149" s="155"/>
      <c r="I149" s="155"/>
      <c r="J149" s="155"/>
      <c r="K149" s="155"/>
    </row>
    <row r="150" spans="1:11" s="65" customFormat="1" outlineLevel="1" x14ac:dyDescent="0.2">
      <c r="A150" s="663"/>
      <c r="B150" s="1" t="s">
        <v>36</v>
      </c>
      <c r="C150" s="160" t="e">
        <f ca="1">INDEX(INDIRECT(C143),C148,1)</f>
        <v>#N/A</v>
      </c>
      <c r="D150" s="160" t="e">
        <f t="shared" ref="D150:F150" ca="1" si="14">INDEX(INDIRECT(D143),D148,1)</f>
        <v>#N/A</v>
      </c>
      <c r="E150" s="160" t="e">
        <f t="shared" ca="1" si="14"/>
        <v>#N/A</v>
      </c>
      <c r="F150" s="461" t="e">
        <f t="shared" ca="1" si="14"/>
        <v>#N/A</v>
      </c>
      <c r="H150" s="155"/>
      <c r="I150" s="155"/>
      <c r="J150" s="155"/>
      <c r="K150" s="155"/>
    </row>
    <row r="151" spans="1:11" s="65" customFormat="1" outlineLevel="1" x14ac:dyDescent="0.2">
      <c r="A151" s="663"/>
      <c r="B151" s="1" t="s">
        <v>37</v>
      </c>
      <c r="C151" s="160" t="e">
        <f ca="1">INDEX(INDIRECT(C143),C148+1,1)</f>
        <v>#N/A</v>
      </c>
      <c r="D151" s="160" t="e">
        <f t="shared" ref="D151:F151" ca="1" si="15">INDEX(INDIRECT(D143),D148+1,1)</f>
        <v>#N/A</v>
      </c>
      <c r="E151" s="160" t="e">
        <f t="shared" ca="1" si="15"/>
        <v>#N/A</v>
      </c>
      <c r="F151" s="461" t="e">
        <f t="shared" ca="1" si="15"/>
        <v>#N/A</v>
      </c>
      <c r="H151" s="155"/>
      <c r="I151" s="155"/>
      <c r="J151" s="155"/>
      <c r="K151" s="155"/>
    </row>
    <row r="152" spans="1:11" s="65" customFormat="1" outlineLevel="1" x14ac:dyDescent="0.2">
      <c r="A152" s="663"/>
      <c r="B152" s="1" t="s">
        <v>38</v>
      </c>
      <c r="C152" s="160" t="e">
        <f ca="1">INDEX(INDIRECT(C143),1,C149)</f>
        <v>#N/A</v>
      </c>
      <c r="D152" s="160" t="e">
        <f t="shared" ref="D152:F152" ca="1" si="16">INDEX(INDIRECT(D143),1,D149)</f>
        <v>#N/A</v>
      </c>
      <c r="E152" s="160" t="e">
        <f t="shared" ca="1" si="16"/>
        <v>#N/A</v>
      </c>
      <c r="F152" s="461" t="e">
        <f t="shared" ca="1" si="16"/>
        <v>#N/A</v>
      </c>
      <c r="H152" s="155"/>
      <c r="I152" s="155"/>
      <c r="J152" s="155"/>
      <c r="K152" s="155"/>
    </row>
    <row r="153" spans="1:11" s="65" customFormat="1" outlineLevel="1" x14ac:dyDescent="0.2">
      <c r="A153" s="663"/>
      <c r="B153" s="1" t="s">
        <v>39</v>
      </c>
      <c r="C153" s="160" t="e">
        <f ca="1">INDEX(INDIRECT(C143),1,C149+1)</f>
        <v>#N/A</v>
      </c>
      <c r="D153" s="160" t="e">
        <f t="shared" ref="D153:F153" ca="1" si="17">INDEX(INDIRECT(D143),1,D149+1)</f>
        <v>#N/A</v>
      </c>
      <c r="E153" s="160" t="e">
        <f t="shared" ca="1" si="17"/>
        <v>#N/A</v>
      </c>
      <c r="F153" s="461" t="e">
        <f t="shared" ca="1" si="17"/>
        <v>#N/A</v>
      </c>
      <c r="H153" s="155"/>
      <c r="I153" s="155"/>
      <c r="J153" s="155"/>
      <c r="K153" s="155"/>
    </row>
    <row r="154" spans="1:11" s="65" customFormat="1" outlineLevel="1" x14ac:dyDescent="0.2">
      <c r="A154" s="663"/>
      <c r="B154" s="1" t="s">
        <v>44</v>
      </c>
      <c r="C154" s="462" t="e">
        <f ca="1">INDEX(INDIRECT(C143),C148,C149)</f>
        <v>#N/A</v>
      </c>
      <c r="D154" s="462" t="e">
        <f t="shared" ref="D154:F154" ca="1" si="18">INDEX(INDIRECT(D143),D148,D149)</f>
        <v>#N/A</v>
      </c>
      <c r="E154" s="462" t="e">
        <f t="shared" ca="1" si="18"/>
        <v>#N/A</v>
      </c>
      <c r="F154" s="463" t="e">
        <f t="shared" ca="1" si="18"/>
        <v>#N/A</v>
      </c>
      <c r="H154" s="155"/>
      <c r="I154" s="155"/>
      <c r="J154" s="155"/>
      <c r="K154" s="155"/>
    </row>
    <row r="155" spans="1:11" s="65" customFormat="1" outlineLevel="1" x14ac:dyDescent="0.2">
      <c r="A155" s="663"/>
      <c r="B155" s="1" t="s">
        <v>45</v>
      </c>
      <c r="C155" s="462" t="e">
        <f ca="1">INDEX(INDIRECT(C143),C148+1,C149)</f>
        <v>#N/A</v>
      </c>
      <c r="D155" s="462" t="e">
        <f t="shared" ref="D155:F155" ca="1" si="19">INDEX(INDIRECT(D143),D148+1,D149)</f>
        <v>#N/A</v>
      </c>
      <c r="E155" s="462" t="e">
        <f t="shared" ca="1" si="19"/>
        <v>#N/A</v>
      </c>
      <c r="F155" s="463" t="e">
        <f t="shared" ca="1" si="19"/>
        <v>#N/A</v>
      </c>
      <c r="H155" s="155"/>
      <c r="I155" s="155"/>
      <c r="J155" s="155"/>
      <c r="K155" s="155"/>
    </row>
    <row r="156" spans="1:11" s="65" customFormat="1" outlineLevel="1" x14ac:dyDescent="0.2">
      <c r="A156" s="663"/>
      <c r="B156" s="1" t="s">
        <v>46</v>
      </c>
      <c r="C156" s="462" t="e">
        <f ca="1">INDEX(INDIRECT(C143),C148,C149+1)</f>
        <v>#N/A</v>
      </c>
      <c r="D156" s="462" t="e">
        <f t="shared" ref="D156:F156" ca="1" si="20">INDEX(INDIRECT(D143),D148,D149+1)</f>
        <v>#N/A</v>
      </c>
      <c r="E156" s="462" t="e">
        <f t="shared" ca="1" si="20"/>
        <v>#N/A</v>
      </c>
      <c r="F156" s="463" t="e">
        <f t="shared" ca="1" si="20"/>
        <v>#N/A</v>
      </c>
      <c r="H156" s="155"/>
      <c r="I156" s="155"/>
      <c r="J156" s="155"/>
      <c r="K156" s="155"/>
    </row>
    <row r="157" spans="1:11" s="65" customFormat="1" outlineLevel="1" x14ac:dyDescent="0.2">
      <c r="A157" s="663"/>
      <c r="B157" s="1" t="s">
        <v>47</v>
      </c>
      <c r="C157" s="462" t="e">
        <f ca="1">INDEX(INDIRECT(C143),C148+1,C149+1)</f>
        <v>#N/A</v>
      </c>
      <c r="D157" s="462" t="e">
        <f t="shared" ref="D157:F157" ca="1" si="21">INDEX(INDIRECT(D143),D148+1,D149+1)</f>
        <v>#N/A</v>
      </c>
      <c r="E157" s="462" t="e">
        <f t="shared" ca="1" si="21"/>
        <v>#N/A</v>
      </c>
      <c r="F157" s="463" t="e">
        <f t="shared" ca="1" si="21"/>
        <v>#N/A</v>
      </c>
      <c r="H157" s="155"/>
      <c r="I157" s="155"/>
      <c r="J157" s="155"/>
      <c r="K157" s="155"/>
    </row>
    <row r="158" spans="1:11" s="65" customFormat="1" outlineLevel="1" x14ac:dyDescent="0.2">
      <c r="A158" s="663"/>
      <c r="B158" s="1" t="s">
        <v>25</v>
      </c>
      <c r="C158" s="441" t="e">
        <f ca="1">AVERAGE((C155-C154)/(C151-C150),(C157-C156)/(C151-C150))</f>
        <v>#N/A</v>
      </c>
      <c r="D158" s="441" t="e">
        <f t="shared" ref="D158:F158" ca="1" si="22">AVERAGE((D155-D154)/(D151-D150),(D157-D156)/(D151-D150))</f>
        <v>#N/A</v>
      </c>
      <c r="E158" s="441" t="e">
        <f t="shared" ca="1" si="22"/>
        <v>#N/A</v>
      </c>
      <c r="F158" s="464" t="e">
        <f t="shared" ca="1" si="22"/>
        <v>#N/A</v>
      </c>
      <c r="H158" s="155"/>
      <c r="I158" s="155"/>
      <c r="J158" s="155"/>
      <c r="K158" s="155"/>
    </row>
    <row r="159" spans="1:11" s="65" customFormat="1" outlineLevel="1" x14ac:dyDescent="0.2">
      <c r="A159" s="663"/>
      <c r="B159" s="1" t="s">
        <v>26</v>
      </c>
      <c r="C159" s="441" t="e">
        <f ca="1">AVERAGE((C156-C154)/(C153-C152),(C157-C155)/(C153-C152))</f>
        <v>#N/A</v>
      </c>
      <c r="D159" s="441" t="e">
        <f t="shared" ref="D159:F159" ca="1" si="23">AVERAGE((D156-D154)/(D153-D152),(D157-D155)/(D153-D152))</f>
        <v>#N/A</v>
      </c>
      <c r="E159" s="441" t="e">
        <f t="shared" ca="1" si="23"/>
        <v>#N/A</v>
      </c>
      <c r="F159" s="464" t="e">
        <f t="shared" ca="1" si="23"/>
        <v>#N/A</v>
      </c>
      <c r="H159" s="155"/>
      <c r="I159" s="155"/>
      <c r="J159" s="155"/>
      <c r="K159" s="155"/>
    </row>
    <row r="160" spans="1:11" s="65" customFormat="1" outlineLevel="1" x14ac:dyDescent="0.2">
      <c r="A160" s="663"/>
      <c r="B160" s="1" t="s">
        <v>27</v>
      </c>
      <c r="C160" s="441" t="e">
        <f ca="1">C154-C158*C150-C159*C152</f>
        <v>#N/A</v>
      </c>
      <c r="D160" s="441" t="e">
        <f t="shared" ref="D160:F160" ca="1" si="24">D154-D158*D150-D159*D152</f>
        <v>#N/A</v>
      </c>
      <c r="E160" s="441" t="e">
        <f t="shared" ca="1" si="24"/>
        <v>#N/A</v>
      </c>
      <c r="F160" s="464" t="e">
        <f t="shared" ca="1" si="24"/>
        <v>#N/A</v>
      </c>
      <c r="H160" s="155"/>
      <c r="I160" s="155"/>
      <c r="J160" s="155"/>
      <c r="K160" s="155"/>
    </row>
    <row r="161" spans="1:11" s="65" customFormat="1" ht="12.75" customHeight="1" outlineLevel="1" thickBot="1" x14ac:dyDescent="0.25">
      <c r="A161" s="664"/>
      <c r="B161" s="152" t="s">
        <v>8</v>
      </c>
      <c r="C161" s="465" t="e">
        <f ca="1">C158*C146+C159*C147+C160</f>
        <v>#N/A</v>
      </c>
      <c r="D161" s="465" t="e">
        <f t="shared" ref="D161:F161" ca="1" si="25">D158*D146+D159*D147+D160</f>
        <v>#N/A</v>
      </c>
      <c r="E161" s="465" t="e">
        <f t="shared" ca="1" si="25"/>
        <v>#N/A</v>
      </c>
      <c r="F161" s="466" t="e">
        <f t="shared" ca="1" si="25"/>
        <v>#N/A</v>
      </c>
      <c r="H161" s="155"/>
      <c r="I161" s="155"/>
      <c r="J161" s="155"/>
      <c r="K161" s="155"/>
    </row>
    <row r="162" spans="1:11" s="65" customFormat="1" ht="13.5" thickBot="1" x14ac:dyDescent="0.25">
      <c r="A162" s="155"/>
      <c r="B162" s="169"/>
      <c r="C162" s="169"/>
      <c r="H162" s="155"/>
      <c r="I162" s="155"/>
      <c r="J162" s="155"/>
      <c r="K162" s="155"/>
    </row>
    <row r="163" spans="1:11" s="65" customFormat="1" ht="12.75" customHeight="1" outlineLevel="1" x14ac:dyDescent="0.2">
      <c r="A163" s="662" t="s">
        <v>104</v>
      </c>
      <c r="B163" s="170" t="s">
        <v>344</v>
      </c>
      <c r="C163" s="448" t="e">
        <f>C$19</f>
        <v>#N/A</v>
      </c>
      <c r="D163" s="448" t="e">
        <f>D$19</f>
        <v>#N/A</v>
      </c>
      <c r="E163" s="448" t="e">
        <f>E$19</f>
        <v>#N/A</v>
      </c>
      <c r="F163" s="449" t="e">
        <f>F$19</f>
        <v>#N/A</v>
      </c>
      <c r="H163" s="155"/>
      <c r="I163" s="155"/>
      <c r="J163" s="155"/>
      <c r="K163" s="155"/>
    </row>
    <row r="164" spans="1:11" s="65" customFormat="1" outlineLevel="1" x14ac:dyDescent="0.2">
      <c r="A164" s="663"/>
      <c r="B164" s="87" t="s">
        <v>252</v>
      </c>
      <c r="C164" s="442">
        <f>VLOOKUP("RDF",'Table References'!$D$37:$E$44,2)</f>
        <v>4</v>
      </c>
      <c r="D164" s="442">
        <f>VLOOKUP("RDF",'Table References'!$D$37:$E$44,2)</f>
        <v>4</v>
      </c>
      <c r="E164" s="442">
        <f>VLOOKUP("RDF",'Table References'!$D$37:$E$44,2)</f>
        <v>4</v>
      </c>
      <c r="F164" s="443">
        <f>VLOOKUP("RDF",'Table References'!$D$37:$E$44,2)</f>
        <v>4</v>
      </c>
      <c r="H164" s="155"/>
      <c r="I164" s="155"/>
      <c r="J164" s="155"/>
      <c r="K164" s="155"/>
    </row>
    <row r="165" spans="1:11" s="65" customFormat="1" outlineLevel="1" x14ac:dyDescent="0.2">
      <c r="A165" s="663"/>
      <c r="B165" s="1" t="s">
        <v>119</v>
      </c>
      <c r="C165" s="442" t="e">
        <f>INDEX('Table References'!$D$3:$G$34,C164,MATCH(C163,'Table References'!$D$2:$G$2,0))</f>
        <v>#N/A</v>
      </c>
      <c r="D165" s="442" t="e">
        <f>INDEX('Table References'!$D$3:$G$34,D164,MATCH(D163,'Table References'!$D$2:$G$2,0))</f>
        <v>#N/A</v>
      </c>
      <c r="E165" s="442" t="e">
        <f>INDEX('Table References'!$D$3:$G$34,E164,MATCH(E163,'Table References'!$D$2:$G$2,0))</f>
        <v>#N/A</v>
      </c>
      <c r="F165" s="443" t="e">
        <f>INDEX('Table References'!$D$3:$G$34,F164,MATCH(F163,'Table References'!$D$2:$G$2,0))</f>
        <v>#N/A</v>
      </c>
      <c r="H165" s="155"/>
      <c r="I165" s="155"/>
      <c r="J165" s="155"/>
      <c r="K165" s="155"/>
    </row>
    <row r="166" spans="1:11" s="65" customFormat="1" outlineLevel="1" x14ac:dyDescent="0.2">
      <c r="A166" s="663"/>
      <c r="B166" s="1" t="s">
        <v>125</v>
      </c>
      <c r="C166" s="442" t="e">
        <f ca="1">ROWS(INDIRECT(C165))</f>
        <v>#N/A</v>
      </c>
      <c r="D166" s="442" t="e">
        <f ca="1">ROWS(INDIRECT(D165))</f>
        <v>#N/A</v>
      </c>
      <c r="E166" s="442" t="e">
        <f ca="1">ROWS(INDIRECT(E165))</f>
        <v>#N/A</v>
      </c>
      <c r="F166" s="443" t="e">
        <f ca="1">ROWS(INDIRECT(F165))</f>
        <v>#N/A</v>
      </c>
      <c r="H166" s="155"/>
      <c r="I166" s="155"/>
      <c r="J166" s="155"/>
      <c r="K166" s="155"/>
    </row>
    <row r="167" spans="1:11" s="65" customFormat="1" outlineLevel="1" x14ac:dyDescent="0.2">
      <c r="A167" s="663"/>
      <c r="B167" s="1" t="s">
        <v>126</v>
      </c>
      <c r="C167" s="442" t="e">
        <f ca="1">COLUMNS(INDIRECT(C165))</f>
        <v>#N/A</v>
      </c>
      <c r="D167" s="442" t="e">
        <f ca="1">COLUMNS(INDIRECT(D165))</f>
        <v>#N/A</v>
      </c>
      <c r="E167" s="442" t="e">
        <f ca="1">COLUMNS(INDIRECT(E165))</f>
        <v>#N/A</v>
      </c>
      <c r="F167" s="443" t="e">
        <f ca="1">COLUMNS(INDIRECT(F165))</f>
        <v>#N/A</v>
      </c>
      <c r="H167" s="155"/>
      <c r="I167" s="155"/>
      <c r="J167" s="155"/>
      <c r="K167" s="155"/>
    </row>
    <row r="168" spans="1:11" s="65" customFormat="1" outlineLevel="1" x14ac:dyDescent="0.2">
      <c r="A168" s="663"/>
      <c r="B168" s="1" t="s">
        <v>123</v>
      </c>
      <c r="C168" s="467">
        <f>C$15</f>
        <v>0</v>
      </c>
      <c r="D168" s="467">
        <f t="shared" ref="D168:F168" si="26">D$15</f>
        <v>0</v>
      </c>
      <c r="E168" s="467">
        <f t="shared" si="26"/>
        <v>0</v>
      </c>
      <c r="F168" s="468">
        <f t="shared" si="26"/>
        <v>0</v>
      </c>
      <c r="H168" s="155"/>
      <c r="I168" s="155"/>
      <c r="J168" s="155"/>
      <c r="K168" s="155"/>
    </row>
    <row r="169" spans="1:11" s="65" customFormat="1" outlineLevel="1" x14ac:dyDescent="0.2">
      <c r="A169" s="663"/>
      <c r="B169" s="1" t="s">
        <v>124</v>
      </c>
      <c r="C169" s="446">
        <f>C$16</f>
        <v>0</v>
      </c>
      <c r="D169" s="446">
        <f t="shared" ref="D169:F169" si="27">D$16</f>
        <v>0</v>
      </c>
      <c r="E169" s="446">
        <f t="shared" si="27"/>
        <v>0</v>
      </c>
      <c r="F169" s="447">
        <f t="shared" si="27"/>
        <v>0</v>
      </c>
      <c r="H169" s="155"/>
      <c r="I169" s="155"/>
      <c r="J169" s="155"/>
      <c r="K169" s="155"/>
    </row>
    <row r="170" spans="1:11" s="65" customFormat="1" ht="13.15" customHeight="1" outlineLevel="1" x14ac:dyDescent="0.2">
      <c r="A170" s="663"/>
      <c r="B170" s="1" t="s">
        <v>120</v>
      </c>
      <c r="C170" s="442" t="e">
        <f ca="1">MATCH(C168,OFFSET(INDIRECT(C165),0,0,C166,1),1)</f>
        <v>#N/A</v>
      </c>
      <c r="D170" s="442" t="e">
        <f ca="1">MATCH(D168,OFFSET(INDIRECT(D165),0,0,D166,1),1)</f>
        <v>#N/A</v>
      </c>
      <c r="E170" s="442" t="e">
        <f ca="1">MATCH(E168,OFFSET(INDIRECT(E165),0,0,E166,1),1)</f>
        <v>#N/A</v>
      </c>
      <c r="F170" s="443" t="e">
        <f ca="1">MATCH(F168,OFFSET(INDIRECT(F165),0,0,F166,1),1)</f>
        <v>#N/A</v>
      </c>
      <c r="H170" s="155"/>
      <c r="I170" s="155"/>
      <c r="J170" s="155"/>
      <c r="K170" s="155"/>
    </row>
    <row r="171" spans="1:11" s="65" customFormat="1" outlineLevel="1" x14ac:dyDescent="0.2">
      <c r="A171" s="663"/>
      <c r="B171" s="1" t="s">
        <v>121</v>
      </c>
      <c r="C171" s="442" t="e">
        <f ca="1">MATCH(C169,OFFSET(INDIRECT(C165),0,0,1,C167),1)</f>
        <v>#N/A</v>
      </c>
      <c r="D171" s="442" t="e">
        <f ca="1">MATCH(D169,OFFSET(INDIRECT(D165),0,0,1,D167),1)</f>
        <v>#N/A</v>
      </c>
      <c r="E171" s="442" t="e">
        <f ca="1">MATCH(E169,OFFSET(INDIRECT(E165),0,0,1,E167),1)</f>
        <v>#N/A</v>
      </c>
      <c r="F171" s="443" t="e">
        <f ca="1">MATCH(F169,OFFSET(INDIRECT(F165),0,0,1,F167),1)</f>
        <v>#N/A</v>
      </c>
      <c r="H171" s="155"/>
      <c r="I171" s="155"/>
      <c r="J171" s="155"/>
      <c r="K171" s="155"/>
    </row>
    <row r="172" spans="1:11" s="65" customFormat="1" outlineLevel="1" x14ac:dyDescent="0.2">
      <c r="A172" s="663"/>
      <c r="B172" s="1" t="s">
        <v>32</v>
      </c>
      <c r="C172" s="160" t="e">
        <f ca="1">INDEX(INDIRECT(C165),C170,1)</f>
        <v>#N/A</v>
      </c>
      <c r="D172" s="160" t="e">
        <f ca="1">INDEX(INDIRECT(D165),D170,1)</f>
        <v>#N/A</v>
      </c>
      <c r="E172" s="160" t="e">
        <f ca="1">INDEX(INDIRECT(E165),E170,1)</f>
        <v>#N/A</v>
      </c>
      <c r="F172" s="461" t="e">
        <f ca="1">INDEX(INDIRECT(F165),F170,1)</f>
        <v>#N/A</v>
      </c>
    </row>
    <row r="173" spans="1:11" s="65" customFormat="1" outlineLevel="1" x14ac:dyDescent="0.2">
      <c r="A173" s="663"/>
      <c r="B173" s="1" t="s">
        <v>33</v>
      </c>
      <c r="C173" s="160" t="e">
        <f ca="1">INDEX(INDIRECT(C165),C170+1,1)</f>
        <v>#N/A</v>
      </c>
      <c r="D173" s="160" t="e">
        <f ca="1">INDEX(INDIRECT(D165),D170+1,1)</f>
        <v>#N/A</v>
      </c>
      <c r="E173" s="160" t="e">
        <f ca="1">INDEX(INDIRECT(E165),E170+1,1)</f>
        <v>#N/A</v>
      </c>
      <c r="F173" s="461" t="e">
        <f ca="1">INDEX(INDIRECT(F165),F170+1,1)</f>
        <v>#N/A</v>
      </c>
    </row>
    <row r="174" spans="1:11" s="65" customFormat="1" outlineLevel="1" x14ac:dyDescent="0.2">
      <c r="A174" s="663"/>
      <c r="B174" s="1" t="s">
        <v>34</v>
      </c>
      <c r="C174" s="160" t="e">
        <f ca="1">INDEX(INDIRECT(C165),1,C171)</f>
        <v>#N/A</v>
      </c>
      <c r="D174" s="160" t="e">
        <f ca="1">INDEX(INDIRECT(D165),1,D171)</f>
        <v>#N/A</v>
      </c>
      <c r="E174" s="160" t="e">
        <f ca="1">INDEX(INDIRECT(E165),1,E171)</f>
        <v>#N/A</v>
      </c>
      <c r="F174" s="461" t="e">
        <f ca="1">INDEX(INDIRECT(F165),1,F171)</f>
        <v>#N/A</v>
      </c>
    </row>
    <row r="175" spans="1:11" s="65" customFormat="1" outlineLevel="1" x14ac:dyDescent="0.2">
      <c r="A175" s="663"/>
      <c r="B175" s="1" t="s">
        <v>35</v>
      </c>
      <c r="C175" s="160" t="e">
        <f ca="1">INDEX(INDIRECT(C165),1,C171+1)</f>
        <v>#N/A</v>
      </c>
      <c r="D175" s="160" t="e">
        <f ca="1">INDEX(INDIRECT(D165),1,D171+1)</f>
        <v>#N/A</v>
      </c>
      <c r="E175" s="160" t="e">
        <f ca="1">INDEX(INDIRECT(E165),1,E171+1)</f>
        <v>#N/A</v>
      </c>
      <c r="F175" s="461" t="e">
        <f ca="1">INDEX(INDIRECT(F165),1,F171+1)</f>
        <v>#N/A</v>
      </c>
    </row>
    <row r="176" spans="1:11" s="65" customFormat="1" outlineLevel="1" x14ac:dyDescent="0.2">
      <c r="A176" s="663"/>
      <c r="B176" s="1" t="s">
        <v>40</v>
      </c>
      <c r="C176" s="462" t="e">
        <f ca="1">INDEX(INDIRECT(C165),C170,C171)</f>
        <v>#N/A</v>
      </c>
      <c r="D176" s="462" t="e">
        <f ca="1">INDEX(INDIRECT(D165),D170,D171)</f>
        <v>#N/A</v>
      </c>
      <c r="E176" s="462" t="e">
        <f ca="1">INDEX(INDIRECT(E165),E170,E171)</f>
        <v>#N/A</v>
      </c>
      <c r="F176" s="463" t="e">
        <f ca="1">INDEX(INDIRECT(F165),F170,F171)</f>
        <v>#N/A</v>
      </c>
    </row>
    <row r="177" spans="1:6" s="65" customFormat="1" outlineLevel="1" x14ac:dyDescent="0.2">
      <c r="A177" s="663"/>
      <c r="B177" s="1" t="s">
        <v>41</v>
      </c>
      <c r="C177" s="462" t="e">
        <f ca="1">INDEX(INDIRECT(C165),C170+1,C171)</f>
        <v>#N/A</v>
      </c>
      <c r="D177" s="462" t="e">
        <f ca="1">INDEX(INDIRECT(D165),D170+1,D171)</f>
        <v>#N/A</v>
      </c>
      <c r="E177" s="462" t="e">
        <f ca="1">INDEX(INDIRECT(E165),E170+1,E171)</f>
        <v>#N/A</v>
      </c>
      <c r="F177" s="463" t="e">
        <f ca="1">INDEX(INDIRECT(F165),F170+1,F171)</f>
        <v>#N/A</v>
      </c>
    </row>
    <row r="178" spans="1:6" s="65" customFormat="1" outlineLevel="1" x14ac:dyDescent="0.2">
      <c r="A178" s="663"/>
      <c r="B178" s="1" t="s">
        <v>42</v>
      </c>
      <c r="C178" s="462" t="e">
        <f ca="1">INDEX(INDIRECT(C165),C170,C171+1)</f>
        <v>#N/A</v>
      </c>
      <c r="D178" s="462" t="e">
        <f ca="1">INDEX(INDIRECT(D165),D170,D171+1)</f>
        <v>#N/A</v>
      </c>
      <c r="E178" s="462" t="e">
        <f ca="1">INDEX(INDIRECT(E165),E170,E171+1)</f>
        <v>#N/A</v>
      </c>
      <c r="F178" s="463" t="e">
        <f ca="1">INDEX(INDIRECT(F165),F170,F171+1)</f>
        <v>#N/A</v>
      </c>
    </row>
    <row r="179" spans="1:6" s="65" customFormat="1" outlineLevel="1" x14ac:dyDescent="0.2">
      <c r="A179" s="663"/>
      <c r="B179" s="1" t="s">
        <v>43</v>
      </c>
      <c r="C179" s="462" t="e">
        <f ca="1">INDEX(INDIRECT(C165),C170+1,C171+1)</f>
        <v>#N/A</v>
      </c>
      <c r="D179" s="462" t="e">
        <f ca="1">INDEX(INDIRECT(D165),D170+1,D171+1)</f>
        <v>#N/A</v>
      </c>
      <c r="E179" s="462" t="e">
        <f ca="1">INDEX(INDIRECT(E165),E170+1,E171+1)</f>
        <v>#N/A</v>
      </c>
      <c r="F179" s="463" t="e">
        <f ca="1">INDEX(INDIRECT(F165),F170+1,F171+1)</f>
        <v>#N/A</v>
      </c>
    </row>
    <row r="180" spans="1:6" s="65" customFormat="1" outlineLevel="1" x14ac:dyDescent="0.2">
      <c r="A180" s="663"/>
      <c r="B180" s="1" t="s">
        <v>25</v>
      </c>
      <c r="C180" s="441" t="e">
        <f ca="1">AVERAGE((C177-C176)/(C173-C172),(C179-C178)/(C173-C172))</f>
        <v>#N/A</v>
      </c>
      <c r="D180" s="441" t="e">
        <f ca="1">AVERAGE((D177-D176)/(D173-D172),(D179-D178)/(D173-D172))</f>
        <v>#N/A</v>
      </c>
      <c r="E180" s="441" t="e">
        <f ca="1">AVERAGE((E177-E176)/(E173-E172),(E179-E178)/(E173-E172))</f>
        <v>#N/A</v>
      </c>
      <c r="F180" s="464" t="e">
        <f ca="1">AVERAGE((F177-F176)/(F173-F172),(F179-F178)/(F173-F172))</f>
        <v>#N/A</v>
      </c>
    </row>
    <row r="181" spans="1:6" s="65" customFormat="1" outlineLevel="1" x14ac:dyDescent="0.2">
      <c r="A181" s="663"/>
      <c r="B181" s="1" t="s">
        <v>26</v>
      </c>
      <c r="C181" s="441" t="e">
        <f ca="1">AVERAGE((C178-C176)/(C175-C174),(C179-C177)/(C175-C174))</f>
        <v>#N/A</v>
      </c>
      <c r="D181" s="441" t="e">
        <f ca="1">AVERAGE((D178-D176)/(D175-D174),(D179-D177)/(D175-D174))</f>
        <v>#N/A</v>
      </c>
      <c r="E181" s="441" t="e">
        <f ca="1">AVERAGE((E178-E176)/(E175-E174),(E179-E177)/(E175-E174))</f>
        <v>#N/A</v>
      </c>
      <c r="F181" s="464" t="e">
        <f ca="1">AVERAGE((F178-F176)/(F175-F174),(F179-F177)/(F175-F174))</f>
        <v>#N/A</v>
      </c>
    </row>
    <row r="182" spans="1:6" s="65" customFormat="1" outlineLevel="1" x14ac:dyDescent="0.2">
      <c r="A182" s="663"/>
      <c r="B182" s="1" t="s">
        <v>27</v>
      </c>
      <c r="C182" s="441" t="e">
        <f ca="1">C176-C180*C172-C181*C174</f>
        <v>#N/A</v>
      </c>
      <c r="D182" s="441" t="e">
        <f ca="1">D176-D180*D172-D181*D174</f>
        <v>#N/A</v>
      </c>
      <c r="E182" s="441" t="e">
        <f ca="1">E176-E180*E172-E181*E174</f>
        <v>#N/A</v>
      </c>
      <c r="F182" s="464" t="e">
        <f ca="1">F176-F180*F172-F181*F174</f>
        <v>#N/A</v>
      </c>
    </row>
    <row r="183" spans="1:6" s="65" customFormat="1" ht="12.75" customHeight="1" outlineLevel="1" thickBot="1" x14ac:dyDescent="0.25">
      <c r="A183" s="664"/>
      <c r="B183" s="152" t="s">
        <v>9</v>
      </c>
      <c r="C183" s="465" t="e">
        <f ca="1">C180*C168+C181*C169+C182</f>
        <v>#N/A</v>
      </c>
      <c r="D183" s="465" t="e">
        <f ca="1">D180*D168+D181*D169+D182</f>
        <v>#N/A</v>
      </c>
      <c r="E183" s="465" t="e">
        <f ca="1">E180*E168+E181*E169+E182</f>
        <v>#N/A</v>
      </c>
      <c r="F183" s="466" t="e">
        <f ca="1">F180*F168+F181*F169+F182</f>
        <v>#N/A</v>
      </c>
    </row>
    <row r="184" spans="1:6" s="65" customFormat="1" ht="13.5" thickBot="1" x14ac:dyDescent="0.25">
      <c r="A184" s="155"/>
      <c r="B184" s="169"/>
      <c r="C184" s="169"/>
    </row>
    <row r="185" spans="1:6" s="65" customFormat="1" outlineLevel="1" x14ac:dyDescent="0.2">
      <c r="A185" s="662" t="s">
        <v>105</v>
      </c>
      <c r="B185" s="170" t="s">
        <v>344</v>
      </c>
      <c r="C185" s="448" t="e">
        <f>C$19</f>
        <v>#N/A</v>
      </c>
      <c r="D185" s="448" t="e">
        <f>D$19</f>
        <v>#N/A</v>
      </c>
      <c r="E185" s="448" t="e">
        <f>E$19</f>
        <v>#N/A</v>
      </c>
      <c r="F185" s="449" t="e">
        <f>F$19</f>
        <v>#N/A</v>
      </c>
    </row>
    <row r="186" spans="1:6" s="65" customFormat="1" outlineLevel="1" x14ac:dyDescent="0.2">
      <c r="A186" s="663"/>
      <c r="B186" s="87" t="s">
        <v>252</v>
      </c>
      <c r="C186" s="442">
        <f>VLOOKUP("ROF",'Table References'!$D$37:$E$44,2)</f>
        <v>8</v>
      </c>
      <c r="D186" s="442">
        <f>VLOOKUP("ROF",'Table References'!$D$37:$E$44,2)</f>
        <v>8</v>
      </c>
      <c r="E186" s="442">
        <f>VLOOKUP("ROF",'Table References'!$D$37:$E$44,2)</f>
        <v>8</v>
      </c>
      <c r="F186" s="443">
        <f>VLOOKUP("ROF",'Table References'!$D$37:$E$44,2)</f>
        <v>8</v>
      </c>
    </row>
    <row r="187" spans="1:6" s="65" customFormat="1" outlineLevel="1" x14ac:dyDescent="0.2">
      <c r="A187" s="663"/>
      <c r="B187" s="1" t="s">
        <v>119</v>
      </c>
      <c r="C187" s="442" t="e">
        <f>INDEX('Table References'!$D$3:$G$34,C186,MATCH(C185,'Table References'!$D$2:$G$2,0))</f>
        <v>#N/A</v>
      </c>
      <c r="D187" s="442" t="e">
        <f>INDEX('Table References'!$D$3:$G$34,D186,MATCH(D185,'Table References'!$D$2:$G$2,0))</f>
        <v>#N/A</v>
      </c>
      <c r="E187" s="442" t="e">
        <f>INDEX('Table References'!$D$3:$G$34,E186,MATCH(E185,'Table References'!$D$2:$G$2,0))</f>
        <v>#N/A</v>
      </c>
      <c r="F187" s="443" t="e">
        <f>INDEX('Table References'!$D$3:$G$34,F186,MATCH(F185,'Table References'!$D$2:$G$2,0))</f>
        <v>#N/A</v>
      </c>
    </row>
    <row r="188" spans="1:6" s="65" customFormat="1" outlineLevel="1" x14ac:dyDescent="0.2">
      <c r="A188" s="663"/>
      <c r="B188" s="1" t="s">
        <v>125</v>
      </c>
      <c r="C188" s="442" t="e">
        <f ca="1">ROWS(INDIRECT(C187))</f>
        <v>#N/A</v>
      </c>
      <c r="D188" s="442" t="e">
        <f ca="1">ROWS(INDIRECT(D187))</f>
        <v>#N/A</v>
      </c>
      <c r="E188" s="442" t="e">
        <f ca="1">ROWS(INDIRECT(E187))</f>
        <v>#N/A</v>
      </c>
      <c r="F188" s="443" t="e">
        <f ca="1">ROWS(INDIRECT(F187))</f>
        <v>#N/A</v>
      </c>
    </row>
    <row r="189" spans="1:6" s="65" customFormat="1" outlineLevel="1" x14ac:dyDescent="0.2">
      <c r="A189" s="663"/>
      <c r="B189" s="1" t="s">
        <v>126</v>
      </c>
      <c r="C189" s="442" t="e">
        <f ca="1">COLUMNS(INDIRECT(C187))</f>
        <v>#N/A</v>
      </c>
      <c r="D189" s="442" t="e">
        <f ca="1">COLUMNS(INDIRECT(D187))</f>
        <v>#N/A</v>
      </c>
      <c r="E189" s="442" t="e">
        <f ca="1">COLUMNS(INDIRECT(E187))</f>
        <v>#N/A</v>
      </c>
      <c r="F189" s="443" t="e">
        <f ca="1">COLUMNS(INDIRECT(F187))</f>
        <v>#N/A</v>
      </c>
    </row>
    <row r="190" spans="1:6" s="65" customFormat="1" outlineLevel="1" x14ac:dyDescent="0.2">
      <c r="A190" s="663"/>
      <c r="B190" s="1" t="s">
        <v>123</v>
      </c>
      <c r="C190" s="467">
        <f>C$13</f>
        <v>0</v>
      </c>
      <c r="D190" s="467">
        <f t="shared" ref="D190:F190" si="28">D$13</f>
        <v>0</v>
      </c>
      <c r="E190" s="467">
        <f t="shared" si="28"/>
        <v>0</v>
      </c>
      <c r="F190" s="468">
        <f t="shared" si="28"/>
        <v>0</v>
      </c>
    </row>
    <row r="191" spans="1:6" s="65" customFormat="1" outlineLevel="1" x14ac:dyDescent="0.2">
      <c r="A191" s="663"/>
      <c r="B191" s="1" t="s">
        <v>124</v>
      </c>
      <c r="C191" s="446">
        <f>C$14</f>
        <v>0</v>
      </c>
      <c r="D191" s="446">
        <f t="shared" ref="D191:F191" si="29">D$14</f>
        <v>0</v>
      </c>
      <c r="E191" s="446">
        <f t="shared" si="29"/>
        <v>0</v>
      </c>
      <c r="F191" s="447">
        <f t="shared" si="29"/>
        <v>0</v>
      </c>
    </row>
    <row r="192" spans="1:6" s="65" customFormat="1" outlineLevel="1" x14ac:dyDescent="0.2">
      <c r="A192" s="663"/>
      <c r="B192" s="1" t="s">
        <v>120</v>
      </c>
      <c r="C192" s="442" t="e">
        <f ca="1">MATCH(C190,OFFSET(INDIRECT(C187),0,0,C188,1),1)</f>
        <v>#N/A</v>
      </c>
      <c r="D192" s="442" t="e">
        <f ca="1">MATCH(D190,OFFSET(INDIRECT(D187),0,0,D188,1),1)</f>
        <v>#N/A</v>
      </c>
      <c r="E192" s="442" t="e">
        <f ca="1">MATCH(E190,OFFSET(INDIRECT(E187),0,0,E188,1),1)</f>
        <v>#N/A</v>
      </c>
      <c r="F192" s="443" t="e">
        <f ca="1">MATCH(F190,OFFSET(INDIRECT(F187),0,0,F188,1),1)</f>
        <v>#N/A</v>
      </c>
    </row>
    <row r="193" spans="1:9" s="65" customFormat="1" outlineLevel="1" x14ac:dyDescent="0.2">
      <c r="A193" s="663"/>
      <c r="B193" s="1" t="s">
        <v>121</v>
      </c>
      <c r="C193" s="442" t="e">
        <f ca="1">MATCH(C191,OFFSET(INDIRECT(C187),0,0,1,C189),1)</f>
        <v>#N/A</v>
      </c>
      <c r="D193" s="442" t="e">
        <f ca="1">MATCH(D191,OFFSET(INDIRECT(D187),0,0,1,D189),1)</f>
        <v>#N/A</v>
      </c>
      <c r="E193" s="442" t="e">
        <f ca="1">MATCH(E191,OFFSET(INDIRECT(E187),0,0,1,E189),1)</f>
        <v>#N/A</v>
      </c>
      <c r="F193" s="443" t="e">
        <f ca="1">MATCH(F191,OFFSET(INDIRECT(F187),0,0,1,F189),1)</f>
        <v>#N/A</v>
      </c>
      <c r="I193" s="155"/>
    </row>
    <row r="194" spans="1:9" s="65" customFormat="1" outlineLevel="1" x14ac:dyDescent="0.2">
      <c r="A194" s="663"/>
      <c r="B194" s="1" t="s">
        <v>32</v>
      </c>
      <c r="C194" s="160" t="e">
        <f ca="1">INDEX(INDIRECT(C187),C192,1)</f>
        <v>#N/A</v>
      </c>
      <c r="D194" s="160" t="e">
        <f ca="1">INDEX(INDIRECT(D187),D192,1)</f>
        <v>#N/A</v>
      </c>
      <c r="E194" s="160" t="e">
        <f ca="1">INDEX(INDIRECT(E187),E192,1)</f>
        <v>#N/A</v>
      </c>
      <c r="F194" s="461" t="e">
        <f ca="1">INDEX(INDIRECT(F187),F192,1)</f>
        <v>#N/A</v>
      </c>
      <c r="I194" s="155"/>
    </row>
    <row r="195" spans="1:9" s="65" customFormat="1" outlineLevel="1" x14ac:dyDescent="0.2">
      <c r="A195" s="663"/>
      <c r="B195" s="1" t="s">
        <v>33</v>
      </c>
      <c r="C195" s="160" t="e">
        <f ca="1">INDEX(INDIRECT(C187),C192+1,1)</f>
        <v>#N/A</v>
      </c>
      <c r="D195" s="160" t="e">
        <f ca="1">INDEX(INDIRECT(D187),D192+1,1)</f>
        <v>#N/A</v>
      </c>
      <c r="E195" s="160" t="e">
        <f ca="1">INDEX(INDIRECT(E187),E192+1,1)</f>
        <v>#N/A</v>
      </c>
      <c r="F195" s="461" t="e">
        <f ca="1">INDEX(INDIRECT(F187),F192+1,1)</f>
        <v>#N/A</v>
      </c>
      <c r="I195" s="155"/>
    </row>
    <row r="196" spans="1:9" s="65" customFormat="1" outlineLevel="1" x14ac:dyDescent="0.2">
      <c r="A196" s="663"/>
      <c r="B196" s="1" t="s">
        <v>34</v>
      </c>
      <c r="C196" s="160" t="e">
        <f ca="1">INDEX(INDIRECT(C187),1,C193)</f>
        <v>#N/A</v>
      </c>
      <c r="D196" s="160" t="e">
        <f ca="1">INDEX(INDIRECT(D187),1,D193)</f>
        <v>#N/A</v>
      </c>
      <c r="E196" s="160" t="e">
        <f ca="1">INDEX(INDIRECT(E187),1,E193)</f>
        <v>#N/A</v>
      </c>
      <c r="F196" s="461" t="e">
        <f ca="1">INDEX(INDIRECT(F187),1,F193)</f>
        <v>#N/A</v>
      </c>
      <c r="I196" s="155"/>
    </row>
    <row r="197" spans="1:9" s="65" customFormat="1" outlineLevel="1" x14ac:dyDescent="0.2">
      <c r="A197" s="663"/>
      <c r="B197" s="1" t="s">
        <v>35</v>
      </c>
      <c r="C197" s="160" t="e">
        <f ca="1">INDEX(INDIRECT(C187),1,C193+1)</f>
        <v>#N/A</v>
      </c>
      <c r="D197" s="160" t="e">
        <f ca="1">INDEX(INDIRECT(D187),1,D193+1)</f>
        <v>#N/A</v>
      </c>
      <c r="E197" s="160" t="e">
        <f ca="1">INDEX(INDIRECT(E187),1,E193+1)</f>
        <v>#N/A</v>
      </c>
      <c r="F197" s="461" t="e">
        <f ca="1">INDEX(INDIRECT(F187),1,F193+1)</f>
        <v>#N/A</v>
      </c>
      <c r="I197" s="155"/>
    </row>
    <row r="198" spans="1:9" s="65" customFormat="1" outlineLevel="1" x14ac:dyDescent="0.2">
      <c r="A198" s="663"/>
      <c r="B198" s="1" t="s">
        <v>92</v>
      </c>
      <c r="C198" s="462" t="e">
        <f ca="1">INDEX(INDIRECT(C187),C192,C193)</f>
        <v>#N/A</v>
      </c>
      <c r="D198" s="462" t="e">
        <f ca="1">INDEX(INDIRECT(D187),D192,D193)</f>
        <v>#N/A</v>
      </c>
      <c r="E198" s="462" t="e">
        <f ca="1">INDEX(INDIRECT(E187),E192,E193)</f>
        <v>#N/A</v>
      </c>
      <c r="F198" s="463" t="e">
        <f ca="1">INDEX(INDIRECT(F187),F192,F193)</f>
        <v>#N/A</v>
      </c>
      <c r="I198" s="155"/>
    </row>
    <row r="199" spans="1:9" s="65" customFormat="1" outlineLevel="1" x14ac:dyDescent="0.2">
      <c r="A199" s="663"/>
      <c r="B199" s="1" t="s">
        <v>93</v>
      </c>
      <c r="C199" s="462" t="e">
        <f ca="1">INDEX(INDIRECT(C187),C192+1,C193)</f>
        <v>#N/A</v>
      </c>
      <c r="D199" s="462" t="e">
        <f ca="1">INDEX(INDIRECT(D187),D192+1,D193)</f>
        <v>#N/A</v>
      </c>
      <c r="E199" s="462" t="e">
        <f ca="1">INDEX(INDIRECT(E187),E192+1,E193)</f>
        <v>#N/A</v>
      </c>
      <c r="F199" s="463" t="e">
        <f ca="1">INDEX(INDIRECT(F187),F192+1,F193)</f>
        <v>#N/A</v>
      </c>
      <c r="I199" s="155"/>
    </row>
    <row r="200" spans="1:9" s="65" customFormat="1" outlineLevel="1" x14ac:dyDescent="0.2">
      <c r="A200" s="663"/>
      <c r="B200" s="1" t="s">
        <v>94</v>
      </c>
      <c r="C200" s="462" t="e">
        <f ca="1">INDEX(INDIRECT(C187),C192,C193+1)</f>
        <v>#N/A</v>
      </c>
      <c r="D200" s="462" t="e">
        <f ca="1">INDEX(INDIRECT(D187),D192,D193+1)</f>
        <v>#N/A</v>
      </c>
      <c r="E200" s="462" t="e">
        <f ca="1">INDEX(INDIRECT(E187),E192,E193+1)</f>
        <v>#N/A</v>
      </c>
      <c r="F200" s="463" t="e">
        <f ca="1">INDEX(INDIRECT(F187),F192,F193+1)</f>
        <v>#N/A</v>
      </c>
      <c r="I200" s="155"/>
    </row>
    <row r="201" spans="1:9" s="65" customFormat="1" outlineLevel="1" x14ac:dyDescent="0.2">
      <c r="A201" s="663"/>
      <c r="B201" s="1" t="s">
        <v>95</v>
      </c>
      <c r="C201" s="462" t="e">
        <f ca="1">INDEX(INDIRECT(C187),C192+1,C193+1)</f>
        <v>#N/A</v>
      </c>
      <c r="D201" s="462" t="e">
        <f ca="1">INDEX(INDIRECT(D187),D192+1,D193+1)</f>
        <v>#N/A</v>
      </c>
      <c r="E201" s="462" t="e">
        <f ca="1">INDEX(INDIRECT(E187),E192+1,E193+1)</f>
        <v>#N/A</v>
      </c>
      <c r="F201" s="463" t="e">
        <f ca="1">INDEX(INDIRECT(F187),F192+1,F193+1)</f>
        <v>#N/A</v>
      </c>
      <c r="I201" s="155"/>
    </row>
    <row r="202" spans="1:9" s="65" customFormat="1" outlineLevel="1" x14ac:dyDescent="0.2">
      <c r="A202" s="663"/>
      <c r="B202" s="1" t="s">
        <v>25</v>
      </c>
      <c r="C202" s="441" t="e">
        <f ca="1">AVERAGE((C199-C198)/(C195-C194),(C201-C200)/(C195-C194))</f>
        <v>#N/A</v>
      </c>
      <c r="D202" s="441" t="e">
        <f ca="1">AVERAGE((D199-D198)/(D195-D194),(D201-D200)/(D195-D194))</f>
        <v>#N/A</v>
      </c>
      <c r="E202" s="441" t="e">
        <f ca="1">AVERAGE((E199-E198)/(E195-E194),(E201-E200)/(E195-E194))</f>
        <v>#N/A</v>
      </c>
      <c r="F202" s="464" t="e">
        <f ca="1">AVERAGE((F199-F198)/(F195-F194),(F201-F200)/(F195-F194))</f>
        <v>#N/A</v>
      </c>
      <c r="I202" s="155"/>
    </row>
    <row r="203" spans="1:9" s="65" customFormat="1" outlineLevel="1" x14ac:dyDescent="0.2">
      <c r="A203" s="663"/>
      <c r="B203" s="1" t="s">
        <v>26</v>
      </c>
      <c r="C203" s="441" t="e">
        <f ca="1">AVERAGE((C200-C198)/(C197-C196),(C201-C199)/(C197-C196))</f>
        <v>#N/A</v>
      </c>
      <c r="D203" s="441" t="e">
        <f ca="1">AVERAGE((D200-D198)/(D197-D196),(D201-D199)/(D197-D196))</f>
        <v>#N/A</v>
      </c>
      <c r="E203" s="441" t="e">
        <f ca="1">AVERAGE((E200-E198)/(E197-E196),(E201-E199)/(E197-E196))</f>
        <v>#N/A</v>
      </c>
      <c r="F203" s="464" t="e">
        <f ca="1">AVERAGE((F200-F198)/(F197-F196),(F201-F199)/(F197-F196))</f>
        <v>#N/A</v>
      </c>
      <c r="I203" s="155"/>
    </row>
    <row r="204" spans="1:9" s="65" customFormat="1" outlineLevel="1" x14ac:dyDescent="0.2">
      <c r="A204" s="663"/>
      <c r="B204" s="1" t="s">
        <v>27</v>
      </c>
      <c r="C204" s="441" t="e">
        <f ca="1">C198-C202*C194-C203*C196</f>
        <v>#N/A</v>
      </c>
      <c r="D204" s="441" t="e">
        <f ca="1">D198-D202*D194-D203*D196</f>
        <v>#N/A</v>
      </c>
      <c r="E204" s="441" t="e">
        <f ca="1">E198-E202*E194-E203*E196</f>
        <v>#N/A</v>
      </c>
      <c r="F204" s="464" t="e">
        <f ca="1">F198-F202*F194-F203*F196</f>
        <v>#N/A</v>
      </c>
      <c r="I204" s="155"/>
    </row>
    <row r="205" spans="1:9" s="65" customFormat="1" ht="12.75" customHeight="1" outlineLevel="1" thickBot="1" x14ac:dyDescent="0.25">
      <c r="A205" s="664"/>
      <c r="B205" s="152" t="s">
        <v>91</v>
      </c>
      <c r="C205" s="465" t="e">
        <f ca="1">C202*C190+C203*C191+C204</f>
        <v>#N/A</v>
      </c>
      <c r="D205" s="465" t="e">
        <f ca="1">D202*D190+D203*D191+D204</f>
        <v>#N/A</v>
      </c>
      <c r="E205" s="465" t="e">
        <f ca="1">E202*E190+E203*E191+E204</f>
        <v>#N/A</v>
      </c>
      <c r="F205" s="466" t="e">
        <f ca="1">F202*F190+F203*F191+F204</f>
        <v>#N/A</v>
      </c>
      <c r="I205" s="155"/>
    </row>
    <row r="206" spans="1:9" s="65" customFormat="1" ht="13.5" thickBot="1" x14ac:dyDescent="0.25">
      <c r="A206" s="155"/>
      <c r="C206" s="184"/>
      <c r="D206" s="184"/>
      <c r="E206" s="184"/>
      <c r="F206" s="184"/>
      <c r="I206" s="155"/>
    </row>
    <row r="207" spans="1:9" s="65" customFormat="1" outlineLevel="1" x14ac:dyDescent="0.2">
      <c r="A207" s="662" t="s">
        <v>108</v>
      </c>
      <c r="B207" s="170" t="s">
        <v>344</v>
      </c>
      <c r="C207" s="448" t="e">
        <f>C$19</f>
        <v>#N/A</v>
      </c>
      <c r="D207" s="448" t="e">
        <f>D$19</f>
        <v>#N/A</v>
      </c>
      <c r="E207" s="448" t="e">
        <f>E$19</f>
        <v>#N/A</v>
      </c>
      <c r="F207" s="449" t="e">
        <f>F$19</f>
        <v>#N/A</v>
      </c>
      <c r="I207" s="155"/>
    </row>
    <row r="208" spans="1:9" s="65" customFormat="1" outlineLevel="1" x14ac:dyDescent="0.2">
      <c r="A208" s="663"/>
      <c r="B208" s="87" t="s">
        <v>252</v>
      </c>
      <c r="C208" s="442">
        <f>VLOOKUP("PSF",'Table References'!$D$37:$E$44,2)</f>
        <v>28</v>
      </c>
      <c r="D208" s="442">
        <f>VLOOKUP("PSF",'Table References'!$D$37:$E$44,2)</f>
        <v>28</v>
      </c>
      <c r="E208" s="442">
        <f>VLOOKUP("PSF",'Table References'!$D$37:$E$44,2)</f>
        <v>28</v>
      </c>
      <c r="F208" s="443">
        <f>VLOOKUP("PSF",'Table References'!$D$37:$E$44,2)</f>
        <v>28</v>
      </c>
      <c r="I208" s="155"/>
    </row>
    <row r="209" spans="1:9" s="65" customFormat="1" outlineLevel="1" x14ac:dyDescent="0.2">
      <c r="A209" s="663"/>
      <c r="B209" s="1" t="s">
        <v>119</v>
      </c>
      <c r="C209" s="442" t="e">
        <f>INDEX('Table References'!$D$3:$G$34,C208,MATCH(C207,'Table References'!$D$2:$G$2,0))</f>
        <v>#N/A</v>
      </c>
      <c r="D209" s="442" t="e">
        <f>INDEX('Table References'!$D$3:$G$34,D208,MATCH(D207,'Table References'!$D$2:$G$2,0))</f>
        <v>#N/A</v>
      </c>
      <c r="E209" s="442" t="e">
        <f>INDEX('Table References'!$D$3:$G$34,E208,MATCH(E207,'Table References'!$D$2:$G$2,0))</f>
        <v>#N/A</v>
      </c>
      <c r="F209" s="443" t="e">
        <f>INDEX('Table References'!$D$3:$G$34,F208,MATCH(F207,'Table References'!$D$2:$G$2,0))</f>
        <v>#N/A</v>
      </c>
      <c r="I209" s="155"/>
    </row>
    <row r="210" spans="1:9" s="65" customFormat="1" outlineLevel="1" x14ac:dyDescent="0.2">
      <c r="A210" s="663"/>
      <c r="B210" s="1" t="s">
        <v>125</v>
      </c>
      <c r="C210" s="442" t="e">
        <f ca="1">ROWS(INDIRECT(C209))</f>
        <v>#N/A</v>
      </c>
      <c r="D210" s="442" t="e">
        <f ca="1">ROWS(INDIRECT(D209))</f>
        <v>#N/A</v>
      </c>
      <c r="E210" s="442" t="e">
        <f ca="1">ROWS(INDIRECT(E209))</f>
        <v>#N/A</v>
      </c>
      <c r="F210" s="443" t="e">
        <f ca="1">ROWS(INDIRECT(F209))</f>
        <v>#N/A</v>
      </c>
      <c r="I210" s="155"/>
    </row>
    <row r="211" spans="1:9" s="65" customFormat="1" outlineLevel="1" x14ac:dyDescent="0.2">
      <c r="A211" s="663"/>
      <c r="B211" s="1" t="s">
        <v>31</v>
      </c>
      <c r="C211" s="446" t="e">
        <f>C$17</f>
        <v>#DIV/0!</v>
      </c>
      <c r="D211" s="446" t="e">
        <f>D$17</f>
        <v>#DIV/0!</v>
      </c>
      <c r="E211" s="446" t="e">
        <f>E$17</f>
        <v>#DIV/0!</v>
      </c>
      <c r="F211" s="447" t="e">
        <f>F$17</f>
        <v>#DIV/0!</v>
      </c>
      <c r="I211" s="155"/>
    </row>
    <row r="212" spans="1:9" s="65" customFormat="1" outlineLevel="1" x14ac:dyDescent="0.2">
      <c r="A212" s="663"/>
      <c r="B212" s="1" t="s">
        <v>127</v>
      </c>
      <c r="C212" s="442" t="e">
        <f ca="1">MATCH(C211,OFFSET(INDIRECT(C209),0,0,C210,1),1)</f>
        <v>#DIV/0!</v>
      </c>
      <c r="D212" s="442" t="e">
        <f ca="1">MATCH(D211,OFFSET(INDIRECT(D209),0,0,D210,1),1)</f>
        <v>#DIV/0!</v>
      </c>
      <c r="E212" s="442" t="e">
        <f ca="1">MATCH(E211,OFFSET(INDIRECT(E209),0,0,E210,1),1)</f>
        <v>#DIV/0!</v>
      </c>
      <c r="F212" s="443" t="e">
        <f ca="1">MATCH(F211,OFFSET(INDIRECT(F209),0,0,F210,1),1)</f>
        <v>#DIV/0!</v>
      </c>
      <c r="I212" s="155"/>
    </row>
    <row r="213" spans="1:9" s="65" customFormat="1" outlineLevel="1" x14ac:dyDescent="0.2">
      <c r="A213" s="663"/>
      <c r="B213" s="1" t="s">
        <v>38</v>
      </c>
      <c r="C213" s="160" t="e">
        <f ca="1">INDEX(INDIRECT(C209),C212,1)</f>
        <v>#N/A</v>
      </c>
      <c r="D213" s="160" t="e">
        <f ca="1">INDEX(INDIRECT(D209),D212,1)</f>
        <v>#N/A</v>
      </c>
      <c r="E213" s="160" t="e">
        <f ca="1">INDEX(INDIRECT(E209),E212,1)</f>
        <v>#N/A</v>
      </c>
      <c r="F213" s="461" t="e">
        <f ca="1">INDEX(INDIRECT(F209),F212,1)</f>
        <v>#N/A</v>
      </c>
    </row>
    <row r="214" spans="1:9" s="65" customFormat="1" outlineLevel="1" x14ac:dyDescent="0.2">
      <c r="A214" s="663"/>
      <c r="B214" s="1" t="s">
        <v>39</v>
      </c>
      <c r="C214" s="160" t="e">
        <f ca="1">INDEX(INDIRECT(C209),C212+1,1)</f>
        <v>#N/A</v>
      </c>
      <c r="D214" s="160" t="e">
        <f ca="1">INDEX(INDIRECT(D209),D212+1,1)</f>
        <v>#N/A</v>
      </c>
      <c r="E214" s="160" t="e">
        <f ca="1">INDEX(INDIRECT(E209),E212+1,1)</f>
        <v>#N/A</v>
      </c>
      <c r="F214" s="461" t="e">
        <f ca="1">INDEX(INDIRECT(F209),F212+1,1)</f>
        <v>#N/A</v>
      </c>
    </row>
    <row r="215" spans="1:9" s="65" customFormat="1" outlineLevel="1" x14ac:dyDescent="0.2">
      <c r="A215" s="663"/>
      <c r="B215" s="1" t="s">
        <v>102</v>
      </c>
      <c r="C215" s="462" t="e">
        <f ca="1">INDEX(INDIRECT(C209),C212,2)</f>
        <v>#N/A</v>
      </c>
      <c r="D215" s="462" t="e">
        <f ca="1">INDEX(INDIRECT(D209),D212,2)</f>
        <v>#N/A</v>
      </c>
      <c r="E215" s="462" t="e">
        <f ca="1">INDEX(INDIRECT(E209),E212,2)</f>
        <v>#N/A</v>
      </c>
      <c r="F215" s="463" t="e">
        <f ca="1">INDEX(INDIRECT(F209),F212,2)</f>
        <v>#N/A</v>
      </c>
    </row>
    <row r="216" spans="1:9" s="65" customFormat="1" outlineLevel="1" x14ac:dyDescent="0.2">
      <c r="A216" s="663"/>
      <c r="B216" s="1" t="s">
        <v>103</v>
      </c>
      <c r="C216" s="462" t="e">
        <f ca="1">INDEX(INDIRECT(C209),C212+1,2)</f>
        <v>#N/A</v>
      </c>
      <c r="D216" s="462" t="e">
        <f ca="1">INDEX(INDIRECT(D209),D212+1,2)</f>
        <v>#N/A</v>
      </c>
      <c r="E216" s="462" t="e">
        <f ca="1">INDEX(INDIRECT(E209),E212+1,2)</f>
        <v>#N/A</v>
      </c>
      <c r="F216" s="463" t="e">
        <f ca="1">INDEX(INDIRECT(F209),F212+1,2)</f>
        <v>#N/A</v>
      </c>
    </row>
    <row r="217" spans="1:9" s="65" customFormat="1" outlineLevel="1" x14ac:dyDescent="0.2">
      <c r="A217" s="663"/>
      <c r="B217" s="1" t="s">
        <v>25</v>
      </c>
      <c r="C217" s="441" t="e">
        <f ca="1">(C216-C215)/(C214-C213)</f>
        <v>#N/A</v>
      </c>
      <c r="D217" s="441" t="e">
        <f ca="1">(D216-D215)/(D214-D213)</f>
        <v>#N/A</v>
      </c>
      <c r="E217" s="441" t="e">
        <f ca="1">(E216-E215)/(E214-E213)</f>
        <v>#N/A</v>
      </c>
      <c r="F217" s="464" t="e">
        <f ca="1">(F216-F215)/(F214-F213)</f>
        <v>#N/A</v>
      </c>
    </row>
    <row r="218" spans="1:9" s="65" customFormat="1" outlineLevel="1" x14ac:dyDescent="0.2">
      <c r="A218" s="663"/>
      <c r="B218" s="1" t="s">
        <v>27</v>
      </c>
      <c r="C218" s="441" t="e">
        <f ca="1">C215-C217*C213</f>
        <v>#N/A</v>
      </c>
      <c r="D218" s="441" t="e">
        <f ca="1">D215-D217*D213</f>
        <v>#N/A</v>
      </c>
      <c r="E218" s="441" t="e">
        <f ca="1">E215-E217*E213</f>
        <v>#N/A</v>
      </c>
      <c r="F218" s="464" t="e">
        <f ca="1">F215-F217*F213</f>
        <v>#N/A</v>
      </c>
    </row>
    <row r="219" spans="1:9" s="65" customFormat="1" ht="13.5" outlineLevel="1" thickBot="1" x14ac:dyDescent="0.25">
      <c r="A219" s="664"/>
      <c r="B219" s="152" t="s">
        <v>99</v>
      </c>
      <c r="C219" s="465" t="e">
        <f ca="1">C217*C211+C218</f>
        <v>#N/A</v>
      </c>
      <c r="D219" s="465" t="e">
        <f ca="1">D217*D211+D218</f>
        <v>#N/A</v>
      </c>
      <c r="E219" s="465" t="e">
        <f ca="1">E217*E211+E218</f>
        <v>#N/A</v>
      </c>
      <c r="F219" s="466" t="e">
        <f ca="1">F217*F211+F218</f>
        <v>#N/A</v>
      </c>
    </row>
    <row r="220" spans="1:9" s="65" customFormat="1" ht="13.5" thickBot="1" x14ac:dyDescent="0.25">
      <c r="A220" s="155"/>
      <c r="C220" s="184"/>
      <c r="D220" s="184"/>
      <c r="E220" s="184"/>
      <c r="F220" s="184"/>
    </row>
    <row r="221" spans="1:9" s="65" customFormat="1" ht="12.75" customHeight="1" outlineLevel="1" x14ac:dyDescent="0.2">
      <c r="A221" s="662" t="s">
        <v>107</v>
      </c>
      <c r="B221" s="170" t="s">
        <v>344</v>
      </c>
      <c r="C221" s="469" t="e">
        <f>C$19</f>
        <v>#N/A</v>
      </c>
      <c r="D221" s="469" t="e">
        <f>D$19</f>
        <v>#N/A</v>
      </c>
      <c r="E221" s="469" t="e">
        <f>E$19</f>
        <v>#N/A</v>
      </c>
      <c r="F221" s="470" t="e">
        <f>F$19</f>
        <v>#N/A</v>
      </c>
    </row>
    <row r="222" spans="1:9" s="65" customFormat="1" outlineLevel="1" x14ac:dyDescent="0.2">
      <c r="A222" s="663"/>
      <c r="B222" s="87" t="s">
        <v>252</v>
      </c>
      <c r="C222" s="451">
        <f>VLOOKUP("EDW WF",'Table References'!$D$37:$E$44,2)</f>
        <v>32</v>
      </c>
      <c r="D222" s="451">
        <f>VLOOKUP("EDW WF",'Table References'!$D$37:$E$44,2)</f>
        <v>32</v>
      </c>
      <c r="E222" s="451">
        <f>VLOOKUP("EDW WF",'Table References'!$D$37:$E$44,2)</f>
        <v>32</v>
      </c>
      <c r="F222" s="471">
        <f>VLOOKUP("EDW WF",'Table References'!$D$37:$E$44,2)</f>
        <v>32</v>
      </c>
    </row>
    <row r="223" spans="1:9" s="65" customFormat="1" outlineLevel="1" x14ac:dyDescent="0.2">
      <c r="A223" s="663"/>
      <c r="B223" s="1" t="s">
        <v>119</v>
      </c>
      <c r="C223" s="451" t="e">
        <f>INDEX('Table References'!$D$3:$G$34,C222,MATCH(C221,'Table References'!$D$2:$G$2,0))</f>
        <v>#N/A</v>
      </c>
      <c r="D223" s="451" t="e">
        <f>INDEX('Table References'!$D$3:$G$34,D222,MATCH(D221,'Table References'!$D$2:$G$2,0))</f>
        <v>#N/A</v>
      </c>
      <c r="E223" s="451" t="e">
        <f>INDEX('Table References'!$D$3:$G$34,E222,MATCH(E221,'Table References'!$D$2:$G$2,0))</f>
        <v>#N/A</v>
      </c>
      <c r="F223" s="471" t="e">
        <f>INDEX('Table References'!$D$3:$G$34,F222,MATCH(F221,'Table References'!$D$2:$G$2,0))</f>
        <v>#N/A</v>
      </c>
    </row>
    <row r="224" spans="1:9" s="65" customFormat="1" outlineLevel="1" x14ac:dyDescent="0.2">
      <c r="A224" s="663"/>
      <c r="B224" s="1" t="s">
        <v>125</v>
      </c>
      <c r="C224" s="451" t="e">
        <f ca="1">ROWS(INDIRECT(C223))</f>
        <v>#N/A</v>
      </c>
      <c r="D224" s="451" t="e">
        <f ca="1">ROWS(INDIRECT(D223))</f>
        <v>#N/A</v>
      </c>
      <c r="E224" s="451" t="e">
        <f ca="1">ROWS(INDIRECT(E223))</f>
        <v>#N/A</v>
      </c>
      <c r="F224" s="471" t="e">
        <f ca="1">ROWS(INDIRECT(F223))</f>
        <v>#N/A</v>
      </c>
    </row>
    <row r="225" spans="1:11" s="65" customFormat="1" outlineLevel="1" x14ac:dyDescent="0.2">
      <c r="A225" s="663"/>
      <c r="B225" s="1" t="s">
        <v>126</v>
      </c>
      <c r="C225" s="451" t="e">
        <f ca="1">COLUMNS(INDIRECT(C223))</f>
        <v>#N/A</v>
      </c>
      <c r="D225" s="451" t="e">
        <f ca="1">COLUMNS(INDIRECT(D223))</f>
        <v>#N/A</v>
      </c>
      <c r="E225" s="451" t="e">
        <f ca="1">COLUMNS(INDIRECT(E223))</f>
        <v>#N/A</v>
      </c>
      <c r="F225" s="471" t="e">
        <f ca="1">COLUMNS(INDIRECT(F223))</f>
        <v>#N/A</v>
      </c>
    </row>
    <row r="226" spans="1:11" s="65" customFormat="1" outlineLevel="1" x14ac:dyDescent="0.2">
      <c r="A226" s="663"/>
      <c r="B226" s="1" t="s">
        <v>159</v>
      </c>
      <c r="C226" s="451">
        <f>C$28</f>
        <v>0</v>
      </c>
      <c r="D226" s="451">
        <f>D$28</f>
        <v>0</v>
      </c>
      <c r="E226" s="451">
        <f>E$28</f>
        <v>0</v>
      </c>
      <c r="F226" s="471">
        <f>F$28</f>
        <v>0</v>
      </c>
    </row>
    <row r="227" spans="1:11" s="65" customFormat="1" outlineLevel="1" x14ac:dyDescent="0.2">
      <c r="A227" s="663"/>
      <c r="B227" s="1" t="s">
        <v>49</v>
      </c>
      <c r="C227" s="451">
        <f>C$27</f>
        <v>0</v>
      </c>
      <c r="D227" s="451">
        <f>D$27</f>
        <v>0</v>
      </c>
      <c r="E227" s="451">
        <f>E$27</f>
        <v>0</v>
      </c>
      <c r="F227" s="471">
        <f>F$27</f>
        <v>0</v>
      </c>
    </row>
    <row r="228" spans="1:11" s="65" customFormat="1" outlineLevel="1" x14ac:dyDescent="0.2">
      <c r="A228" s="663"/>
      <c r="B228" s="1" t="s">
        <v>128</v>
      </c>
      <c r="C228" s="451" t="e">
        <f ca="1">MATCH(C227,OFFSET(INDIRECT(C223),0,0,C224,1),0)</f>
        <v>#N/A</v>
      </c>
      <c r="D228" s="451" t="e">
        <f ca="1">MATCH(D227,OFFSET(INDIRECT(D223),0,0,D224,1),0)</f>
        <v>#N/A</v>
      </c>
      <c r="E228" s="451" t="e">
        <f ca="1">MATCH(E227,OFFSET(INDIRECT(E223),0,0,E224,1),0)</f>
        <v>#N/A</v>
      </c>
      <c r="F228" s="471" t="e">
        <f ca="1">MATCH(F227,OFFSET(INDIRECT(F223),0,0,F224,1),0)</f>
        <v>#N/A</v>
      </c>
    </row>
    <row r="229" spans="1:11" s="65" customFormat="1" outlineLevel="1" x14ac:dyDescent="0.2">
      <c r="A229" s="663"/>
      <c r="B229" s="1" t="s">
        <v>129</v>
      </c>
      <c r="C229" s="451" t="e">
        <f ca="1">MATCH(C226,OFFSET(INDIRECT(C223),0,0,1,C225),0)</f>
        <v>#N/A</v>
      </c>
      <c r="D229" s="451" t="e">
        <f ca="1">MATCH(D226,OFFSET(INDIRECT(D223),0,0,1,D225),0)</f>
        <v>#N/A</v>
      </c>
      <c r="E229" s="451" t="e">
        <f ca="1">MATCH(E226,OFFSET(INDIRECT(E223),0,0,1,E225),0)</f>
        <v>#N/A</v>
      </c>
      <c r="F229" s="471" t="e">
        <f ca="1">MATCH(F226,OFFSET(INDIRECT(F223),0,0,1,F225),0)</f>
        <v>#N/A</v>
      </c>
    </row>
    <row r="230" spans="1:11" s="65" customFormat="1" outlineLevel="1" x14ac:dyDescent="0.2">
      <c r="A230" s="663"/>
      <c r="B230" s="1" t="s">
        <v>61</v>
      </c>
      <c r="C230" s="451" t="e">
        <f ca="1">INDEX(INDIRECT(C223),C228,1)</f>
        <v>#N/A</v>
      </c>
      <c r="D230" s="451" t="e">
        <f ca="1">INDEX(INDIRECT(D223),D228,1)</f>
        <v>#N/A</v>
      </c>
      <c r="E230" s="451" t="e">
        <f ca="1">INDEX(INDIRECT(E223),E228,1)</f>
        <v>#N/A</v>
      </c>
      <c r="F230" s="471" t="e">
        <f ca="1">INDEX(INDIRECT(F223),F228,1)</f>
        <v>#N/A</v>
      </c>
    </row>
    <row r="231" spans="1:11" s="65" customFormat="1" outlineLevel="1" x14ac:dyDescent="0.2">
      <c r="A231" s="663"/>
      <c r="B231" s="1" t="s">
        <v>62</v>
      </c>
      <c r="C231" s="451" t="e">
        <f ca="1">INDEX(INDIRECT(C223),C228+1,1)</f>
        <v>#N/A</v>
      </c>
      <c r="D231" s="451" t="e">
        <f ca="1">INDEX(INDIRECT(D223),D228+1,1)</f>
        <v>#N/A</v>
      </c>
      <c r="E231" s="451" t="e">
        <f ca="1">INDEX(INDIRECT(E223),E228+1,1)</f>
        <v>#N/A</v>
      </c>
      <c r="F231" s="471" t="e">
        <f ca="1">INDEX(INDIRECT(F223),F228+1,1)</f>
        <v>#N/A</v>
      </c>
    </row>
    <row r="232" spans="1:11" s="65" customFormat="1" outlineLevel="1" x14ac:dyDescent="0.2">
      <c r="A232" s="663"/>
      <c r="B232" s="1" t="s">
        <v>63</v>
      </c>
      <c r="C232" s="472" t="e">
        <f ca="1">INDEX(INDIRECT(C223),C228,C229)</f>
        <v>#N/A</v>
      </c>
      <c r="D232" s="472" t="e">
        <f ca="1">INDEX(INDIRECT(D223),D228,D229)</f>
        <v>#N/A</v>
      </c>
      <c r="E232" s="472" t="e">
        <f ca="1">INDEX(INDIRECT(E223),E228,E229)</f>
        <v>#N/A</v>
      </c>
      <c r="F232" s="473" t="e">
        <f ca="1">INDEX(INDIRECT(F223),F228,F229)</f>
        <v>#N/A</v>
      </c>
    </row>
    <row r="233" spans="1:11" outlineLevel="1" x14ac:dyDescent="0.2">
      <c r="A233" s="663"/>
      <c r="B233" s="1" t="s">
        <v>64</v>
      </c>
      <c r="C233" s="472" t="e">
        <f ca="1">INDEX(INDIRECT(C223),C228+1,C229)</f>
        <v>#N/A</v>
      </c>
      <c r="D233" s="472" t="e">
        <f ca="1">INDEX(INDIRECT(D223),D228+1,D229)</f>
        <v>#N/A</v>
      </c>
      <c r="E233" s="472" t="e">
        <f ca="1">INDEX(INDIRECT(E223),E228+1,E229)</f>
        <v>#N/A</v>
      </c>
      <c r="F233" s="473" t="e">
        <f ca="1">INDEX(INDIRECT(F223),F228+1,F229)</f>
        <v>#N/A</v>
      </c>
      <c r="H233" s="65"/>
      <c r="I233" s="65"/>
      <c r="J233" s="65"/>
      <c r="K233" s="65"/>
    </row>
    <row r="234" spans="1:11" outlineLevel="1" x14ac:dyDescent="0.2">
      <c r="A234" s="663"/>
      <c r="B234" s="1" t="s">
        <v>25</v>
      </c>
      <c r="C234" s="451" t="e">
        <f ca="1">(C233-C232)/(C231-C230)</f>
        <v>#N/A</v>
      </c>
      <c r="D234" s="451" t="e">
        <f ca="1">(D233-D232)/(D231-D230)</f>
        <v>#N/A</v>
      </c>
      <c r="E234" s="451" t="e">
        <f ca="1">(E233-E232)/(E231-E230)</f>
        <v>#N/A</v>
      </c>
      <c r="F234" s="471" t="e">
        <f ca="1">(F233-F232)/(F231-F230)</f>
        <v>#N/A</v>
      </c>
      <c r="H234" s="65"/>
      <c r="I234" s="65"/>
      <c r="J234" s="65"/>
      <c r="K234" s="65"/>
    </row>
    <row r="235" spans="1:11" outlineLevel="1" x14ac:dyDescent="0.2">
      <c r="A235" s="663"/>
      <c r="B235" s="1" t="s">
        <v>27</v>
      </c>
      <c r="C235" s="451" t="e">
        <f ca="1">C232-C234*C230</f>
        <v>#N/A</v>
      </c>
      <c r="D235" s="451" t="e">
        <f ca="1">D232-D234*D230</f>
        <v>#N/A</v>
      </c>
      <c r="E235" s="451" t="e">
        <f ca="1">E232-E234*E230</f>
        <v>#N/A</v>
      </c>
      <c r="F235" s="471" t="e">
        <f ca="1">F232-F234*F230</f>
        <v>#N/A</v>
      </c>
      <c r="H235" s="65"/>
      <c r="I235" s="65"/>
      <c r="J235" s="65"/>
      <c r="K235" s="65"/>
    </row>
    <row r="236" spans="1:11" ht="13.5" outlineLevel="1" thickBot="1" x14ac:dyDescent="0.25">
      <c r="A236" s="664"/>
      <c r="B236" s="152" t="s">
        <v>58</v>
      </c>
      <c r="C236" s="474" t="e">
        <f ca="1">C234*C227+C235</f>
        <v>#N/A</v>
      </c>
      <c r="D236" s="474" t="e">
        <f ca="1">D234*D227+D235</f>
        <v>#N/A</v>
      </c>
      <c r="E236" s="474" t="e">
        <f ca="1">E234*E227+E235</f>
        <v>#N/A</v>
      </c>
      <c r="F236" s="475" t="e">
        <f ca="1">F234*F227+F235</f>
        <v>#N/A</v>
      </c>
      <c r="H236" s="65"/>
      <c r="I236" s="65"/>
      <c r="J236" s="65"/>
      <c r="K236" s="65"/>
    </row>
    <row r="237" spans="1:11" x14ac:dyDescent="0.2">
      <c r="B237" s="65"/>
      <c r="C237" s="65"/>
      <c r="D237" s="65"/>
      <c r="E237" s="65"/>
      <c r="F237" s="65"/>
      <c r="H237" s="65"/>
      <c r="I237" s="65"/>
      <c r="J237" s="65"/>
      <c r="K237" s="65"/>
    </row>
    <row r="238" spans="1:11" x14ac:dyDescent="0.2">
      <c r="H238" s="65"/>
      <c r="I238" s="65"/>
      <c r="J238" s="65"/>
      <c r="K238" s="65"/>
    </row>
    <row r="239" spans="1:11" x14ac:dyDescent="0.2">
      <c r="H239" s="65"/>
      <c r="I239" s="65"/>
      <c r="J239" s="65"/>
      <c r="K239" s="65"/>
    </row>
    <row r="240" spans="1:11" x14ac:dyDescent="0.2">
      <c r="H240" s="65"/>
      <c r="I240" s="65"/>
      <c r="J240" s="65"/>
      <c r="K240" s="65"/>
    </row>
    <row r="241" spans="8:11" x14ac:dyDescent="0.2">
      <c r="H241" s="65"/>
      <c r="I241" s="65"/>
      <c r="J241" s="65"/>
      <c r="K241" s="65"/>
    </row>
    <row r="242" spans="8:11" x14ac:dyDescent="0.2">
      <c r="H242" s="65"/>
      <c r="I242" s="65"/>
      <c r="J242" s="65"/>
      <c r="K242" s="65"/>
    </row>
    <row r="243" spans="8:11" x14ac:dyDescent="0.2">
      <c r="H243" s="65"/>
      <c r="I243" s="65"/>
      <c r="J243" s="65"/>
      <c r="K243" s="65"/>
    </row>
    <row r="244" spans="8:11" x14ac:dyDescent="0.2">
      <c r="H244" s="65"/>
      <c r="I244" s="65"/>
      <c r="J244" s="65"/>
      <c r="K244" s="65"/>
    </row>
    <row r="245" spans="8:11" x14ac:dyDescent="0.2">
      <c r="H245" s="65"/>
      <c r="I245" s="65"/>
      <c r="J245" s="65"/>
      <c r="K245" s="65"/>
    </row>
    <row r="246" spans="8:11" x14ac:dyDescent="0.2">
      <c r="H246" s="65"/>
      <c r="I246" s="65"/>
      <c r="J246" s="65"/>
      <c r="K246" s="65"/>
    </row>
    <row r="247" spans="8:11" x14ac:dyDescent="0.2">
      <c r="H247" s="65"/>
      <c r="I247" s="65"/>
      <c r="J247" s="65"/>
      <c r="K247" s="65"/>
    </row>
    <row r="248" spans="8:11" x14ac:dyDescent="0.2">
      <c r="H248" s="65"/>
      <c r="I248" s="65"/>
      <c r="J248" s="65"/>
      <c r="K248" s="65"/>
    </row>
  </sheetData>
  <mergeCells count="12">
    <mergeCell ref="A221:A236"/>
    <mergeCell ref="C11:F11"/>
    <mergeCell ref="B134:C134"/>
    <mergeCell ref="A122:A133"/>
    <mergeCell ref="C32:F32"/>
    <mergeCell ref="A32:A118"/>
    <mergeCell ref="A163:A183"/>
    <mergeCell ref="A141:A161"/>
    <mergeCell ref="A135:A139"/>
    <mergeCell ref="A207:A219"/>
    <mergeCell ref="A185:A205"/>
    <mergeCell ref="B140:C140"/>
  </mergeCells>
  <phoneticPr fontId="0" type="noConversion"/>
  <pageMargins left="0.75" right="0.75" top="1" bottom="1" header="0.5" footer="0.5"/>
  <pageSetup paperSize="154"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4"/>
  <sheetViews>
    <sheetView topLeftCell="A16" zoomScale="106" zoomScaleNormal="106" workbookViewId="0">
      <selection activeCell="F78" sqref="F78"/>
    </sheetView>
  </sheetViews>
  <sheetFormatPr defaultColWidth="8.85546875" defaultRowHeight="11.25" x14ac:dyDescent="0.2"/>
  <cols>
    <col min="1" max="1" width="4.140625" style="185" bestFit="1" customWidth="1"/>
    <col min="2" max="2" width="4" style="185" bestFit="1" customWidth="1"/>
    <col min="3" max="3" width="11.7109375" style="185" bestFit="1" customWidth="1"/>
    <col min="4" max="4" width="29.28515625" style="185" bestFit="1" customWidth="1"/>
    <col min="5" max="7" width="30.85546875" style="185" bestFit="1" customWidth="1"/>
    <col min="8" max="8" width="10" style="185" customWidth="1"/>
    <col min="9" max="16384" width="8.85546875" style="185"/>
  </cols>
  <sheetData>
    <row r="1" spans="1:7" x14ac:dyDescent="0.2">
      <c r="B1" s="186"/>
      <c r="C1" s="187"/>
      <c r="D1" s="674" t="s">
        <v>22</v>
      </c>
      <c r="E1" s="674"/>
      <c r="F1" s="674"/>
      <c r="G1" s="675"/>
    </row>
    <row r="2" spans="1:7" ht="12" thickBot="1" x14ac:dyDescent="0.25">
      <c r="A2" s="692" t="s">
        <v>115</v>
      </c>
      <c r="B2" s="188"/>
      <c r="C2" s="189" t="s">
        <v>122</v>
      </c>
      <c r="D2" s="190" t="s">
        <v>30</v>
      </c>
      <c r="E2" s="190" t="s">
        <v>167</v>
      </c>
      <c r="F2" s="190" t="s">
        <v>168</v>
      </c>
      <c r="G2" s="191" t="s">
        <v>174</v>
      </c>
    </row>
    <row r="3" spans="1:7" x14ac:dyDescent="0.2">
      <c r="A3" s="692"/>
      <c r="B3" s="676" t="s">
        <v>9</v>
      </c>
      <c r="C3" s="187" t="s">
        <v>116</v>
      </c>
      <c r="D3" s="192" t="str">
        <f ca="1">CELL("address",'CL6 6MV'!A86)</f>
        <v>'[MU calc RT v1.3.5.xlsx]CL6 6MV'!$A$86</v>
      </c>
      <c r="E3" s="193" t="str">
        <f ca="1">CELL("address",'6MV'!$A$86)</f>
        <v>'[MU calc RT v1.3.5.xlsx]6MV'!$A$86</v>
      </c>
      <c r="F3" s="193" t="str">
        <f ca="1">CELL("address",'10MV'!A86)</f>
        <v>'[MU calc RT v1.3.5.xlsx]10MV'!$A$86</v>
      </c>
      <c r="G3" s="194" t="str">
        <f ca="1">CELL("address",'15MV'!$A$86)</f>
        <v>'[MU calc RT v1.3.5.xlsx]15MV'!$A$86</v>
      </c>
    </row>
    <row r="4" spans="1:7" x14ac:dyDescent="0.2">
      <c r="A4" s="692"/>
      <c r="B4" s="677"/>
      <c r="C4" s="189" t="s">
        <v>117</v>
      </c>
      <c r="D4" s="195" t="str">
        <f ca="1">CELL("address",'CL6 6MV'!AM124)</f>
        <v>'[MU calc RT v1.3.5.xlsx]CL6 6MV'!$AM$124</v>
      </c>
      <c r="E4" s="196" t="str">
        <f ca="1">CELL("address",'6MV'!$AM$124)</f>
        <v>'[MU calc RT v1.3.5.xlsx]6MV'!$AM$124</v>
      </c>
      <c r="F4" s="196" t="str">
        <f ca="1">CELL("address",'10MV'!$AM$124)</f>
        <v>'[MU calc RT v1.3.5.xlsx]10MV'!$AM$124</v>
      </c>
      <c r="G4" s="197" t="str">
        <f ca="1">CELL("address",'15MV'!$AM$124)</f>
        <v>'[MU calc RT v1.3.5.xlsx]15MV'!$AM$124</v>
      </c>
    </row>
    <row r="5" spans="1:7" x14ac:dyDescent="0.2">
      <c r="A5" s="692"/>
      <c r="B5" s="677"/>
      <c r="C5" s="189" t="s">
        <v>118</v>
      </c>
      <c r="D5" s="188" t="str">
        <f t="shared" ref="D5:F5" ca="1" si="0">MID(D3,SEARCH("]",D3)+1,SEARCH("!",D3)-SEARCH("]",D3))</f>
        <v>CL6 6MV'!</v>
      </c>
      <c r="E5" s="189" t="str">
        <f t="shared" ca="1" si="0"/>
        <v>6MV'!</v>
      </c>
      <c r="F5" s="189" t="str">
        <f t="shared" ca="1" si="0"/>
        <v>10MV'!</v>
      </c>
      <c r="G5" s="198" t="str">
        <f ca="1">MID(G3,SEARCH("]",G3)+1,SEARCH("!",G3)-SEARCH("]",G3))</f>
        <v>15MV'!</v>
      </c>
    </row>
    <row r="6" spans="1:7" ht="12" thickBot="1" x14ac:dyDescent="0.25">
      <c r="A6" s="692"/>
      <c r="B6" s="678"/>
      <c r="C6" s="199" t="s">
        <v>119</v>
      </c>
      <c r="D6" s="200" t="str">
        <f t="shared" ref="D6" ca="1" si="1">CONCATENATE("'",D5,ADDRESS(ROW(INDIRECT(D3)),COLUMN(INDIRECT(D3))),":",ADDRESS(ROW(INDIRECT(D4)),COLUMN(INDIRECT(D4))))</f>
        <v>'CL6 6MV'!$A$86:$AM$124</v>
      </c>
      <c r="E6" s="201" t="str">
        <f t="shared" ref="E6:F6" ca="1" si="2">CONCATENATE("'",E5,ADDRESS(ROW(INDIRECT(E3)),COLUMN(INDIRECT(E3))),":",ADDRESS(ROW(INDIRECT(E4)),COLUMN(INDIRECT(E4))))</f>
        <v>'6MV'!$A$86:$AM$124</v>
      </c>
      <c r="F6" s="201" t="str">
        <f t="shared" ca="1" si="2"/>
        <v>'10MV'!$A$86:$AM$124</v>
      </c>
      <c r="G6" s="202" t="str">
        <f ca="1">CONCATENATE("'",G5,ADDRESS(ROW(INDIRECT(G3)),COLUMN(INDIRECT(G3))),":",ADDRESS(ROW(INDIRECT(G4)),COLUMN(INDIRECT(G4))))</f>
        <v>'15MV'!$A$86:$AM$124</v>
      </c>
    </row>
    <row r="7" spans="1:7" x14ac:dyDescent="0.2">
      <c r="A7" s="692"/>
      <c r="B7" s="676" t="s">
        <v>91</v>
      </c>
      <c r="C7" s="187" t="s">
        <v>116</v>
      </c>
      <c r="D7" s="192" t="str">
        <f ca="1">CELL("address",'CL6 6MV'!A297)</f>
        <v>'[MU calc RT v1.3.5.xlsx]CL6 6MV'!$A$297</v>
      </c>
      <c r="E7" s="193" t="str">
        <f ca="1">CELL("address",'6MV'!$A$297)</f>
        <v>'[MU calc RT v1.3.5.xlsx]6MV'!$A$297</v>
      </c>
      <c r="F7" s="193" t="str">
        <f ca="1">CELL("address",'10MV'!$A$297)</f>
        <v>'[MU calc RT v1.3.5.xlsx]10MV'!$A$297</v>
      </c>
      <c r="G7" s="194" t="str">
        <f ca="1">CELL("address",'15MV'!$A$297)</f>
        <v>'[MU calc RT v1.3.5.xlsx]15MV'!$A$297</v>
      </c>
    </row>
    <row r="8" spans="1:7" x14ac:dyDescent="0.2">
      <c r="A8" s="692"/>
      <c r="B8" s="677"/>
      <c r="C8" s="189" t="s">
        <v>117</v>
      </c>
      <c r="D8" s="195" t="str">
        <f ca="1">CELL("address",'CL6 6MV'!AM335)</f>
        <v>'[MU calc RT v1.3.5.xlsx]CL6 6MV'!$AM$335</v>
      </c>
      <c r="E8" s="196" t="str">
        <f ca="1">CELL("address",'6MV'!$AM$335)</f>
        <v>'[MU calc RT v1.3.5.xlsx]6MV'!$AM$335</v>
      </c>
      <c r="F8" s="196" t="str">
        <f ca="1">CELL("address",'10MV'!$AM$335)</f>
        <v>'[MU calc RT v1.3.5.xlsx]10MV'!$AM$335</v>
      </c>
      <c r="G8" s="197" t="str">
        <f ca="1">CELL("address",'15MV'!$AM$335)</f>
        <v>'[MU calc RT v1.3.5.xlsx]15MV'!$AM$335</v>
      </c>
    </row>
    <row r="9" spans="1:7" x14ac:dyDescent="0.2">
      <c r="A9" s="692"/>
      <c r="B9" s="677"/>
      <c r="C9" s="189" t="s">
        <v>118</v>
      </c>
      <c r="D9" s="188" t="str">
        <f t="shared" ref="D9:F9" ca="1" si="3">MID(D7,SEARCH("]",D7)+1,SEARCH("!",D7)-SEARCH("]",D7))</f>
        <v>CL6 6MV'!</v>
      </c>
      <c r="E9" s="189" t="str">
        <f t="shared" ca="1" si="3"/>
        <v>6MV'!</v>
      </c>
      <c r="F9" s="189" t="str">
        <f t="shared" ca="1" si="3"/>
        <v>10MV'!</v>
      </c>
      <c r="G9" s="198" t="str">
        <f ca="1">MID(G7,SEARCH("]",G7)+1,SEARCH("!",G7)-SEARCH("]",G7))</f>
        <v>15MV'!</v>
      </c>
    </row>
    <row r="10" spans="1:7" ht="12" thickBot="1" x14ac:dyDescent="0.25">
      <c r="A10" s="692"/>
      <c r="B10" s="678"/>
      <c r="C10" s="199" t="s">
        <v>119</v>
      </c>
      <c r="D10" s="200" t="str">
        <f t="shared" ref="D10:F10" ca="1" si="4">CONCATENATE("'",D9,ADDRESS(ROW(INDIRECT(D7)),COLUMN(INDIRECT(D7))),":",ADDRESS(ROW(INDIRECT(D8)),COLUMN(INDIRECT(D8))))</f>
        <v>'CL6 6MV'!$A$297:$AM$335</v>
      </c>
      <c r="E10" s="201" t="str">
        <f t="shared" ca="1" si="4"/>
        <v>'6MV'!$A$297:$AM$335</v>
      </c>
      <c r="F10" s="201" t="str">
        <f t="shared" ca="1" si="4"/>
        <v>'10MV'!$A$297:$AM$335</v>
      </c>
      <c r="G10" s="202" t="str">
        <f ca="1">CONCATENATE("'",G9,ADDRESS(ROW(INDIRECT(G7)),COLUMN(INDIRECT(G7))),":",ADDRESS(ROW(INDIRECT(G8)),COLUMN(INDIRECT(G8))))</f>
        <v>'15MV'!$A$297:$AM$335</v>
      </c>
    </row>
    <row r="11" spans="1:7" x14ac:dyDescent="0.2">
      <c r="A11" s="692"/>
      <c r="B11" s="684" t="s">
        <v>280</v>
      </c>
      <c r="C11" s="187" t="s">
        <v>116</v>
      </c>
      <c r="D11" s="192" t="str">
        <f ca="1">CELL("address",'CL6 6MV'!A16)</f>
        <v>'[MU calc RT v1.3.5.xlsx]CL6 6MV'!$A$16</v>
      </c>
      <c r="E11" s="193" t="str">
        <f ca="1">CELL("address",'6MV'!A16)</f>
        <v>'[MU calc RT v1.3.5.xlsx]6MV'!$A$16</v>
      </c>
      <c r="F11" s="193" t="str">
        <f ca="1">CELL("address",'10MV'!A16)</f>
        <v>'[MU calc RT v1.3.5.xlsx]10MV'!$A$16</v>
      </c>
      <c r="G11" s="194" t="str">
        <f ca="1">CELL("address",'15MV'!A16)</f>
        <v>'[MU calc RT v1.3.5.xlsx]15MV'!$A$16</v>
      </c>
    </row>
    <row r="12" spans="1:7" x14ac:dyDescent="0.2">
      <c r="A12" s="692"/>
      <c r="B12" s="685"/>
      <c r="C12" s="189" t="s">
        <v>117</v>
      </c>
      <c r="D12" s="195" t="str">
        <f ca="1">CELL("address",'CL6 6MV'!B16)</f>
        <v>'[MU calc RT v1.3.5.xlsx]CL6 6MV'!$B$16</v>
      </c>
      <c r="E12" s="196" t="str">
        <f ca="1">CELL("address",'6MV'!B16)</f>
        <v>'[MU calc RT v1.3.5.xlsx]6MV'!$B$16</v>
      </c>
      <c r="F12" s="196" t="str">
        <f ca="1">CELL("address",'10MV'!B16)</f>
        <v>'[MU calc RT v1.3.5.xlsx]10MV'!$B$16</v>
      </c>
      <c r="G12" s="197" t="str">
        <f ca="1">CELL("address",'15MV'!B16)</f>
        <v>'[MU calc RT v1.3.5.xlsx]15MV'!$B$16</v>
      </c>
    </row>
    <row r="13" spans="1:7" x14ac:dyDescent="0.2">
      <c r="A13" s="692"/>
      <c r="B13" s="685"/>
      <c r="C13" s="189" t="s">
        <v>118</v>
      </c>
      <c r="D13" s="188" t="str">
        <f t="shared" ref="D13:F13" ca="1" si="5">MID(D11,SEARCH("]",D11)+1,SEARCH("!",D11)-SEARCH("]",D11))</f>
        <v>CL6 6MV'!</v>
      </c>
      <c r="E13" s="189" t="str">
        <f t="shared" ca="1" si="5"/>
        <v>6MV'!</v>
      </c>
      <c r="F13" s="189" t="str">
        <f t="shared" ca="1" si="5"/>
        <v>10MV'!</v>
      </c>
      <c r="G13" s="198" t="str">
        <f ca="1">MID(G11,SEARCH("]",G11)+1,SEARCH("!",G11)-SEARCH("]",G11))</f>
        <v>15MV'!</v>
      </c>
    </row>
    <row r="14" spans="1:7" ht="12" thickBot="1" x14ac:dyDescent="0.25">
      <c r="A14" s="692"/>
      <c r="B14" s="686"/>
      <c r="C14" s="199" t="s">
        <v>119</v>
      </c>
      <c r="D14" s="200" t="str">
        <f t="shared" ref="D14:F14" ca="1" si="6">CONCATENATE("'",D13,ADDRESS(ROW(INDIRECT(D11)),COLUMN(INDIRECT(D11))),":",ADDRESS(ROW(INDIRECT(D12)),COLUMN(INDIRECT(D12))))</f>
        <v>'CL6 6MV'!$A$16:$B$16</v>
      </c>
      <c r="E14" s="201" t="str">
        <f t="shared" ca="1" si="6"/>
        <v>'6MV'!$A$16:$B$16</v>
      </c>
      <c r="F14" s="201" t="str">
        <f t="shared" ca="1" si="6"/>
        <v>'10MV'!$A$16:$B$16</v>
      </c>
      <c r="G14" s="202" t="str">
        <f ca="1">CONCATENATE("'",G13,ADDRESS(ROW(INDIRECT(G11)),COLUMN(INDIRECT(G11))),":",ADDRESS(ROW(INDIRECT(G12)),COLUMN(INDIRECT(G12))))</f>
        <v>'15MV'!$A$16:$B$16</v>
      </c>
    </row>
    <row r="15" spans="1:7" ht="11.25" customHeight="1" x14ac:dyDescent="0.2">
      <c r="A15" s="692"/>
      <c r="B15" s="684" t="s">
        <v>348</v>
      </c>
      <c r="C15" s="187" t="s">
        <v>116</v>
      </c>
      <c r="D15" s="192" t="str">
        <f ca="1">CELL("address",'CL6 6MV'!A20)</f>
        <v>'[MU calc RT v1.3.5.xlsx]CL6 6MV'!$A$20</v>
      </c>
      <c r="E15" s="193" t="str">
        <f ca="1">CELL("address",'6MV'!A20)</f>
        <v>'[MU calc RT v1.3.5.xlsx]6MV'!$A$20</v>
      </c>
      <c r="F15" s="193" t="str">
        <f ca="1">CELL("address",'10MV'!A20)</f>
        <v>'[MU calc RT v1.3.5.xlsx]10MV'!$A$20</v>
      </c>
      <c r="G15" s="194" t="str">
        <f ca="1">CELL("address",'15MV'!A20)</f>
        <v>'[MU calc RT v1.3.5.xlsx]15MV'!$A$20</v>
      </c>
    </row>
    <row r="16" spans="1:7" x14ac:dyDescent="0.2">
      <c r="A16" s="692"/>
      <c r="B16" s="685"/>
      <c r="C16" s="189" t="s">
        <v>117</v>
      </c>
      <c r="D16" s="195" t="str">
        <f ca="1">CELL("address",'CL6 6MV'!B24)</f>
        <v>'[MU calc RT v1.3.5.xlsx]CL6 6MV'!$B$24</v>
      </c>
      <c r="E16" s="196" t="str">
        <f ca="1">CELL("address",'6MV'!B24)</f>
        <v>'[MU calc RT v1.3.5.xlsx]6MV'!$B$24</v>
      </c>
      <c r="F16" s="196" t="str">
        <f ca="1">CELL("address",'10MV'!B24)</f>
        <v>'[MU calc RT v1.3.5.xlsx]10MV'!$B$24</v>
      </c>
      <c r="G16" s="197" t="str">
        <f ca="1">CELL("address",'15MV'!B24)</f>
        <v>'[MU calc RT v1.3.5.xlsx]15MV'!$B$24</v>
      </c>
    </row>
    <row r="17" spans="1:7" x14ac:dyDescent="0.2">
      <c r="A17" s="692"/>
      <c r="B17" s="685"/>
      <c r="C17" s="189" t="s">
        <v>118</v>
      </c>
      <c r="D17" s="188" t="str">
        <f t="shared" ref="D17:F17" ca="1" si="7">MID(D15,SEARCH("]",D15)+1,SEARCH("!",D15)-SEARCH("]",D15))</f>
        <v>CL6 6MV'!</v>
      </c>
      <c r="E17" s="189" t="str">
        <f t="shared" ca="1" si="7"/>
        <v>6MV'!</v>
      </c>
      <c r="F17" s="189" t="str">
        <f t="shared" ca="1" si="7"/>
        <v>10MV'!</v>
      </c>
      <c r="G17" s="198" t="str">
        <f ca="1">MID(G15,SEARCH("]",G15)+1,SEARCH("!",G15)-SEARCH("]",G15))</f>
        <v>15MV'!</v>
      </c>
    </row>
    <row r="18" spans="1:7" ht="12" thickBot="1" x14ac:dyDescent="0.25">
      <c r="A18" s="692"/>
      <c r="B18" s="686"/>
      <c r="C18" s="199" t="s">
        <v>119</v>
      </c>
      <c r="D18" s="200" t="str">
        <f t="shared" ref="D18:F18" ca="1" si="8">CONCATENATE("'",D17,ADDRESS(ROW(INDIRECT(D15)),COLUMN(INDIRECT(D15))),":",ADDRESS(ROW(INDIRECT(D16)),COLUMN(INDIRECT(D16))))</f>
        <v>'CL6 6MV'!$A$20:$B$24</v>
      </c>
      <c r="E18" s="201" t="str">
        <f t="shared" ca="1" si="8"/>
        <v>'6MV'!$A$20:$B$24</v>
      </c>
      <c r="F18" s="201" t="str">
        <f t="shared" ca="1" si="8"/>
        <v>'10MV'!$A$20:$B$24</v>
      </c>
      <c r="G18" s="202" t="str">
        <f ca="1">CONCATENATE("'",G17,ADDRESS(ROW(INDIRECT(G15)),COLUMN(INDIRECT(G15))),":",ADDRESS(ROW(INDIRECT(G16)),COLUMN(INDIRECT(G16))))</f>
        <v>'15MV'!$A$20:$B$24</v>
      </c>
    </row>
    <row r="19" spans="1:7" ht="11.25" customHeight="1" x14ac:dyDescent="0.2">
      <c r="A19" s="692"/>
      <c r="B19" s="676" t="s">
        <v>197</v>
      </c>
      <c r="C19" s="187" t="s">
        <v>116</v>
      </c>
      <c r="D19" s="192" t="str">
        <f ca="1">CELL("address",'CL6 6MV'!A4)</f>
        <v>'[MU calc RT v1.3.5.xlsx]CL6 6MV'!$A$4</v>
      </c>
      <c r="E19" s="193" t="str">
        <f ca="1">CELL("address",'6MV'!A4)</f>
        <v>'[MU calc RT v1.3.5.xlsx]6MV'!$A$4</v>
      </c>
      <c r="F19" s="193" t="str">
        <f ca="1">CELL("address",'10MV'!A4)</f>
        <v>'[MU calc RT v1.3.5.xlsx]10MV'!$A$4</v>
      </c>
      <c r="G19" s="194" t="str">
        <f ca="1">CELL("address",'15MV'!A4)</f>
        <v>'[MU calc RT v1.3.5.xlsx]15MV'!$A$4</v>
      </c>
    </row>
    <row r="20" spans="1:7" x14ac:dyDescent="0.2">
      <c r="A20" s="692"/>
      <c r="B20" s="677"/>
      <c r="C20" s="189" t="s">
        <v>117</v>
      </c>
      <c r="D20" s="195" t="str">
        <f ca="1">CELL("address",'CL6 6MV'!C12)</f>
        <v>'[MU calc RT v1.3.5.xlsx]CL6 6MV'!$C$12</v>
      </c>
      <c r="E20" s="196" t="str">
        <f ca="1">CELL("address",'6MV'!C12)</f>
        <v>'[MU calc RT v1.3.5.xlsx]6MV'!$C$12</v>
      </c>
      <c r="F20" s="196" t="str">
        <f ca="1">CELL("address",'10MV'!C12)</f>
        <v>'[MU calc RT v1.3.5.xlsx]10MV'!$C$12</v>
      </c>
      <c r="G20" s="197" t="str">
        <f ca="1">CELL("address",'15MV'!C12)</f>
        <v>'[MU calc RT v1.3.5.xlsx]15MV'!$C$12</v>
      </c>
    </row>
    <row r="21" spans="1:7" x14ac:dyDescent="0.2">
      <c r="A21" s="692"/>
      <c r="B21" s="677"/>
      <c r="C21" s="189" t="s">
        <v>118</v>
      </c>
      <c r="D21" s="188" t="str">
        <f t="shared" ref="D21:F21" ca="1" si="9">MID(D19,SEARCH("]",D19)+1,SEARCH("!",D19)-SEARCH("]",D19))</f>
        <v>CL6 6MV'!</v>
      </c>
      <c r="E21" s="189" t="str">
        <f t="shared" ca="1" si="9"/>
        <v>6MV'!</v>
      </c>
      <c r="F21" s="189" t="str">
        <f t="shared" ca="1" si="9"/>
        <v>10MV'!</v>
      </c>
      <c r="G21" s="198" t="str">
        <f ca="1">MID(G19,SEARCH("]",G19)+1,SEARCH("!",G19)-SEARCH("]",G19))</f>
        <v>15MV'!</v>
      </c>
    </row>
    <row r="22" spans="1:7" ht="12" thickBot="1" x14ac:dyDescent="0.25">
      <c r="A22" s="692"/>
      <c r="B22" s="678"/>
      <c r="C22" s="199" t="s">
        <v>119</v>
      </c>
      <c r="D22" s="200" t="str">
        <f t="shared" ref="D22:F22" ca="1" si="10">CONCATENATE("'",D21,ADDRESS(ROW(INDIRECT(D19)),COLUMN(INDIRECT(D19))),":",ADDRESS(ROW(INDIRECT(D20)),COLUMN(INDIRECT(D20))))</f>
        <v>'CL6 6MV'!$A$4:$C$12</v>
      </c>
      <c r="E22" s="201" t="str">
        <f t="shared" ca="1" si="10"/>
        <v>'6MV'!$A$4:$C$12</v>
      </c>
      <c r="F22" s="201" t="str">
        <f t="shared" ca="1" si="10"/>
        <v>'10MV'!$A$4:$C$12</v>
      </c>
      <c r="G22" s="202" t="str">
        <f ca="1">CONCATENATE("'",G21,ADDRESS(ROW(INDIRECT(G19)),COLUMN(INDIRECT(G19))),":",ADDRESS(ROW(INDIRECT(G20)),COLUMN(INDIRECT(G20))))</f>
        <v>'15MV'!$A$4:$C$12</v>
      </c>
    </row>
    <row r="23" spans="1:7" x14ac:dyDescent="0.2">
      <c r="A23" s="692"/>
      <c r="B23" s="676" t="s">
        <v>8</v>
      </c>
      <c r="C23" s="187" t="s">
        <v>116</v>
      </c>
      <c r="D23" s="192" t="str">
        <f ca="1">CELL("address",'CL6 6MV'!$A$29)</f>
        <v>'[MU calc RT v1.3.5.xlsx]CL6 6MV'!$A$29</v>
      </c>
      <c r="E23" s="193" t="str">
        <f ca="1">CELL("address",'6MV'!$A$29)</f>
        <v>'[MU calc RT v1.3.5.xlsx]6MV'!$A$29</v>
      </c>
      <c r="F23" s="193" t="str">
        <f ca="1">CELL("address",'10MV'!$A$29)</f>
        <v>'[MU calc RT v1.3.5.xlsx]10MV'!$A$29</v>
      </c>
      <c r="G23" s="194" t="str">
        <f ca="1">CELL("address",'15MV'!$A$29)</f>
        <v>'[MU calc RT v1.3.5.xlsx]15MV'!$A$29</v>
      </c>
    </row>
    <row r="24" spans="1:7" x14ac:dyDescent="0.2">
      <c r="A24" s="692"/>
      <c r="B24" s="677"/>
      <c r="C24" s="189" t="s">
        <v>117</v>
      </c>
      <c r="D24" s="195" t="str">
        <f ca="1">CELL("address",'CL6 6MV'!$BG$81)</f>
        <v>'[MU calc RT v1.3.5.xlsx]CL6 6MV'!$BG$81</v>
      </c>
      <c r="E24" s="196" t="str">
        <f ca="1">CELL("address",'6MV'!$BG$81)</f>
        <v>'[MU calc RT v1.3.5.xlsx]6MV'!$BG$81</v>
      </c>
      <c r="F24" s="196" t="str">
        <f ca="1">CELL("address",'10MV'!$BG$81)</f>
        <v>'[MU calc RT v1.3.5.xlsx]10MV'!$BG$81</v>
      </c>
      <c r="G24" s="197" t="str">
        <f ca="1">CELL("address",'15MV'!$BG$81)</f>
        <v>'[MU calc RT v1.3.5.xlsx]15MV'!$BG$81</v>
      </c>
    </row>
    <row r="25" spans="1:7" x14ac:dyDescent="0.2">
      <c r="A25" s="692"/>
      <c r="B25" s="677"/>
      <c r="C25" s="189" t="s">
        <v>118</v>
      </c>
      <c r="D25" s="188" t="str">
        <f t="shared" ref="D25:F25" ca="1" si="11">MID(D23,SEARCH("]",D23)+1,SEARCH("!",D23)-SEARCH("]",D23))</f>
        <v>CL6 6MV'!</v>
      </c>
      <c r="E25" s="189" t="str">
        <f t="shared" ca="1" si="11"/>
        <v>6MV'!</v>
      </c>
      <c r="F25" s="189" t="str">
        <f t="shared" ca="1" si="11"/>
        <v>10MV'!</v>
      </c>
      <c r="G25" s="198" t="str">
        <f ca="1">MID(G23,SEARCH("]",G23)+1,SEARCH("!",G23)-SEARCH("]",G23))</f>
        <v>15MV'!</v>
      </c>
    </row>
    <row r="26" spans="1:7" ht="12" thickBot="1" x14ac:dyDescent="0.25">
      <c r="A26" s="692"/>
      <c r="B26" s="678"/>
      <c r="C26" s="199" t="s">
        <v>119</v>
      </c>
      <c r="D26" s="200" t="str">
        <f t="shared" ref="D26:F26" ca="1" si="12">CONCATENATE("'",D25,ADDRESS(ROW(INDIRECT(D23)),COLUMN(INDIRECT(D23))),":",ADDRESS(ROW(INDIRECT(D24)),COLUMN(INDIRECT(D24))))</f>
        <v>'CL6 6MV'!$A$29:$BG$81</v>
      </c>
      <c r="E26" s="201" t="str">
        <f t="shared" ca="1" si="12"/>
        <v>'6MV'!$A$29:$BG$81</v>
      </c>
      <c r="F26" s="201" t="str">
        <f t="shared" ca="1" si="12"/>
        <v>'10MV'!$A$29:$BG$81</v>
      </c>
      <c r="G26" s="202" t="str">
        <f ca="1">CONCATENATE("'",G25,ADDRESS(ROW(INDIRECT(G23)),COLUMN(INDIRECT(G23))),":",ADDRESS(ROW(INDIRECT(G24)),COLUMN(INDIRECT(G24))))</f>
        <v>'15MV'!$A$29:$BG$81</v>
      </c>
    </row>
    <row r="27" spans="1:7" x14ac:dyDescent="0.2">
      <c r="A27" s="692"/>
      <c r="B27" s="676" t="s">
        <v>99</v>
      </c>
      <c r="C27" s="187" t="s">
        <v>116</v>
      </c>
      <c r="D27" s="192" t="str">
        <f ca="1">CELL("address",'CL6 6MV'!$A$235)</f>
        <v>'[MU calc RT v1.3.5.xlsx]CL6 6MV'!$A$235</v>
      </c>
      <c r="E27" s="193" t="str">
        <f ca="1">CELL("address",'6MV'!$A$235)</f>
        <v>'[MU calc RT v1.3.5.xlsx]6MV'!$A$235</v>
      </c>
      <c r="F27" s="193" t="str">
        <f ca="1">CELL("address",'10MV'!$A$235)</f>
        <v>'[MU calc RT v1.3.5.xlsx]10MV'!$A$235</v>
      </c>
      <c r="G27" s="194" t="str">
        <f ca="1">CELL("address",'15MV'!$A$235)</f>
        <v>'[MU calc RT v1.3.5.xlsx]15MV'!$A$235</v>
      </c>
    </row>
    <row r="28" spans="1:7" x14ac:dyDescent="0.2">
      <c r="A28" s="692"/>
      <c r="B28" s="677"/>
      <c r="C28" s="189" t="s">
        <v>117</v>
      </c>
      <c r="D28" s="195" t="str">
        <f ca="1">CELL("address",'CL6 6MV'!$B$292)</f>
        <v>'[MU calc RT v1.3.5.xlsx]CL6 6MV'!$B$292</v>
      </c>
      <c r="E28" s="196" t="str">
        <f ca="1">CELL("address",'6MV'!$B$292)</f>
        <v>'[MU calc RT v1.3.5.xlsx]6MV'!$B$292</v>
      </c>
      <c r="F28" s="196" t="str">
        <f ca="1">CELL("address",'10MV'!$B$292)</f>
        <v>'[MU calc RT v1.3.5.xlsx]10MV'!$B$292</v>
      </c>
      <c r="G28" s="197" t="str">
        <f ca="1">CELL("address",'15MV'!$B$292)</f>
        <v>'[MU calc RT v1.3.5.xlsx]15MV'!$B$292</v>
      </c>
    </row>
    <row r="29" spans="1:7" x14ac:dyDescent="0.2">
      <c r="A29" s="692"/>
      <c r="B29" s="677"/>
      <c r="C29" s="189" t="s">
        <v>118</v>
      </c>
      <c r="D29" s="188" t="str">
        <f t="shared" ref="D29:F29" ca="1" si="13">MID(D27,SEARCH("]",D27)+1,SEARCH("!",D27)-SEARCH("]",D27))</f>
        <v>CL6 6MV'!</v>
      </c>
      <c r="E29" s="189" t="str">
        <f t="shared" ca="1" si="13"/>
        <v>6MV'!</v>
      </c>
      <c r="F29" s="189" t="str">
        <f t="shared" ca="1" si="13"/>
        <v>10MV'!</v>
      </c>
      <c r="G29" s="198" t="str">
        <f ca="1">MID(G27,SEARCH("]",G27)+1,SEARCH("!",G27)-SEARCH("]",G27))</f>
        <v>15MV'!</v>
      </c>
    </row>
    <row r="30" spans="1:7" ht="12" thickBot="1" x14ac:dyDescent="0.25">
      <c r="A30" s="692"/>
      <c r="B30" s="678"/>
      <c r="C30" s="199" t="s">
        <v>119</v>
      </c>
      <c r="D30" s="200" t="str">
        <f t="shared" ref="D30:F30" ca="1" si="14">CONCATENATE("'",D29,ADDRESS(ROW(INDIRECT(D27)),COLUMN(INDIRECT(D27))),":",ADDRESS(ROW(INDIRECT(D28)),COLUMN(INDIRECT(D28))))</f>
        <v>'CL6 6MV'!$A$235:$B$292</v>
      </c>
      <c r="E30" s="201" t="str">
        <f t="shared" ca="1" si="14"/>
        <v>'6MV'!$A$235:$B$292</v>
      </c>
      <c r="F30" s="201" t="str">
        <f t="shared" ca="1" si="14"/>
        <v>'10MV'!$A$235:$B$292</v>
      </c>
      <c r="G30" s="202" t="str">
        <f ca="1">CONCATENATE("'",G29,ADDRESS(ROW(INDIRECT(G27)),COLUMN(INDIRECT(G27))),":",ADDRESS(ROW(INDIRECT(G28)),COLUMN(INDIRECT(G28))))</f>
        <v>'15MV'!$A$235:$B$292</v>
      </c>
    </row>
    <row r="31" spans="1:7" x14ac:dyDescent="0.2">
      <c r="B31" s="676" t="s">
        <v>66</v>
      </c>
      <c r="C31" s="187" t="s">
        <v>116</v>
      </c>
      <c r="D31" s="192" t="str">
        <f ca="1">CELL("address",'CL6 6MV'!$A$129)</f>
        <v>'[MU calc RT v1.3.5.xlsx]CL6 6MV'!$A$129</v>
      </c>
      <c r="E31" s="193" t="str">
        <f ca="1">CELL("address",'6MV'!$A$129)</f>
        <v>'[MU calc RT v1.3.5.xlsx]6MV'!$A$129</v>
      </c>
      <c r="F31" s="193" t="str">
        <f ca="1">CELL("address",'10MV'!$A$129)</f>
        <v>'[MU calc RT v1.3.5.xlsx]10MV'!$A$129</v>
      </c>
      <c r="G31" s="194" t="str">
        <f ca="1">CELL("address",'15MV'!$A$129)</f>
        <v>'[MU calc RT v1.3.5.xlsx]15MV'!$A$129</v>
      </c>
    </row>
    <row r="32" spans="1:7" x14ac:dyDescent="0.2">
      <c r="B32" s="677"/>
      <c r="C32" s="189" t="s">
        <v>117</v>
      </c>
      <c r="D32" s="195" t="str">
        <f ca="1">CELL("address",'CL6 6MV'!$H$231)</f>
        <v>'[MU calc RT v1.3.5.xlsx]CL6 6MV'!$H$231</v>
      </c>
      <c r="E32" s="196" t="str">
        <f ca="1">CELL("address",'6MV'!$H$231)</f>
        <v>'[MU calc RT v1.3.5.xlsx]6MV'!$H$231</v>
      </c>
      <c r="F32" s="196" t="str">
        <f ca="1">CELL("address",'10MV'!$H$231)</f>
        <v>'[MU calc RT v1.3.5.xlsx]10MV'!$H$231</v>
      </c>
      <c r="G32" s="197" t="str">
        <f ca="1">CELL("address",'15MV'!$H$231)</f>
        <v>'[MU calc RT v1.3.5.xlsx]15MV'!$H$231</v>
      </c>
    </row>
    <row r="33" spans="2:15" x14ac:dyDescent="0.2">
      <c r="B33" s="677"/>
      <c r="C33" s="189" t="s">
        <v>118</v>
      </c>
      <c r="D33" s="188" t="str">
        <f t="shared" ref="D33:F33" ca="1" si="15">MID(D31,SEARCH("]",D31)+1,SEARCH("!",D31)-SEARCH("]",D31))</f>
        <v>CL6 6MV'!</v>
      </c>
      <c r="E33" s="189" t="str">
        <f t="shared" ca="1" si="15"/>
        <v>6MV'!</v>
      </c>
      <c r="F33" s="189" t="str">
        <f t="shared" ca="1" si="15"/>
        <v>10MV'!</v>
      </c>
      <c r="G33" s="198" t="str">
        <f ca="1">MID(G31,SEARCH("]",G31)+1,SEARCH("!",G31)-SEARCH("]",G31))</f>
        <v>15MV'!</v>
      </c>
    </row>
    <row r="34" spans="2:15" ht="12" thickBot="1" x14ac:dyDescent="0.25">
      <c r="B34" s="678"/>
      <c r="C34" s="199" t="s">
        <v>119</v>
      </c>
      <c r="D34" s="200" t="str">
        <f t="shared" ref="D34:F34" ca="1" si="16">CONCATENATE("'",D33,ADDRESS(ROW(INDIRECT(D31)),COLUMN(INDIRECT(D31))),":",ADDRESS(ROW(INDIRECT(D32)),COLUMN(INDIRECT(D32))))</f>
        <v>'CL6 6MV'!$A$129:$H$231</v>
      </c>
      <c r="E34" s="201" t="str">
        <f t="shared" ca="1" si="16"/>
        <v>'6MV'!$A$129:$H$231</v>
      </c>
      <c r="F34" s="201" t="str">
        <f t="shared" ca="1" si="16"/>
        <v>'10MV'!$A$129:$H$231</v>
      </c>
      <c r="G34" s="202" t="str">
        <f ca="1">CONCATENATE("'",G33,ADDRESS(ROW(INDIRECT(G31)),COLUMN(INDIRECT(G31))),":",ADDRESS(ROW(INDIRECT(G32)),COLUMN(INDIRECT(G32))))</f>
        <v>'15MV'!$A$129:$H$231</v>
      </c>
    </row>
    <row r="35" spans="2:15" s="65" customFormat="1" ht="13.5" thickBot="1" x14ac:dyDescent="0.25"/>
    <row r="36" spans="2:15" s="65" customFormat="1" ht="12.75" x14ac:dyDescent="0.2">
      <c r="C36" s="185"/>
      <c r="D36" s="682" t="s">
        <v>281</v>
      </c>
      <c r="E36" s="683"/>
    </row>
    <row r="37" spans="2:15" s="65" customFormat="1" ht="12.75" x14ac:dyDescent="0.2">
      <c r="C37" s="185"/>
      <c r="D37" s="203" t="s">
        <v>66</v>
      </c>
      <c r="E37" s="150">
        <f>ROWS(D3:D34)</f>
        <v>32</v>
      </c>
    </row>
    <row r="38" spans="2:15" s="65" customFormat="1" ht="12.75" x14ac:dyDescent="0.2">
      <c r="C38" s="185"/>
      <c r="D38" s="204" t="s">
        <v>280</v>
      </c>
      <c r="E38" s="150">
        <f>ROWS(D3:D14)</f>
        <v>12</v>
      </c>
    </row>
    <row r="39" spans="2:15" s="65" customFormat="1" ht="12.75" x14ac:dyDescent="0.2">
      <c r="C39" s="185"/>
      <c r="D39" s="203" t="s">
        <v>197</v>
      </c>
      <c r="E39" s="150">
        <f>ROWS(D3:D22)</f>
        <v>20</v>
      </c>
    </row>
    <row r="40" spans="2:15" s="65" customFormat="1" ht="12.75" x14ac:dyDescent="0.2">
      <c r="C40" s="185"/>
      <c r="D40" s="203" t="s">
        <v>99</v>
      </c>
      <c r="E40" s="150">
        <f>ROWS(D3:D30)</f>
        <v>28</v>
      </c>
    </row>
    <row r="41" spans="2:15" s="65" customFormat="1" ht="12.75" x14ac:dyDescent="0.2">
      <c r="C41" s="185"/>
      <c r="D41" s="203" t="s">
        <v>9</v>
      </c>
      <c r="E41" s="150">
        <f>ROWS(D3:D6)</f>
        <v>4</v>
      </c>
    </row>
    <row r="42" spans="2:15" s="65" customFormat="1" ht="12.75" x14ac:dyDescent="0.2">
      <c r="C42" s="185"/>
      <c r="D42" s="203" t="s">
        <v>91</v>
      </c>
      <c r="E42" s="150">
        <f>ROWS(D3:D10)</f>
        <v>8</v>
      </c>
    </row>
    <row r="43" spans="2:15" s="65" customFormat="1" ht="12.75" x14ac:dyDescent="0.2">
      <c r="C43" s="185"/>
      <c r="D43" s="203" t="s">
        <v>251</v>
      </c>
      <c r="E43" s="150">
        <f>ROWS(D3:D18)</f>
        <v>16</v>
      </c>
    </row>
    <row r="44" spans="2:15" s="65" customFormat="1" ht="13.5" thickBot="1" x14ac:dyDescent="0.25">
      <c r="C44" s="185"/>
      <c r="D44" s="205" t="s">
        <v>8</v>
      </c>
      <c r="E44" s="206">
        <f>ROWS(D3:D26)</f>
        <v>24</v>
      </c>
    </row>
    <row r="45" spans="2:15" s="65" customFormat="1" ht="12.75" x14ac:dyDescent="0.2"/>
    <row r="46" spans="2:15" s="65" customFormat="1" ht="12.75" x14ac:dyDescent="0.2"/>
    <row r="47" spans="2:15" ht="12" customHeight="1" x14ac:dyDescent="0.2">
      <c r="O47" s="65"/>
    </row>
    <row r="48" spans="2:15" ht="21.75" customHeight="1" thickBot="1" x14ac:dyDescent="0.4">
      <c r="C48" s="691" t="s">
        <v>84</v>
      </c>
      <c r="D48" s="691"/>
      <c r="E48" s="691"/>
      <c r="F48" s="691"/>
      <c r="G48" s="691"/>
      <c r="O48" s="65"/>
    </row>
    <row r="49" spans="2:15" ht="12" customHeight="1" thickBot="1" x14ac:dyDescent="0.25">
      <c r="B49" s="679" t="s">
        <v>80</v>
      </c>
      <c r="C49" s="207"/>
      <c r="D49" s="208" t="s">
        <v>30</v>
      </c>
      <c r="E49" s="208" t="s">
        <v>167</v>
      </c>
      <c r="F49" s="208" t="s">
        <v>168</v>
      </c>
      <c r="G49" s="209" t="s">
        <v>174</v>
      </c>
      <c r="O49" s="65"/>
    </row>
    <row r="50" spans="2:15" ht="12" customHeight="1" x14ac:dyDescent="0.2">
      <c r="B50" s="680"/>
      <c r="C50" s="210" t="s">
        <v>197</v>
      </c>
      <c r="D50" s="207">
        <f ca="1">SUM(INDIRECT(D22))</f>
        <v>238</v>
      </c>
      <c r="E50" s="211">
        <f t="shared" ref="E50:G50" ca="1" si="17">SUM(INDIRECT(E22))</f>
        <v>238</v>
      </c>
      <c r="F50" s="211">
        <f t="shared" ca="1" si="17"/>
        <v>238</v>
      </c>
      <c r="G50" s="212">
        <f t="shared" ca="1" si="17"/>
        <v>238</v>
      </c>
      <c r="O50" s="65"/>
    </row>
    <row r="51" spans="2:15" ht="12" customHeight="1" x14ac:dyDescent="0.2">
      <c r="B51" s="680"/>
      <c r="C51" s="210" t="s">
        <v>139</v>
      </c>
      <c r="D51" s="213">
        <f ca="1">SUM(INDIRECT(D14))</f>
        <v>98</v>
      </c>
      <c r="E51" s="214">
        <f t="shared" ref="E51:G51" ca="1" si="18">SUM(INDIRECT(E14))</f>
        <v>100</v>
      </c>
      <c r="F51" s="214">
        <f t="shared" ca="1" si="18"/>
        <v>100</v>
      </c>
      <c r="G51" s="215">
        <f t="shared" ca="1" si="18"/>
        <v>100</v>
      </c>
      <c r="O51" s="65"/>
    </row>
    <row r="52" spans="2:15" ht="12" customHeight="1" x14ac:dyDescent="0.2">
      <c r="B52" s="680"/>
      <c r="C52" s="210" t="s">
        <v>251</v>
      </c>
      <c r="D52" s="213">
        <v>4.9000000000000004</v>
      </c>
      <c r="E52" s="214">
        <v>4.9000000000000004</v>
      </c>
      <c r="F52" s="214">
        <v>2</v>
      </c>
      <c r="G52" s="215">
        <v>4.9399999999999995</v>
      </c>
      <c r="O52" s="65"/>
    </row>
    <row r="53" spans="2:15" ht="12" customHeight="1" x14ac:dyDescent="0.2">
      <c r="B53" s="681"/>
      <c r="C53" s="216" t="str">
        <f>B3</f>
        <v>RDF</v>
      </c>
      <c r="D53" s="213">
        <f ca="1">SUM(INDIRECT(D6))</f>
        <v>3194.5586236676909</v>
      </c>
      <c r="E53" s="214">
        <f ca="1">SUM(INDIRECT(E6))</f>
        <v>3212.4352519607664</v>
      </c>
      <c r="F53" s="214"/>
      <c r="G53" s="215">
        <f ca="1">SUM(INDIRECT(G6))</f>
        <v>3208.6369350479254</v>
      </c>
      <c r="O53" s="65"/>
    </row>
    <row r="54" spans="2:15" ht="12" customHeight="1" x14ac:dyDescent="0.2">
      <c r="B54" s="681"/>
      <c r="C54" s="216" t="str">
        <f>B7</f>
        <v>ROF</v>
      </c>
      <c r="D54" s="213">
        <f ca="1">SUM(INDIRECT(D10))</f>
        <v>3172.114842445761</v>
      </c>
      <c r="E54" s="214">
        <f ca="1">SUM(INDIRECT(E10))</f>
        <v>3186.2110980797579</v>
      </c>
      <c r="F54" s="214"/>
      <c r="G54" s="215">
        <f ca="1">SUM(INDIRECT(G10))</f>
        <v>3174.0257770363005</v>
      </c>
      <c r="O54" s="65"/>
    </row>
    <row r="55" spans="2:15" ht="12" customHeight="1" x14ac:dyDescent="0.2">
      <c r="B55" s="681"/>
      <c r="C55" s="216" t="str">
        <f>B23</f>
        <v>TPR</v>
      </c>
      <c r="D55" s="213">
        <f ca="1">SUM(INDIRECT(D26))</f>
        <v>4805.3245747739893</v>
      </c>
      <c r="E55" s="214">
        <f ca="1">SUM(INDIRECT(E26))</f>
        <v>4805.3245747739893</v>
      </c>
      <c r="F55" s="214"/>
      <c r="G55" s="215">
        <f ca="1">SUM(INDIRECT(G26))</f>
        <v>5011.6307587542969</v>
      </c>
      <c r="O55" s="65"/>
    </row>
    <row r="56" spans="2:15" ht="12" customHeight="1" x14ac:dyDescent="0.2">
      <c r="B56" s="681"/>
      <c r="C56" s="216" t="str">
        <f>B27</f>
        <v>PSF</v>
      </c>
      <c r="D56" s="213">
        <f ca="1">SUM(INDIRECT(D30))</f>
        <v>1881.5433715137804</v>
      </c>
      <c r="E56" s="214">
        <f ca="1">SUM(INDIRECT(E30))</f>
        <v>1881.5433715137804</v>
      </c>
      <c r="F56" s="214"/>
      <c r="G56" s="215">
        <f ca="1">SUM(INDIRECT(G30))</f>
        <v>1882.1455777751946</v>
      </c>
    </row>
    <row r="57" spans="2:15" ht="12" customHeight="1" thickBot="1" x14ac:dyDescent="0.25">
      <c r="B57" s="681"/>
      <c r="C57" s="217" t="str">
        <f>B31</f>
        <v>EDW WF</v>
      </c>
      <c r="D57" s="218">
        <f ca="1">SUM(INDIRECT(D34))</f>
        <v>1121.58046655456</v>
      </c>
      <c r="E57" s="219">
        <f ca="1">SUM(INDIRECT(E34))</f>
        <v>1122.6173147354698</v>
      </c>
      <c r="F57" s="219"/>
      <c r="G57" s="220">
        <f ca="1">SUM(INDIRECT(G34))</f>
        <v>1142.7514060016488</v>
      </c>
    </row>
    <row r="58" spans="2:15" ht="12" customHeight="1" thickBot="1" x14ac:dyDescent="0.25"/>
    <row r="59" spans="2:15" ht="12" customHeight="1" thickTop="1" thickBot="1" x14ac:dyDescent="0.25">
      <c r="D59" s="221" t="s">
        <v>82</v>
      </c>
      <c r="E59" s="222">
        <f ca="1">SUM(D50:G57)</f>
        <v>44169.183944634911</v>
      </c>
      <c r="F59" s="223"/>
    </row>
    <row r="60" spans="2:15" ht="12" customHeight="1" thickTop="1" thickBot="1" x14ac:dyDescent="0.25"/>
    <row r="61" spans="2:15" ht="12" customHeight="1" thickBot="1" x14ac:dyDescent="0.25">
      <c r="B61" s="687" t="s">
        <v>81</v>
      </c>
      <c r="C61" s="211"/>
      <c r="D61" s="208" t="s">
        <v>30</v>
      </c>
      <c r="E61" s="208" t="s">
        <v>167</v>
      </c>
      <c r="F61" s="208" t="s">
        <v>168</v>
      </c>
      <c r="G61" s="209" t="s">
        <v>174</v>
      </c>
    </row>
    <row r="62" spans="2:15" ht="12" customHeight="1" x14ac:dyDescent="0.2">
      <c r="B62" s="688"/>
      <c r="C62" s="210" t="s">
        <v>197</v>
      </c>
      <c r="D62" s="207">
        <v>238</v>
      </c>
      <c r="E62" s="211">
        <v>238</v>
      </c>
      <c r="F62" s="211">
        <v>238</v>
      </c>
      <c r="G62" s="212">
        <v>238</v>
      </c>
      <c r="O62" s="65"/>
    </row>
    <row r="63" spans="2:15" ht="12" customHeight="1" x14ac:dyDescent="0.2">
      <c r="B63" s="688"/>
      <c r="C63" s="210" t="s">
        <v>139</v>
      </c>
      <c r="D63" s="213">
        <v>98</v>
      </c>
      <c r="E63" s="214">
        <v>100</v>
      </c>
      <c r="F63" s="214">
        <v>100</v>
      </c>
      <c r="G63" s="215">
        <v>100</v>
      </c>
      <c r="O63" s="65"/>
    </row>
    <row r="64" spans="2:15" ht="12" customHeight="1" x14ac:dyDescent="0.2">
      <c r="B64" s="688"/>
      <c r="C64" s="210" t="s">
        <v>251</v>
      </c>
      <c r="D64" s="213">
        <v>4.9000000000000004</v>
      </c>
      <c r="E64" s="214">
        <v>4.9000000000000004</v>
      </c>
      <c r="F64" s="214">
        <v>2</v>
      </c>
      <c r="G64" s="215">
        <v>4.9399999999999995</v>
      </c>
      <c r="O64" s="65"/>
    </row>
    <row r="65" spans="2:7" ht="12" customHeight="1" x14ac:dyDescent="0.2">
      <c r="B65" s="689"/>
      <c r="C65" s="224" t="s">
        <v>9</v>
      </c>
      <c r="D65" s="213">
        <v>3194.5586236676909</v>
      </c>
      <c r="E65" s="214">
        <v>3212.4352519607664</v>
      </c>
      <c r="F65" s="214"/>
      <c r="G65" s="215">
        <v>3208.6369350479254</v>
      </c>
    </row>
    <row r="66" spans="2:7" ht="12" customHeight="1" x14ac:dyDescent="0.2">
      <c r="B66" s="689"/>
      <c r="C66" s="224" t="s">
        <v>91</v>
      </c>
      <c r="D66" s="213">
        <v>3172.114842445761</v>
      </c>
      <c r="E66" s="214">
        <v>3186.2110980797579</v>
      </c>
      <c r="F66" s="214"/>
      <c r="G66" s="215">
        <v>3174.0257770363005</v>
      </c>
    </row>
    <row r="67" spans="2:7" ht="12" customHeight="1" x14ac:dyDescent="0.2">
      <c r="B67" s="689"/>
      <c r="C67" s="224" t="s">
        <v>8</v>
      </c>
      <c r="D67" s="213">
        <v>4805.3245747739893</v>
      </c>
      <c r="E67" s="214">
        <v>4805.3245747739893</v>
      </c>
      <c r="F67" s="214"/>
      <c r="G67" s="215">
        <v>5011.6307587542969</v>
      </c>
    </row>
    <row r="68" spans="2:7" ht="12" customHeight="1" x14ac:dyDescent="0.2">
      <c r="B68" s="689"/>
      <c r="C68" s="224" t="s">
        <v>99</v>
      </c>
      <c r="D68" s="213">
        <v>1881.5433715137804</v>
      </c>
      <c r="E68" s="214">
        <v>1881.5433715137804</v>
      </c>
      <c r="F68" s="214"/>
      <c r="G68" s="215">
        <v>1882.1455777751946</v>
      </c>
    </row>
    <row r="69" spans="2:7" ht="12" customHeight="1" thickBot="1" x14ac:dyDescent="0.25">
      <c r="B69" s="690"/>
      <c r="C69" s="225" t="s">
        <v>66</v>
      </c>
      <c r="D69" s="218">
        <v>1121.58046655456</v>
      </c>
      <c r="E69" s="219">
        <v>1122.6173147354698</v>
      </c>
      <c r="F69" s="219"/>
      <c r="G69" s="220">
        <v>1142.7514060016488</v>
      </c>
    </row>
    <row r="70" spans="2:7" ht="12" customHeight="1" x14ac:dyDescent="0.2"/>
    <row r="71" spans="2:7" ht="12" thickBot="1" x14ac:dyDescent="0.25"/>
    <row r="72" spans="2:7" ht="12.75" thickTop="1" thickBot="1" x14ac:dyDescent="0.25">
      <c r="D72" s="221" t="s">
        <v>340</v>
      </c>
      <c r="E72" s="222">
        <v>44169.183944634911</v>
      </c>
      <c r="F72" s="223"/>
    </row>
    <row r="73" spans="2:7" ht="12.75" thickTop="1" thickBot="1" x14ac:dyDescent="0.25">
      <c r="D73" s="226"/>
      <c r="E73" s="227"/>
      <c r="F73" s="227"/>
    </row>
    <row r="74" spans="2:7" ht="13.5" thickBot="1" x14ac:dyDescent="0.25">
      <c r="D74" s="228" t="s">
        <v>83</v>
      </c>
      <c r="E74" s="229" t="b">
        <f ca="1">(E59=E72)</f>
        <v>1</v>
      </c>
      <c r="F74" s="230"/>
    </row>
  </sheetData>
  <sortState ref="D33:E39">
    <sortCondition ref="D33:D39"/>
  </sortState>
  <mergeCells count="14">
    <mergeCell ref="B61:B69"/>
    <mergeCell ref="C48:G48"/>
    <mergeCell ref="A2:A30"/>
    <mergeCell ref="B27:B30"/>
    <mergeCell ref="B31:B34"/>
    <mergeCell ref="B3:B6"/>
    <mergeCell ref="B15:B18"/>
    <mergeCell ref="D1:G1"/>
    <mergeCell ref="B7:B10"/>
    <mergeCell ref="B23:B26"/>
    <mergeCell ref="B19:B22"/>
    <mergeCell ref="B49:B57"/>
    <mergeCell ref="D36:E36"/>
    <mergeCell ref="B11:B14"/>
  </mergeCells>
  <phoneticPr fontId="0" type="noConversion"/>
  <conditionalFormatting sqref="D53:F57">
    <cfRule type="cellIs" dxfId="3" priority="6" stopIfTrue="1" operator="notEqual">
      <formula>D65</formula>
    </cfRule>
  </conditionalFormatting>
  <conditionalFormatting sqref="E59:F59">
    <cfRule type="cellIs" dxfId="2" priority="7" stopIfTrue="1" operator="notEqual">
      <formula>E72</formula>
    </cfRule>
  </conditionalFormatting>
  <conditionalFormatting sqref="G53:G57">
    <cfRule type="cellIs" dxfId="1" priority="54" stopIfTrue="1" operator="notEqual">
      <formula>#REF!</formula>
    </cfRule>
  </conditionalFormatting>
  <conditionalFormatting sqref="D50:G52">
    <cfRule type="cellIs" dxfId="0" priority="1" stopIfTrue="1" operator="notEqual">
      <formula>D62</formula>
    </cfRule>
  </conditionalFormatting>
  <pageMargins left="0.75" right="0.75" top="1" bottom="1" header="0.5" footer="0.5"/>
  <pageSetup paperSize="154"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BH337"/>
  <sheetViews>
    <sheetView zoomScale="75" zoomScaleNormal="75" workbookViewId="0">
      <selection activeCell="AB24" sqref="AB24"/>
    </sheetView>
  </sheetViews>
  <sheetFormatPr defaultColWidth="5.28515625" defaultRowHeight="17.45" customHeight="1" x14ac:dyDescent="0.2"/>
  <cols>
    <col min="1" max="1" width="13.140625" style="233" customWidth="1"/>
    <col min="2" max="2" width="7.5703125" style="232" customWidth="1"/>
    <col min="3" max="3" width="8" style="232" customWidth="1"/>
    <col min="4" max="4" width="7.85546875" style="232" customWidth="1"/>
    <col min="5" max="5" width="8.140625" style="232" customWidth="1"/>
    <col min="6" max="6" width="7.28515625" style="232" customWidth="1"/>
    <col min="7" max="8" width="7.42578125" style="232" customWidth="1"/>
    <col min="9" max="58" width="5.28515625" style="232"/>
    <col min="59" max="59" width="5.7109375" style="232" bestFit="1" customWidth="1"/>
    <col min="60" max="16384" width="5.28515625" style="232"/>
  </cols>
  <sheetData>
    <row r="1" spans="1:17" ht="17.45" customHeight="1" x14ac:dyDescent="0.2">
      <c r="A1" s="92" t="s">
        <v>30</v>
      </c>
      <c r="B1" s="231"/>
      <c r="C1" s="231"/>
      <c r="D1" s="231"/>
      <c r="E1" s="231"/>
      <c r="F1" s="14" t="s">
        <v>9</v>
      </c>
      <c r="G1" s="14" t="s">
        <v>144</v>
      </c>
      <c r="H1" s="231"/>
      <c r="I1" s="231"/>
      <c r="J1" s="231"/>
      <c r="K1" s="14" t="s">
        <v>145</v>
      </c>
      <c r="L1" s="231"/>
      <c r="M1" s="231"/>
      <c r="N1" s="231"/>
      <c r="O1" s="231"/>
      <c r="P1" s="14" t="s">
        <v>91</v>
      </c>
      <c r="Q1" s="231"/>
    </row>
    <row r="2" spans="1:17" ht="17.45" customHeight="1" thickBot="1" x14ac:dyDescent="0.25"/>
    <row r="3" spans="1:17" ht="17.45" customHeight="1" thickTop="1" thickBot="1" x14ac:dyDescent="0.25">
      <c r="A3" s="693" t="s">
        <v>197</v>
      </c>
      <c r="B3" s="694"/>
      <c r="C3" s="694"/>
      <c r="D3" s="695"/>
    </row>
    <row r="4" spans="1:17" ht="17.45" customHeight="1" thickBot="1" x14ac:dyDescent="0.25">
      <c r="A4" s="234"/>
      <c r="B4" s="235" t="s">
        <v>201</v>
      </c>
      <c r="C4" s="236" t="s">
        <v>200</v>
      </c>
      <c r="D4" s="237"/>
    </row>
    <row r="5" spans="1:17" ht="17.45" customHeight="1" x14ac:dyDescent="0.2">
      <c r="A5" s="238" t="s">
        <v>199</v>
      </c>
      <c r="B5" s="239">
        <v>-2</v>
      </c>
      <c r="C5" s="240">
        <v>20</v>
      </c>
      <c r="D5" s="237"/>
    </row>
    <row r="6" spans="1:17" ht="17.45" customHeight="1" x14ac:dyDescent="0.2">
      <c r="A6" s="238" t="s">
        <v>202</v>
      </c>
      <c r="B6" s="241">
        <v>-2</v>
      </c>
      <c r="C6" s="242">
        <v>20</v>
      </c>
      <c r="D6" s="237"/>
    </row>
    <row r="7" spans="1:17" ht="17.45" customHeight="1" x14ac:dyDescent="0.2">
      <c r="A7" s="238" t="s">
        <v>203</v>
      </c>
      <c r="B7" s="241">
        <v>-10</v>
      </c>
      <c r="C7" s="242">
        <v>20</v>
      </c>
      <c r="D7" s="237"/>
    </row>
    <row r="8" spans="1:17" ht="17.45" customHeight="1" x14ac:dyDescent="0.2">
      <c r="A8" s="238" t="s">
        <v>204</v>
      </c>
      <c r="B8" s="241">
        <v>-10</v>
      </c>
      <c r="C8" s="242">
        <v>20</v>
      </c>
      <c r="D8" s="237"/>
    </row>
    <row r="9" spans="1:17" ht="17.45" customHeight="1" x14ac:dyDescent="0.2">
      <c r="A9" s="238" t="s">
        <v>295</v>
      </c>
      <c r="B9" s="241">
        <f>MIN(MIN(A87:A123),MIN(A298:A334))</f>
        <v>4</v>
      </c>
      <c r="C9" s="242">
        <f>MAX(MAX(A87:A123),MAX(A298:A334))</f>
        <v>40</v>
      </c>
      <c r="D9" s="237"/>
    </row>
    <row r="10" spans="1:17" ht="17.45" customHeight="1" x14ac:dyDescent="0.2">
      <c r="A10" s="238" t="s">
        <v>296</v>
      </c>
      <c r="B10" s="241">
        <f>MIN(MIN(B86:AL86),MIN(B297:AL297))</f>
        <v>4</v>
      </c>
      <c r="C10" s="242">
        <f>MAX(MAX(B86:AL86),MAX(B297:AL297))</f>
        <v>40</v>
      </c>
      <c r="D10" s="237"/>
    </row>
    <row r="11" spans="1:17" ht="17.45" customHeight="1" x14ac:dyDescent="0.2">
      <c r="A11" s="238" t="s">
        <v>31</v>
      </c>
      <c r="B11" s="241">
        <f>MIN(B29:BF29)</f>
        <v>4</v>
      </c>
      <c r="C11" s="242">
        <f>MAX(B29:BF29)</f>
        <v>60</v>
      </c>
      <c r="D11" s="237"/>
    </row>
    <row r="12" spans="1:17" ht="17.45" customHeight="1" thickBot="1" x14ac:dyDescent="0.25">
      <c r="A12" s="243" t="s">
        <v>24</v>
      </c>
      <c r="B12" s="244">
        <f>MIN(A30:A80)</f>
        <v>0</v>
      </c>
      <c r="C12" s="245">
        <f>MAX(A30:A80)</f>
        <v>30</v>
      </c>
      <c r="D12" s="237"/>
    </row>
    <row r="13" spans="1:17" ht="17.45" customHeight="1"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3" t="s">
        <v>139</v>
      </c>
      <c r="B15" s="694"/>
      <c r="C15" s="694"/>
      <c r="D15" s="695"/>
    </row>
    <row r="16" spans="1:17" ht="17.45" customHeight="1" thickBot="1" x14ac:dyDescent="0.25">
      <c r="A16" s="250" t="s">
        <v>139</v>
      </c>
      <c r="B16" s="251">
        <v>98</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3" t="s">
        <v>348</v>
      </c>
      <c r="B19" s="694"/>
      <c r="C19" s="694"/>
      <c r="D19" s="695"/>
    </row>
    <row r="20" spans="1:60" ht="17.45" customHeight="1" thickBot="1" x14ac:dyDescent="0.25">
      <c r="A20" s="252"/>
      <c r="B20" s="253" t="s">
        <v>250</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0.97</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7.45" customHeight="1" thickTop="1" thickBot="1" x14ac:dyDescent="0.25"/>
    <row r="27" spans="1:60" ht="20.45" customHeight="1" thickTop="1" x14ac:dyDescent="0.2">
      <c r="A27" s="693" t="s">
        <v>8</v>
      </c>
      <c r="B27" s="694"/>
      <c r="C27" s="694"/>
      <c r="D27" s="694"/>
      <c r="E27" s="260"/>
      <c r="F27" s="260"/>
      <c r="G27" s="260"/>
      <c r="H27" s="260"/>
      <c r="I27" s="260"/>
      <c r="J27" s="260"/>
      <c r="K27" s="260"/>
      <c r="L27" s="260"/>
      <c r="M27" s="260"/>
      <c r="N27" s="260"/>
      <c r="O27" s="260"/>
      <c r="P27" s="260"/>
      <c r="Q27" s="260"/>
      <c r="R27" s="260"/>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7.45" customHeight="1" thickBot="1" x14ac:dyDescent="0.3">
      <c r="A28" s="238"/>
      <c r="B28" s="262" t="s">
        <v>31</v>
      </c>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7"/>
    </row>
    <row r="29" spans="1:60" s="272" customFormat="1" ht="12.6" customHeight="1" thickTop="1" thickBot="1" x14ac:dyDescent="0.25">
      <c r="A29" s="263"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7.45" customHeight="1" thickTop="1" x14ac:dyDescent="0.2">
      <c r="A30" s="273">
        <v>0</v>
      </c>
      <c r="B30" s="274">
        <v>8.069528120000001E-2</v>
      </c>
      <c r="C30" s="275">
        <v>9.3745772499999991E-2</v>
      </c>
      <c r="D30" s="275">
        <v>0.10660123519999999</v>
      </c>
      <c r="E30" s="275">
        <v>0.1192616693</v>
      </c>
      <c r="F30" s="275">
        <v>0.13172707480000001</v>
      </c>
      <c r="G30" s="275">
        <v>0.1439974517</v>
      </c>
      <c r="H30" s="275">
        <v>0.15607279999999998</v>
      </c>
      <c r="I30" s="275">
        <v>0.16795311970000001</v>
      </c>
      <c r="J30" s="276">
        <v>0.17963841079999998</v>
      </c>
      <c r="K30" s="274">
        <v>0.1911286733</v>
      </c>
      <c r="L30" s="275">
        <v>0.2024239072</v>
      </c>
      <c r="M30" s="275">
        <v>0.21352411250000003</v>
      </c>
      <c r="N30" s="275">
        <v>0.22442928919999999</v>
      </c>
      <c r="O30" s="275">
        <v>0.2351394373</v>
      </c>
      <c r="P30" s="275">
        <v>0.24565455680000003</v>
      </c>
      <c r="Q30" s="275">
        <v>0.2559746477</v>
      </c>
      <c r="R30" s="275">
        <v>0.26609970999999999</v>
      </c>
      <c r="S30" s="276">
        <v>0.27602974370000005</v>
      </c>
      <c r="T30" s="274">
        <v>0.28576474880000002</v>
      </c>
      <c r="U30" s="275">
        <v>0.29530472530000001</v>
      </c>
      <c r="V30" s="275">
        <v>0.30464967320000003</v>
      </c>
      <c r="W30" s="275">
        <v>0.3137995925</v>
      </c>
      <c r="X30" s="275">
        <v>0.32275448320000005</v>
      </c>
      <c r="Y30" s="275">
        <v>0.33151434530000001</v>
      </c>
      <c r="Z30" s="275">
        <v>0.34007917880000005</v>
      </c>
      <c r="AA30" s="275">
        <v>0.34844898369999999</v>
      </c>
      <c r="AB30" s="276">
        <v>0.35662376000000007</v>
      </c>
      <c r="AC30" s="274">
        <v>0.36460350770000005</v>
      </c>
      <c r="AD30" s="275">
        <v>0.37238822680000006</v>
      </c>
      <c r="AE30" s="275">
        <v>0.37997791730000002</v>
      </c>
      <c r="AF30" s="275">
        <v>0.38737257919999996</v>
      </c>
      <c r="AG30" s="275">
        <v>0.39457221250000007</v>
      </c>
      <c r="AH30" s="275">
        <v>0.40157681720000005</v>
      </c>
      <c r="AI30" s="275">
        <v>0.40838639330000004</v>
      </c>
      <c r="AJ30" s="275">
        <v>0.41500094080000005</v>
      </c>
      <c r="AK30" s="275">
        <v>0.42142045970000003</v>
      </c>
      <c r="AL30" s="276">
        <v>0.42764495000000002</v>
      </c>
      <c r="AM30" s="274">
        <v>0.43363956271999998</v>
      </c>
      <c r="AN30" s="275">
        <v>0.43946909568000003</v>
      </c>
      <c r="AO30" s="275">
        <v>0.44510337087999996</v>
      </c>
      <c r="AP30" s="275">
        <v>0.45054238832000004</v>
      </c>
      <c r="AQ30" s="275">
        <v>0.455786148</v>
      </c>
      <c r="AR30" s="275">
        <v>0.46083464992000006</v>
      </c>
      <c r="AS30" s="275">
        <v>0.46568789408</v>
      </c>
      <c r="AT30" s="275">
        <v>0.47034588047999992</v>
      </c>
      <c r="AU30" s="275">
        <v>0.47480860912</v>
      </c>
      <c r="AV30" s="276">
        <v>0.47907607999999996</v>
      </c>
      <c r="AW30" s="274">
        <v>0.48314829311999996</v>
      </c>
      <c r="AX30" s="275">
        <v>0.48702524848000001</v>
      </c>
      <c r="AY30" s="275">
        <v>0.49070694608000004</v>
      </c>
      <c r="AZ30" s="275">
        <v>0.49419338591999995</v>
      </c>
      <c r="BA30" s="275">
        <v>0.49748456800000007</v>
      </c>
      <c r="BB30" s="275">
        <v>0.50058049232000001</v>
      </c>
      <c r="BC30" s="275">
        <v>0.50348115888000011</v>
      </c>
      <c r="BD30" s="275">
        <v>0.50618656768000003</v>
      </c>
      <c r="BE30" s="275">
        <v>0.50869671872</v>
      </c>
      <c r="BF30" s="276">
        <v>0.511011612</v>
      </c>
      <c r="BG30" s="276">
        <f>BF30</f>
        <v>0.511011612</v>
      </c>
      <c r="BH30" s="237"/>
    </row>
    <row r="31" spans="1:60" ht="17.45" customHeight="1" x14ac:dyDescent="0.2">
      <c r="A31" s="273">
        <v>0.5</v>
      </c>
      <c r="B31" s="277">
        <v>0.79699426799999995</v>
      </c>
      <c r="C31" s="278">
        <v>0.8028395975</v>
      </c>
      <c r="D31" s="278">
        <v>0.80855243200000004</v>
      </c>
      <c r="E31" s="278">
        <v>0.81413277149999996</v>
      </c>
      <c r="F31" s="278">
        <v>0.81958061599999998</v>
      </c>
      <c r="G31" s="278">
        <v>0.82489596549999999</v>
      </c>
      <c r="H31" s="278">
        <v>0.83007882</v>
      </c>
      <c r="I31" s="278">
        <v>0.83512917949999999</v>
      </c>
      <c r="J31" s="279">
        <v>0.84004704399999997</v>
      </c>
      <c r="K31" s="277">
        <v>0.84483241349999993</v>
      </c>
      <c r="L31" s="278">
        <v>0.84948528800000001</v>
      </c>
      <c r="M31" s="278">
        <v>0.85400566749999995</v>
      </c>
      <c r="N31" s="278">
        <v>0.858393552</v>
      </c>
      <c r="O31" s="278">
        <v>0.86264894149999993</v>
      </c>
      <c r="P31" s="278">
        <v>0.86677183599999996</v>
      </c>
      <c r="Q31" s="278">
        <v>0.87076223549999998</v>
      </c>
      <c r="R31" s="278">
        <v>0.87462013999999988</v>
      </c>
      <c r="S31" s="279">
        <v>0.87834554949999999</v>
      </c>
      <c r="T31" s="277">
        <v>0.88193846399999987</v>
      </c>
      <c r="U31" s="278">
        <v>0.88539888349999996</v>
      </c>
      <c r="V31" s="278">
        <v>0.88872680800000003</v>
      </c>
      <c r="W31" s="278">
        <v>0.89192223749999999</v>
      </c>
      <c r="X31" s="278">
        <v>0.89498517199999994</v>
      </c>
      <c r="Y31" s="278">
        <v>0.89791561149999999</v>
      </c>
      <c r="Z31" s="278">
        <v>0.90071355599999992</v>
      </c>
      <c r="AA31" s="278">
        <v>0.90337900549999994</v>
      </c>
      <c r="AB31" s="279">
        <v>0.90591196000000007</v>
      </c>
      <c r="AC31" s="277">
        <v>0.90831241949999997</v>
      </c>
      <c r="AD31" s="278">
        <v>0.91058038399999996</v>
      </c>
      <c r="AE31" s="278">
        <v>0.91271585349999995</v>
      </c>
      <c r="AF31" s="278">
        <v>0.91471882799999993</v>
      </c>
      <c r="AG31" s="278">
        <v>0.91658930750000001</v>
      </c>
      <c r="AH31" s="278">
        <v>0.91832729200000007</v>
      </c>
      <c r="AI31" s="278">
        <v>0.91993278149999991</v>
      </c>
      <c r="AJ31" s="278">
        <v>0.92140577599999995</v>
      </c>
      <c r="AK31" s="278">
        <v>0.92274627549999999</v>
      </c>
      <c r="AL31" s="279">
        <v>0.92395428000000002</v>
      </c>
      <c r="AM31" s="277">
        <v>0.92673946427999998</v>
      </c>
      <c r="AN31" s="278">
        <v>0.92792125631999989</v>
      </c>
      <c r="AO31" s="278">
        <v>0.92898170412000003</v>
      </c>
      <c r="AP31" s="278">
        <v>0.92992080768000018</v>
      </c>
      <c r="AQ31" s="278">
        <v>0.93073856700000002</v>
      </c>
      <c r="AR31" s="278">
        <v>0.9314349820800002</v>
      </c>
      <c r="AS31" s="278">
        <v>0.93201005292000005</v>
      </c>
      <c r="AT31" s="278">
        <v>0.93246377951999981</v>
      </c>
      <c r="AU31" s="278">
        <v>0.93279616188000003</v>
      </c>
      <c r="AV31" s="279">
        <v>0.93300719999999981</v>
      </c>
      <c r="AW31" s="277">
        <v>0.93309689388000006</v>
      </c>
      <c r="AX31" s="278">
        <v>0.93306524351999975</v>
      </c>
      <c r="AY31" s="278">
        <v>0.93291224892000002</v>
      </c>
      <c r="AZ31" s="278">
        <v>0.93263791007999985</v>
      </c>
      <c r="BA31" s="278">
        <v>0.93224222700000003</v>
      </c>
      <c r="BB31" s="278">
        <v>0.93172519967999978</v>
      </c>
      <c r="BC31" s="278">
        <v>0.9310868281200001</v>
      </c>
      <c r="BD31" s="278">
        <v>0.93032711231999987</v>
      </c>
      <c r="BE31" s="278">
        <v>0.9294460522800001</v>
      </c>
      <c r="BF31" s="279">
        <v>0.92844364799999979</v>
      </c>
      <c r="BG31" s="279">
        <f t="shared" ref="BG31:BG80" si="0">BF31</f>
        <v>0.92844364799999979</v>
      </c>
      <c r="BH31" s="237"/>
    </row>
    <row r="32" spans="1:60" ht="17.45" customHeight="1" x14ac:dyDescent="0.2">
      <c r="A32" s="273">
        <v>1</v>
      </c>
      <c r="B32" s="277">
        <v>0.96200944640000008</v>
      </c>
      <c r="C32" s="278">
        <v>0.96362953250000005</v>
      </c>
      <c r="D32" s="278">
        <v>0.96521029840000006</v>
      </c>
      <c r="E32" s="278">
        <v>0.96675174409999998</v>
      </c>
      <c r="F32" s="278">
        <v>0.96825386960000004</v>
      </c>
      <c r="G32" s="278">
        <v>0.96971667490000002</v>
      </c>
      <c r="H32" s="278">
        <v>0.97114016000000003</v>
      </c>
      <c r="I32" s="278">
        <v>0.97252432490000007</v>
      </c>
      <c r="J32" s="279">
        <v>0.97386916960000003</v>
      </c>
      <c r="K32" s="277">
        <v>0.97517469410000002</v>
      </c>
      <c r="L32" s="278">
        <v>0.97644089840000003</v>
      </c>
      <c r="M32" s="278">
        <v>0.97766778250000008</v>
      </c>
      <c r="N32" s="278">
        <v>0.97885534640000005</v>
      </c>
      <c r="O32" s="278">
        <v>0.98000359010000004</v>
      </c>
      <c r="P32" s="278">
        <v>0.98111251360000007</v>
      </c>
      <c r="Q32" s="278">
        <v>0.98218211690000001</v>
      </c>
      <c r="R32" s="278">
        <v>0.9832124000000001</v>
      </c>
      <c r="S32" s="279">
        <v>0.98420336289999999</v>
      </c>
      <c r="T32" s="277">
        <v>0.98515500560000002</v>
      </c>
      <c r="U32" s="278">
        <v>0.98606732809999997</v>
      </c>
      <c r="V32" s="278">
        <v>0.98694033040000007</v>
      </c>
      <c r="W32" s="278">
        <v>0.98777401250000019</v>
      </c>
      <c r="X32" s="278">
        <v>0.98856837440000001</v>
      </c>
      <c r="Y32" s="278">
        <v>0.98932341610000007</v>
      </c>
      <c r="Z32" s="278">
        <v>0.99003913760000006</v>
      </c>
      <c r="AA32" s="278">
        <v>0.99071553889999997</v>
      </c>
      <c r="AB32" s="279">
        <v>0.99135262000000002</v>
      </c>
      <c r="AC32" s="277">
        <v>0.99195038090000009</v>
      </c>
      <c r="AD32" s="278">
        <v>0.99250882160000009</v>
      </c>
      <c r="AE32" s="278">
        <v>0.99302794210000001</v>
      </c>
      <c r="AF32" s="278">
        <v>0.99350774240000006</v>
      </c>
      <c r="AG32" s="278">
        <v>0.99394822250000014</v>
      </c>
      <c r="AH32" s="278">
        <v>0.99434938239999993</v>
      </c>
      <c r="AI32" s="278">
        <v>0.99471122209999996</v>
      </c>
      <c r="AJ32" s="278">
        <v>0.99503374160000002</v>
      </c>
      <c r="AK32" s="278">
        <v>0.99531694090000011</v>
      </c>
      <c r="AL32" s="279">
        <v>0.99556082000000001</v>
      </c>
      <c r="AM32" s="277">
        <v>0.99651510345000005</v>
      </c>
      <c r="AN32" s="278">
        <v>0.9967850358</v>
      </c>
      <c r="AO32" s="278">
        <v>0.99702053705000004</v>
      </c>
      <c r="AP32" s="278">
        <v>0.99722160720000008</v>
      </c>
      <c r="AQ32" s="278">
        <v>0.99738824625</v>
      </c>
      <c r="AR32" s="278">
        <v>0.99752045419999991</v>
      </c>
      <c r="AS32" s="278">
        <v>0.99761823104999992</v>
      </c>
      <c r="AT32" s="278">
        <v>0.99768157680000003</v>
      </c>
      <c r="AU32" s="278">
        <v>0.99771049145000013</v>
      </c>
      <c r="AV32" s="279">
        <v>0.99770497499999988</v>
      </c>
      <c r="AW32" s="277">
        <v>0.99766502745000007</v>
      </c>
      <c r="AX32" s="278">
        <v>0.99759064879999992</v>
      </c>
      <c r="AY32" s="278">
        <v>0.99748183905000021</v>
      </c>
      <c r="AZ32" s="278">
        <v>0.99733859819999993</v>
      </c>
      <c r="BA32" s="278">
        <v>0.99716092625000008</v>
      </c>
      <c r="BB32" s="278">
        <v>0.99694882319999989</v>
      </c>
      <c r="BC32" s="278">
        <v>0.99670228905000002</v>
      </c>
      <c r="BD32" s="278">
        <v>0.99642132379999993</v>
      </c>
      <c r="BE32" s="278">
        <v>0.99610592744999993</v>
      </c>
      <c r="BF32" s="279">
        <v>0.99575609999999992</v>
      </c>
      <c r="BG32" s="279">
        <f t="shared" si="0"/>
        <v>0.99575609999999992</v>
      </c>
      <c r="BH32" s="237"/>
    </row>
    <row r="33" spans="1:60" ht="17.45" customHeight="1" x14ac:dyDescent="0.2">
      <c r="A33" s="273">
        <v>1.5</v>
      </c>
      <c r="B33" s="277">
        <v>1.0007341888000001</v>
      </c>
      <c r="C33" s="278">
        <v>1.0010269267499998</v>
      </c>
      <c r="D33" s="278">
        <v>1.0013087710000002</v>
      </c>
      <c r="E33" s="278">
        <v>1.00157972155</v>
      </c>
      <c r="F33" s="278">
        <v>1.0018397783999999</v>
      </c>
      <c r="G33" s="278">
        <v>1.0020889415500001</v>
      </c>
      <c r="H33" s="278">
        <v>1.0023272110000001</v>
      </c>
      <c r="I33" s="278">
        <v>1.0025545867499999</v>
      </c>
      <c r="J33" s="279">
        <v>1.0027710688</v>
      </c>
      <c r="K33" s="277">
        <v>1.0029766571500001</v>
      </c>
      <c r="L33" s="278">
        <v>1.0031713518000001</v>
      </c>
      <c r="M33" s="278">
        <v>1.00335515275</v>
      </c>
      <c r="N33" s="278">
        <v>1.0035280600000001</v>
      </c>
      <c r="O33" s="278">
        <v>1.0036900735500001</v>
      </c>
      <c r="P33" s="278">
        <v>1.0038411934</v>
      </c>
      <c r="Q33" s="278">
        <v>1.0039814195500001</v>
      </c>
      <c r="R33" s="278">
        <v>1.0041107520000001</v>
      </c>
      <c r="S33" s="279">
        <v>1.0042291907500001</v>
      </c>
      <c r="T33" s="277">
        <v>1.0043367357999999</v>
      </c>
      <c r="U33" s="278">
        <v>1.0044333871500002</v>
      </c>
      <c r="V33" s="278">
        <v>1.0045191447999999</v>
      </c>
      <c r="W33" s="278">
        <v>1.00459400875</v>
      </c>
      <c r="X33" s="278">
        <v>1.0046579790000001</v>
      </c>
      <c r="Y33" s="278">
        <v>1.0047110555500001</v>
      </c>
      <c r="Z33" s="278">
        <v>1.0047532384</v>
      </c>
      <c r="AA33" s="278">
        <v>1.00478452755</v>
      </c>
      <c r="AB33" s="279">
        <v>1.004804923</v>
      </c>
      <c r="AC33" s="277">
        <v>1.0048144247499999</v>
      </c>
      <c r="AD33" s="278">
        <v>1.0048130328</v>
      </c>
      <c r="AE33" s="278">
        <v>1.00480074715</v>
      </c>
      <c r="AF33" s="278">
        <v>1.0047775678000002</v>
      </c>
      <c r="AG33" s="278">
        <v>1.00474349475</v>
      </c>
      <c r="AH33" s="278">
        <v>1.0046985279999998</v>
      </c>
      <c r="AI33" s="278">
        <v>1.00464266755</v>
      </c>
      <c r="AJ33" s="278">
        <v>1.0045759134000001</v>
      </c>
      <c r="AK33" s="278">
        <v>1.0049999999999999</v>
      </c>
      <c r="AL33" s="279">
        <v>1.0049999999999999</v>
      </c>
      <c r="AM33" s="277">
        <v>1.0050262087450001</v>
      </c>
      <c r="AN33" s="278">
        <v>1.0050159111800001</v>
      </c>
      <c r="AO33" s="278">
        <v>1.0049993913050002</v>
      </c>
      <c r="AP33" s="278">
        <v>1.0049766491200001</v>
      </c>
      <c r="AQ33" s="278">
        <v>1.0049476846250001</v>
      </c>
      <c r="AR33" s="278">
        <v>1.0049124978200001</v>
      </c>
      <c r="AS33" s="278">
        <v>1.0048710887050001</v>
      </c>
      <c r="AT33" s="278">
        <v>1.0048234572800001</v>
      </c>
      <c r="AU33" s="278">
        <v>1.004769603545</v>
      </c>
      <c r="AV33" s="279">
        <v>1.0047095275</v>
      </c>
      <c r="AW33" s="277">
        <v>1.004643229145</v>
      </c>
      <c r="AX33" s="278">
        <v>1.00457070848</v>
      </c>
      <c r="AY33" s="278">
        <v>1.0044919655050002</v>
      </c>
      <c r="AZ33" s="278">
        <v>1.0044070002200001</v>
      </c>
      <c r="BA33" s="278">
        <v>1.004315812625</v>
      </c>
      <c r="BB33" s="278">
        <v>1.0042184027200001</v>
      </c>
      <c r="BC33" s="278">
        <v>1.004114770505</v>
      </c>
      <c r="BD33" s="278">
        <v>1.0040049159800002</v>
      </c>
      <c r="BE33" s="278">
        <v>1.003888839145</v>
      </c>
      <c r="BF33" s="279">
        <v>1.00376654</v>
      </c>
      <c r="BG33" s="279">
        <f t="shared" si="0"/>
        <v>1.00376654</v>
      </c>
      <c r="BH33" s="237"/>
    </row>
    <row r="34" spans="1:60" ht="17.45" customHeight="1" x14ac:dyDescent="0.2">
      <c r="A34" s="280">
        <v>2</v>
      </c>
      <c r="B34" s="281">
        <v>1</v>
      </c>
      <c r="C34" s="282">
        <v>1</v>
      </c>
      <c r="D34" s="282">
        <v>1</v>
      </c>
      <c r="E34" s="282">
        <v>1</v>
      </c>
      <c r="F34" s="282">
        <v>1</v>
      </c>
      <c r="G34" s="282">
        <v>1</v>
      </c>
      <c r="H34" s="282">
        <v>1</v>
      </c>
      <c r="I34" s="282">
        <v>1</v>
      </c>
      <c r="J34" s="283">
        <v>1</v>
      </c>
      <c r="K34" s="281">
        <v>1</v>
      </c>
      <c r="L34" s="282">
        <v>1</v>
      </c>
      <c r="M34" s="282">
        <v>1</v>
      </c>
      <c r="N34" s="282">
        <v>1</v>
      </c>
      <c r="O34" s="282">
        <v>1</v>
      </c>
      <c r="P34" s="282">
        <v>1</v>
      </c>
      <c r="Q34" s="282">
        <v>1</v>
      </c>
      <c r="R34" s="282">
        <v>1</v>
      </c>
      <c r="S34" s="283">
        <v>1</v>
      </c>
      <c r="T34" s="281">
        <v>1</v>
      </c>
      <c r="U34" s="282">
        <v>1</v>
      </c>
      <c r="V34" s="282">
        <v>1</v>
      </c>
      <c r="W34" s="282">
        <v>1</v>
      </c>
      <c r="X34" s="282">
        <v>1</v>
      </c>
      <c r="Y34" s="282">
        <v>1</v>
      </c>
      <c r="Z34" s="282">
        <v>1</v>
      </c>
      <c r="AA34" s="282">
        <v>1</v>
      </c>
      <c r="AB34" s="283">
        <v>1</v>
      </c>
      <c r="AC34" s="281">
        <v>1</v>
      </c>
      <c r="AD34" s="282">
        <v>1</v>
      </c>
      <c r="AE34" s="282">
        <v>1</v>
      </c>
      <c r="AF34" s="282">
        <v>1</v>
      </c>
      <c r="AG34" s="282">
        <v>1</v>
      </c>
      <c r="AH34" s="282">
        <v>1</v>
      </c>
      <c r="AI34" s="282">
        <v>1</v>
      </c>
      <c r="AJ34" s="282">
        <v>1</v>
      </c>
      <c r="AK34" s="282">
        <v>1</v>
      </c>
      <c r="AL34" s="283">
        <v>1</v>
      </c>
      <c r="AM34" s="281">
        <v>1</v>
      </c>
      <c r="AN34" s="282">
        <v>1</v>
      </c>
      <c r="AO34" s="282">
        <v>1</v>
      </c>
      <c r="AP34" s="282">
        <v>1</v>
      </c>
      <c r="AQ34" s="282">
        <v>1</v>
      </c>
      <c r="AR34" s="282">
        <v>1</v>
      </c>
      <c r="AS34" s="282">
        <v>1</v>
      </c>
      <c r="AT34" s="282">
        <v>1</v>
      </c>
      <c r="AU34" s="282">
        <v>1</v>
      </c>
      <c r="AV34" s="283">
        <v>1</v>
      </c>
      <c r="AW34" s="281">
        <v>1</v>
      </c>
      <c r="AX34" s="282">
        <v>1</v>
      </c>
      <c r="AY34" s="282">
        <v>1</v>
      </c>
      <c r="AZ34" s="282">
        <v>1</v>
      </c>
      <c r="BA34" s="282">
        <v>1</v>
      </c>
      <c r="BB34" s="282">
        <v>1</v>
      </c>
      <c r="BC34" s="282">
        <v>1</v>
      </c>
      <c r="BD34" s="282">
        <v>1</v>
      </c>
      <c r="BE34" s="282">
        <v>1</v>
      </c>
      <c r="BF34" s="283">
        <v>1</v>
      </c>
      <c r="BG34" s="283">
        <f t="shared" si="0"/>
        <v>1</v>
      </c>
      <c r="BH34" s="237"/>
    </row>
    <row r="35" spans="1:60" ht="17.45" customHeight="1" x14ac:dyDescent="0.2">
      <c r="A35" s="273">
        <v>2.5</v>
      </c>
      <c r="B35" s="284">
        <v>0.98281445135428569</v>
      </c>
      <c r="C35" s="285">
        <v>0.98310235484550612</v>
      </c>
      <c r="D35" s="285">
        <v>0.98357264455091964</v>
      </c>
      <c r="E35" s="285">
        <v>0.9840638055433093</v>
      </c>
      <c r="F35" s="285">
        <v>0.98452369742912027</v>
      </c>
      <c r="G35" s="285">
        <v>0.98493793084417658</v>
      </c>
      <c r="H35" s="285">
        <v>0.98530575314865609</v>
      </c>
      <c r="I35" s="285">
        <v>0.98563112387300611</v>
      </c>
      <c r="J35" s="286">
        <v>0.98591924610172399</v>
      </c>
      <c r="K35" s="284">
        <v>0.98617521662119256</v>
      </c>
      <c r="L35" s="285">
        <v>0.98640353929760127</v>
      </c>
      <c r="M35" s="285">
        <v>0.98660799671778932</v>
      </c>
      <c r="N35" s="285">
        <v>0.98679166753491609</v>
      </c>
      <c r="O35" s="285">
        <v>0.9869569977364846</v>
      </c>
      <c r="P35" s="285">
        <v>0.98710588611638439</v>
      </c>
      <c r="Q35" s="285">
        <v>0.98723976731834584</v>
      </c>
      <c r="R35" s="285">
        <v>0.98735968618349612</v>
      </c>
      <c r="S35" s="286">
        <v>0.98746669502302453</v>
      </c>
      <c r="T35" s="284">
        <v>0.98756290768398125</v>
      </c>
      <c r="U35" s="285">
        <v>0.98765054523602647</v>
      </c>
      <c r="V35" s="285">
        <v>0.98773164012758274</v>
      </c>
      <c r="W35" s="285">
        <v>0.98780806714267577</v>
      </c>
      <c r="X35" s="285">
        <v>0.98788156904834978</v>
      </c>
      <c r="Y35" s="285">
        <v>0.98795377786362137</v>
      </c>
      <c r="Z35" s="285">
        <v>0.98802623252795674</v>
      </c>
      <c r="AA35" s="285">
        <v>0.98810039361116975</v>
      </c>
      <c r="AB35" s="286">
        <v>0.9881776555906856</v>
      </c>
      <c r="AC35" s="284">
        <v>0.9882593571255901</v>
      </c>
      <c r="AD35" s="285">
        <v>0.9883467896776571</v>
      </c>
      <c r="AE35" s="285">
        <v>0.98844120476500008</v>
      </c>
      <c r="AF35" s="285">
        <v>0.98854382008161112</v>
      </c>
      <c r="AG35" s="285">
        <v>0.98865582467364266</v>
      </c>
      <c r="AH35" s="285">
        <v>0.9887783833289232</v>
      </c>
      <c r="AI35" s="285">
        <v>0.98891264030837411</v>
      </c>
      <c r="AJ35" s="285">
        <v>0.98905972252537755</v>
      </c>
      <c r="AK35" s="285">
        <v>0.98922074226077494</v>
      </c>
      <c r="AL35" s="286">
        <v>0.98939679948618309</v>
      </c>
      <c r="AM35" s="287">
        <v>0.99063521227858609</v>
      </c>
      <c r="AN35" s="288">
        <v>0.99086533495103735</v>
      </c>
      <c r="AO35" s="288">
        <v>0.99109995620190572</v>
      </c>
      <c r="AP35" s="288">
        <v>0.99133897459876641</v>
      </c>
      <c r="AQ35" s="288">
        <v>0.9915822888614283</v>
      </c>
      <c r="AR35" s="288">
        <v>0.9918297982925095</v>
      </c>
      <c r="AS35" s="288">
        <v>0.99208140312742454</v>
      </c>
      <c r="AT35" s="288">
        <v>0.99233700481699272</v>
      </c>
      <c r="AU35" s="288">
        <v>0.9925965062536628</v>
      </c>
      <c r="AV35" s="289">
        <v>0.99285981195054718</v>
      </c>
      <c r="AW35" s="287">
        <v>0.99312682818095155</v>
      </c>
      <c r="AX35" s="288">
        <v>0.99339746308484778</v>
      </c>
      <c r="AY35" s="288">
        <v>0.99367162674770104</v>
      </c>
      <c r="AZ35" s="288">
        <v>0.99394923125620194</v>
      </c>
      <c r="BA35" s="288">
        <v>0.99423019073473595</v>
      </c>
      <c r="BB35" s="288">
        <v>0.99451442136581569</v>
      </c>
      <c r="BC35" s="288">
        <v>0.9948018413972084</v>
      </c>
      <c r="BD35" s="288">
        <v>0.99509237113804971</v>
      </c>
      <c r="BE35" s="288">
        <v>0.99538593294589472</v>
      </c>
      <c r="BF35" s="289">
        <v>0.99568245120634513</v>
      </c>
      <c r="BG35" s="289">
        <f t="shared" si="0"/>
        <v>0.99568245120634513</v>
      </c>
      <c r="BH35" s="237"/>
    </row>
    <row r="36" spans="1:60" ht="17.45" customHeight="1" x14ac:dyDescent="0.2">
      <c r="A36" s="273">
        <v>3</v>
      </c>
      <c r="B36" s="277">
        <v>0.96561163423278562</v>
      </c>
      <c r="C36" s="278">
        <v>0.96908004838255446</v>
      </c>
      <c r="D36" s="278">
        <v>0.97106859681398783</v>
      </c>
      <c r="E36" s="278">
        <v>0.97235038402194818</v>
      </c>
      <c r="F36" s="278">
        <v>0.97326895509772837</v>
      </c>
      <c r="G36" s="278">
        <v>0.97399084901526423</v>
      </c>
      <c r="H36" s="278">
        <v>0.97460162110156168</v>
      </c>
      <c r="I36" s="278">
        <v>0.97514684927798712</v>
      </c>
      <c r="J36" s="279">
        <v>0.97565122288924178</v>
      </c>
      <c r="K36" s="277">
        <v>0.97612803759968281</v>
      </c>
      <c r="L36" s="278">
        <v>0.97658417072880799</v>
      </c>
      <c r="M36" s="278">
        <v>0.97702279872862274</v>
      </c>
      <c r="N36" s="278">
        <v>0.97744493146856526</v>
      </c>
      <c r="O36" s="278">
        <v>0.97785030158339414</v>
      </c>
      <c r="P36" s="278">
        <v>0.97823789060217914</v>
      </c>
      <c r="Q36" s="278">
        <v>0.9786062448888222</v>
      </c>
      <c r="R36" s="278">
        <v>0.97895366718995958</v>
      </c>
      <c r="S36" s="279">
        <v>0.97927890784530491</v>
      </c>
      <c r="T36" s="277">
        <v>0.97958296088348207</v>
      </c>
      <c r="U36" s="278">
        <v>0.97986738491901848</v>
      </c>
      <c r="V36" s="278">
        <v>0.98013375335278585</v>
      </c>
      <c r="W36" s="278">
        <v>0.98038366781214703</v>
      </c>
      <c r="X36" s="278">
        <v>0.98061876472965548</v>
      </c>
      <c r="Y36" s="278">
        <v>0.98084071768975356</v>
      </c>
      <c r="Z36" s="278">
        <v>0.98105123721514575</v>
      </c>
      <c r="AA36" s="278">
        <v>0.98125206905807882</v>
      </c>
      <c r="AB36" s="279">
        <v>0.98144499167432286</v>
      </c>
      <c r="AC36" s="277">
        <v>0.98163181330837868</v>
      </c>
      <c r="AD36" s="278">
        <v>0.98181436895733831</v>
      </c>
      <c r="AE36" s="278">
        <v>0.98199451737642141</v>
      </c>
      <c r="AF36" s="278">
        <v>0.98217413822164523</v>
      </c>
      <c r="AG36" s="278">
        <v>0.98235512938148473</v>
      </c>
      <c r="AH36" s="278">
        <v>0.98253940452154565</v>
      </c>
      <c r="AI36" s="278">
        <v>0.98272889084874959</v>
      </c>
      <c r="AJ36" s="278">
        <v>0.98292552709079117</v>
      </c>
      <c r="AK36" s="278">
        <v>0.98313126168034159</v>
      </c>
      <c r="AL36" s="279">
        <v>0.98334805113008195</v>
      </c>
      <c r="AM36" s="277">
        <v>0.98469168850852162</v>
      </c>
      <c r="AN36" s="278">
        <v>0.98496946907310357</v>
      </c>
      <c r="AO36" s="278">
        <v>0.98524459108444351</v>
      </c>
      <c r="AP36" s="278">
        <v>0.98551701841537831</v>
      </c>
      <c r="AQ36" s="278">
        <v>0.98578672110581445</v>
      </c>
      <c r="AR36" s="278">
        <v>0.98605367481405426</v>
      </c>
      <c r="AS36" s="278">
        <v>0.98631786030877755</v>
      </c>
      <c r="AT36" s="278">
        <v>0.98657926300026866</v>
      </c>
      <c r="AU36" s="278">
        <v>0.98683787250901889</v>
      </c>
      <c r="AV36" s="279">
        <v>0.98709368226957006</v>
      </c>
      <c r="AW36" s="277">
        <v>0.98734668916734114</v>
      </c>
      <c r="AX36" s="278">
        <v>0.98759689320614097</v>
      </c>
      <c r="AY36" s="278">
        <v>0.98784429720410583</v>
      </c>
      <c r="AZ36" s="278">
        <v>0.98808890651587189</v>
      </c>
      <c r="BA36" s="278">
        <v>0.98833072877889516</v>
      </c>
      <c r="BB36" s="278">
        <v>0.98856977368195198</v>
      </c>
      <c r="BC36" s="278">
        <v>0.98880605275396904</v>
      </c>
      <c r="BD36" s="278">
        <v>0.98903957917147589</v>
      </c>
      <c r="BE36" s="278">
        <v>0.98927036758307929</v>
      </c>
      <c r="BF36" s="279">
        <v>0.98949843394950709</v>
      </c>
      <c r="BG36" s="279">
        <f t="shared" si="0"/>
        <v>0.98949843394950709</v>
      </c>
      <c r="BH36" s="237"/>
    </row>
    <row r="37" spans="1:60" ht="17.45" customHeight="1" x14ac:dyDescent="0.2">
      <c r="A37" s="273">
        <v>3.5</v>
      </c>
      <c r="B37" s="277">
        <v>0.95014656040463441</v>
      </c>
      <c r="C37" s="278">
        <v>0.95343943342032456</v>
      </c>
      <c r="D37" s="278">
        <v>0.95591361239867001</v>
      </c>
      <c r="E37" s="278">
        <v>0.95786662731011907</v>
      </c>
      <c r="F37" s="278">
        <v>0.95946724840808062</v>
      </c>
      <c r="G37" s="278">
        <v>0.96081835897072998</v>
      </c>
      <c r="H37" s="278">
        <v>0.96198605681160521</v>
      </c>
      <c r="I37" s="278">
        <v>0.96301450455370763</v>
      </c>
      <c r="J37" s="279">
        <v>0.96393409213504078</v>
      </c>
      <c r="K37" s="277">
        <v>0.96476619441173472</v>
      </c>
      <c r="L37" s="278">
        <v>0.96552607930308043</v>
      </c>
      <c r="M37" s="278">
        <v>0.96622475690292897</v>
      </c>
      <c r="N37" s="278">
        <v>0.96687019493301118</v>
      </c>
      <c r="O37" s="278">
        <v>0.96746814069603126</v>
      </c>
      <c r="P37" s="278">
        <v>0.96802269074781644</v>
      </c>
      <c r="Q37" s="278">
        <v>0.96853669428864242</v>
      </c>
      <c r="R37" s="278">
        <v>0.96901204426687848</v>
      </c>
      <c r="S37" s="279">
        <v>0.96945062526321668</v>
      </c>
      <c r="T37" s="277">
        <v>0.9698566778894856</v>
      </c>
      <c r="U37" s="278">
        <v>0.97023472031621361</v>
      </c>
      <c r="V37" s="278">
        <v>0.9705889060421794</v>
      </c>
      <c r="W37" s="278">
        <v>0.97092309453859293</v>
      </c>
      <c r="X37" s="278">
        <v>0.97124090643383465</v>
      </c>
      <c r="Y37" s="278">
        <v>0.97154576702592388</v>
      </c>
      <c r="Z37" s="278">
        <v>0.97184094088726636</v>
      </c>
      <c r="AA37" s="278">
        <v>0.97212955960405301</v>
      </c>
      <c r="AB37" s="279">
        <v>0.97241464417593415</v>
      </c>
      <c r="AC37" s="277">
        <v>0.97269912322729513</v>
      </c>
      <c r="AD37" s="278">
        <v>0.9729858479073008</v>
      </c>
      <c r="AE37" s="278">
        <v>0.97327760415290787</v>
      </c>
      <c r="AF37" s="278">
        <v>0.97357712283735065</v>
      </c>
      <c r="AG37" s="278">
        <v>0.97388708821217362</v>
      </c>
      <c r="AH37" s="278">
        <v>0.97421014496381975</v>
      </c>
      <c r="AI37" s="278">
        <v>0.97454890413902218</v>
      </c>
      <c r="AJ37" s="278">
        <v>0.97490594814165654</v>
      </c>
      <c r="AK37" s="278">
        <v>0.97528383496356785</v>
      </c>
      <c r="AL37" s="279">
        <v>0.97568510178043566</v>
      </c>
      <c r="AM37" s="277">
        <v>0.97666050422834894</v>
      </c>
      <c r="AN37" s="278">
        <v>0.97700268111085264</v>
      </c>
      <c r="AO37" s="278">
        <v>0.97734219079683238</v>
      </c>
      <c r="AP37" s="278">
        <v>0.97767912252818623</v>
      </c>
      <c r="AQ37" s="278">
        <v>0.97801355835911774</v>
      </c>
      <c r="AR37" s="278">
        <v>0.978345573996099</v>
      </c>
      <c r="AS37" s="278">
        <v>0.97867523952070523</v>
      </c>
      <c r="AT37" s="278">
        <v>0.97900262001370431</v>
      </c>
      <c r="AU37" s="278">
        <v>0.97932777609561805</v>
      </c>
      <c r="AV37" s="279">
        <v>0.97965076439637522</v>
      </c>
      <c r="AW37" s="277">
        <v>0.97997163796458986</v>
      </c>
      <c r="AX37" s="278">
        <v>0.98029044662525555</v>
      </c>
      <c r="AY37" s="278">
        <v>0.98060723729325228</v>
      </c>
      <c r="AZ37" s="278">
        <v>0.98092205424887224</v>
      </c>
      <c r="BA37" s="278">
        <v>0.98123493938062356</v>
      </c>
      <c r="BB37" s="278">
        <v>0.9815459323997543</v>
      </c>
      <c r="BC37" s="278">
        <v>0.98185507103027891</v>
      </c>
      <c r="BD37" s="278">
        <v>0.98216239117772208</v>
      </c>
      <c r="BE37" s="278">
        <v>0.98246792707933395</v>
      </c>
      <c r="BF37" s="279">
        <v>0.98277171143812914</v>
      </c>
      <c r="BG37" s="279">
        <f t="shared" si="0"/>
        <v>0.98277171143812914</v>
      </c>
      <c r="BH37" s="237"/>
    </row>
    <row r="38" spans="1:60" ht="17.45" customHeight="1" x14ac:dyDescent="0.2">
      <c r="A38" s="273">
        <v>4</v>
      </c>
      <c r="B38" s="277">
        <v>0.93283098772394613</v>
      </c>
      <c r="C38" s="278">
        <v>0.93823804361810337</v>
      </c>
      <c r="D38" s="278">
        <v>0.94183977586680756</v>
      </c>
      <c r="E38" s="278">
        <v>0.94449333733444374</v>
      </c>
      <c r="F38" s="278">
        <v>0.94659808059125805</v>
      </c>
      <c r="G38" s="278">
        <v>0.94835913529379579</v>
      </c>
      <c r="H38" s="278">
        <v>0.9498896814397999</v>
      </c>
      <c r="I38" s="278">
        <v>0.95125564449323585</v>
      </c>
      <c r="J38" s="279">
        <v>0.95249705638656834</v>
      </c>
      <c r="K38" s="277">
        <v>0.95363900580828209</v>
      </c>
      <c r="L38" s="278">
        <v>0.95469757842341352</v>
      </c>
      <c r="M38" s="278">
        <v>0.955683233564665</v>
      </c>
      <c r="N38" s="278">
        <v>0.95660280088043781</v>
      </c>
      <c r="O38" s="278">
        <v>0.95746070153978202</v>
      </c>
      <c r="P38" s="278">
        <v>0.95825971744487382</v>
      </c>
      <c r="Q38" s="278">
        <v>0.95900148847500988</v>
      </c>
      <c r="R38" s="278">
        <v>0.95968684145903116</v>
      </c>
      <c r="S38" s="279">
        <v>0.96031683698495418</v>
      </c>
      <c r="T38" s="277">
        <v>0.96089540011349439</v>
      </c>
      <c r="U38" s="278">
        <v>0.96142696031278063</v>
      </c>
      <c r="V38" s="278">
        <v>0.96191570301316875</v>
      </c>
      <c r="W38" s="278">
        <v>0.96236562368266443</v>
      </c>
      <c r="X38" s="278">
        <v>0.9627805673533667</v>
      </c>
      <c r="Y38" s="278">
        <v>0.96316425790263893</v>
      </c>
      <c r="Z38" s="278">
        <v>0.96352032002548071</v>
      </c>
      <c r="AA38" s="278">
        <v>0.96385229592907662</v>
      </c>
      <c r="AB38" s="279">
        <v>0.9641636581720171</v>
      </c>
      <c r="AC38" s="277">
        <v>0.96445781965627453</v>
      </c>
      <c r="AD38" s="278">
        <v>0.96473814149427373</v>
      </c>
      <c r="AE38" s="278">
        <v>0.96500793927400441</v>
      </c>
      <c r="AF38" s="278">
        <v>0.96527048810455818</v>
      </c>
      <c r="AG38" s="278">
        <v>0.96552902672426755</v>
      </c>
      <c r="AH38" s="278">
        <v>0.96578676088159388</v>
      </c>
      <c r="AI38" s="278">
        <v>0.96604686614658097</v>
      </c>
      <c r="AJ38" s="278">
        <v>0.96631249027240496</v>
      </c>
      <c r="AK38" s="278">
        <v>0.96658675519826998</v>
      </c>
      <c r="AL38" s="279">
        <v>0.96687275876386869</v>
      </c>
      <c r="AM38" s="277">
        <v>0.96853808220458304</v>
      </c>
      <c r="AN38" s="278">
        <v>0.96890564948322866</v>
      </c>
      <c r="AO38" s="278">
        <v>0.96926829985916263</v>
      </c>
      <c r="AP38" s="278">
        <v>0.9696262227671375</v>
      </c>
      <c r="AQ38" s="278">
        <v>0.96997959352371266</v>
      </c>
      <c r="AR38" s="278">
        <v>0.97032857482309465</v>
      </c>
      <c r="AS38" s="278">
        <v>0.97067331803825674</v>
      </c>
      <c r="AT38" s="278">
        <v>0.97101396435658149</v>
      </c>
      <c r="AU38" s="278">
        <v>0.97135064577434449</v>
      </c>
      <c r="AV38" s="279">
        <v>0.97168348597036747</v>
      </c>
      <c r="AW38" s="277">
        <v>0.97201260107588283</v>
      </c>
      <c r="AX38" s="278">
        <v>0.97233810035495505</v>
      </c>
      <c r="AY38" s="278">
        <v>0.97266008680757887</v>
      </c>
      <c r="AZ38" s="278">
        <v>0.97297865770572733</v>
      </c>
      <c r="BA38" s="278">
        <v>0.97329390507107993</v>
      </c>
      <c r="BB38" s="278">
        <v>0.97360591610188985</v>
      </c>
      <c r="BC38" s="278">
        <v>0.97391477355536227</v>
      </c>
      <c r="BD38" s="278">
        <v>0.97422055609101443</v>
      </c>
      <c r="BE38" s="278">
        <v>0.97452333857973705</v>
      </c>
      <c r="BF38" s="279">
        <v>0.97482319238261295</v>
      </c>
      <c r="BG38" s="279">
        <f t="shared" si="0"/>
        <v>0.97482319238261295</v>
      </c>
      <c r="BH38" s="237"/>
    </row>
    <row r="39" spans="1:60" ht="17.45" customHeight="1" x14ac:dyDescent="0.2">
      <c r="A39" s="280">
        <v>4.5</v>
      </c>
      <c r="B39" s="290">
        <v>0.91509617981194724</v>
      </c>
      <c r="C39" s="291">
        <v>0.92249227050121163</v>
      </c>
      <c r="D39" s="291">
        <v>0.92727051181687103</v>
      </c>
      <c r="E39" s="291">
        <v>0.93068624994043914</v>
      </c>
      <c r="F39" s="291">
        <v>0.93332530810853065</v>
      </c>
      <c r="G39" s="291">
        <v>0.93548823966766936</v>
      </c>
      <c r="H39" s="291">
        <v>0.93734031097813619</v>
      </c>
      <c r="I39" s="291">
        <v>0.93897728263131131</v>
      </c>
      <c r="J39" s="292">
        <v>0.94045690920974245</v>
      </c>
      <c r="K39" s="290">
        <v>0.9418150969509983</v>
      </c>
      <c r="L39" s="291">
        <v>0.94307466393589912</v>
      </c>
      <c r="M39" s="291">
        <v>0.94425031144229454</v>
      </c>
      <c r="N39" s="291">
        <v>0.94535155530718595</v>
      </c>
      <c r="O39" s="291">
        <v>0.94638451172566573</v>
      </c>
      <c r="P39" s="291">
        <v>0.94735301623477175</v>
      </c>
      <c r="Q39" s="291">
        <v>0.94825934232478515</v>
      </c>
      <c r="R39" s="291">
        <v>0.94910467306020385</v>
      </c>
      <c r="S39" s="292">
        <v>0.94989027131219095</v>
      </c>
      <c r="T39" s="290">
        <v>0.9506202638374539</v>
      </c>
      <c r="U39" s="291">
        <v>0.95129923431647989</v>
      </c>
      <c r="V39" s="291">
        <v>0.95193147276068113</v>
      </c>
      <c r="W39" s="291">
        <v>0.95252104824372374</v>
      </c>
      <c r="X39" s="291">
        <v>0.95307186103365871</v>
      </c>
      <c r="Y39" s="291">
        <v>0.9535876803666905</v>
      </c>
      <c r="Z39" s="291">
        <v>0.95407217209712303</v>
      </c>
      <c r="AA39" s="291">
        <v>0.95452891913343496</v>
      </c>
      <c r="AB39" s="292">
        <v>0.95496143668364253</v>
      </c>
      <c r="AC39" s="290">
        <v>0.95537318373172697</v>
      </c>
      <c r="AD39" s="291">
        <v>0.9557675717542341</v>
      </c>
      <c r="AE39" s="291">
        <v>0.95614797139983831</v>
      </c>
      <c r="AF39" s="291">
        <v>0.95651771765404692</v>
      </c>
      <c r="AG39" s="291">
        <v>0.95688011386924821</v>
      </c>
      <c r="AH39" s="291">
        <v>0.95723843493903571</v>
      </c>
      <c r="AI39" s="291">
        <v>0.9575959298228397</v>
      </c>
      <c r="AJ39" s="291">
        <v>0.9579558235740675</v>
      </c>
      <c r="AK39" s="291">
        <v>0.95832131898636752</v>
      </c>
      <c r="AL39" s="292">
        <v>0.95869559794427162</v>
      </c>
      <c r="AM39" s="281">
        <v>0.96016241695670945</v>
      </c>
      <c r="AN39" s="282">
        <v>0.96056678199433088</v>
      </c>
      <c r="AO39" s="282">
        <v>0.9609608450736582</v>
      </c>
      <c r="AP39" s="282">
        <v>0.96134487865349016</v>
      </c>
      <c r="AQ39" s="282">
        <v>0.9617191421260004</v>
      </c>
      <c r="AR39" s="282">
        <v>0.96208388294341129</v>
      </c>
      <c r="AS39" s="282">
        <v>0.96243933759877409</v>
      </c>
      <c r="AT39" s="282">
        <v>0.96278573248444466</v>
      </c>
      <c r="AU39" s="282">
        <v>0.9631232846475144</v>
      </c>
      <c r="AV39" s="283">
        <v>0.96345220245798491</v>
      </c>
      <c r="AW39" s="281">
        <v>0.96377268620271062</v>
      </c>
      <c r="AX39" s="282">
        <v>0.96408492861587369</v>
      </c>
      <c r="AY39" s="282">
        <v>0.96438911535494831</v>
      </c>
      <c r="AZ39" s="282">
        <v>0.96468542542962543</v>
      </c>
      <c r="BA39" s="282">
        <v>0.9649740315899642</v>
      </c>
      <c r="BB39" s="282">
        <v>0.96525510067903642</v>
      </c>
      <c r="BC39" s="282">
        <v>0.96552879395452718</v>
      </c>
      <c r="BD39" s="282">
        <v>0.96579526738306753</v>
      </c>
      <c r="BE39" s="282">
        <v>0.96605467191051708</v>
      </c>
      <c r="BF39" s="283">
        <v>0.96630715371095277</v>
      </c>
      <c r="BG39" s="283">
        <f t="shared" si="0"/>
        <v>0.96630715371095277</v>
      </c>
      <c r="BH39" s="237"/>
    </row>
    <row r="40" spans="1:60" ht="17.45" customHeight="1" x14ac:dyDescent="0.2">
      <c r="A40" s="273">
        <v>5</v>
      </c>
      <c r="B40" s="287">
        <v>0.89768275625010097</v>
      </c>
      <c r="C40" s="288">
        <v>0.90532224350757506</v>
      </c>
      <c r="D40" s="288">
        <v>0.91069547803933859</v>
      </c>
      <c r="E40" s="288">
        <v>0.91479442897065677</v>
      </c>
      <c r="F40" s="288">
        <v>0.91810604127988227</v>
      </c>
      <c r="G40" s="288">
        <v>0.92089434517854152</v>
      </c>
      <c r="H40" s="288">
        <v>0.92331348516258183</v>
      </c>
      <c r="I40" s="288">
        <v>0.92545873818678459</v>
      </c>
      <c r="J40" s="289">
        <v>0.92739171346151106</v>
      </c>
      <c r="K40" s="287">
        <v>0.92915371479628017</v>
      </c>
      <c r="L40" s="288">
        <v>0.93077324598770428</v>
      </c>
      <c r="M40" s="288">
        <v>0.93227043305216706</v>
      </c>
      <c r="N40" s="288">
        <v>0.93365973760554111</v>
      </c>
      <c r="O40" s="288">
        <v>0.93495168083004088</v>
      </c>
      <c r="P40" s="288">
        <v>0.93615397265848643</v>
      </c>
      <c r="Q40" s="288">
        <v>0.93727227151977066</v>
      </c>
      <c r="R40" s="288">
        <v>0.93831070790946058</v>
      </c>
      <c r="S40" s="289">
        <v>0.93927308890341166</v>
      </c>
      <c r="T40" s="287">
        <v>0.94016567668191253</v>
      </c>
      <c r="U40" s="288">
        <v>0.94099488439287882</v>
      </c>
      <c r="V40" s="288">
        <v>0.94176658351320519</v>
      </c>
      <c r="W40" s="288">
        <v>0.94248621033905167</v>
      </c>
      <c r="X40" s="288">
        <v>0.94315884723494137</v>
      </c>
      <c r="Y40" s="288">
        <v>0.94378928541538953</v>
      </c>
      <c r="Z40" s="288">
        <v>0.94438207403226182</v>
      </c>
      <c r="AA40" s="288">
        <v>0.94494155897968457</v>
      </c>
      <c r="AB40" s="289">
        <v>0.94547191388778107</v>
      </c>
      <c r="AC40" s="287">
        <v>0.94597716511745544</v>
      </c>
      <c r="AD40" s="288">
        <v>0.94646121210060496</v>
      </c>
      <c r="AE40" s="288">
        <v>0.94692784403389063</v>
      </c>
      <c r="AF40" s="288">
        <v>0.94738075368982066</v>
      </c>
      <c r="AG40" s="288">
        <v>0.94782354892928244</v>
      </c>
      <c r="AH40" s="288">
        <v>0.94825976236639764</v>
      </c>
      <c r="AI40" s="288">
        <v>0.94869285953666582</v>
      </c>
      <c r="AJ40" s="288">
        <v>0.94912624584384953</v>
      </c>
      <c r="AK40" s="288">
        <v>0.94956327250344408</v>
      </c>
      <c r="AL40" s="289">
        <v>0.95000724165629036</v>
      </c>
      <c r="AM40" s="287">
        <v>0.95126385409362013</v>
      </c>
      <c r="AN40" s="288">
        <v>0.95168674777075135</v>
      </c>
      <c r="AO40" s="288">
        <v>0.95209625870285797</v>
      </c>
      <c r="AP40" s="288">
        <v>0.95249286838359681</v>
      </c>
      <c r="AQ40" s="288">
        <v>0.95287702964548171</v>
      </c>
      <c r="AR40" s="288">
        <v>0.95324916916341629</v>
      </c>
      <c r="AS40" s="288">
        <v>0.95360968967076143</v>
      </c>
      <c r="AT40" s="288">
        <v>0.95395897192806611</v>
      </c>
      <c r="AU40" s="288">
        <v>0.95429737647812474</v>
      </c>
      <c r="AV40" s="289">
        <v>0.9546252452157008</v>
      </c>
      <c r="AW40" s="287">
        <v>0.95494290279590377</v>
      </c>
      <c r="AX40" s="288">
        <v>0.95525065790158215</v>
      </c>
      <c r="AY40" s="288">
        <v>0.95554880438710577</v>
      </c>
      <c r="AZ40" s="288">
        <v>0.95583762231340352</v>
      </c>
      <c r="BA40" s="288">
        <v>0.95611737888702708</v>
      </c>
      <c r="BB40" s="288">
        <v>0.95638832931425655</v>
      </c>
      <c r="BC40" s="288">
        <v>0.95665071757977571</v>
      </c>
      <c r="BD40" s="288">
        <v>0.95690477715818001</v>
      </c>
      <c r="BE40" s="288">
        <v>0.95715073166552367</v>
      </c>
      <c r="BF40" s="289">
        <v>0.95738879545718891</v>
      </c>
      <c r="BG40" s="289">
        <f t="shared" si="0"/>
        <v>0.95738879545718891</v>
      </c>
      <c r="BH40" s="237"/>
    </row>
    <row r="41" spans="1:60" ht="17.45" customHeight="1" x14ac:dyDescent="0.2">
      <c r="A41" s="273">
        <v>5.5</v>
      </c>
      <c r="B41" s="277">
        <v>0.88001081438342477</v>
      </c>
      <c r="C41" s="278">
        <v>0.88867441042907158</v>
      </c>
      <c r="D41" s="278">
        <v>0.89486723475403951</v>
      </c>
      <c r="E41" s="278">
        <v>0.89963987813473012</v>
      </c>
      <c r="F41" s="278">
        <v>0.90351705370313706</v>
      </c>
      <c r="G41" s="278">
        <v>0.90678825255751416</v>
      </c>
      <c r="H41" s="278">
        <v>0.90962547243892389</v>
      </c>
      <c r="I41" s="278">
        <v>0.91213693271218055</v>
      </c>
      <c r="J41" s="279">
        <v>0.91439389295139406</v>
      </c>
      <c r="K41" s="277">
        <v>0.91644502766564151</v>
      </c>
      <c r="L41" s="278">
        <v>0.9183245880698867</v>
      </c>
      <c r="M41" s="278">
        <v>0.92005726348223638</v>
      </c>
      <c r="N41" s="278">
        <v>0.92166119671629021</v>
      </c>
      <c r="O41" s="278">
        <v>0.92314992080753489</v>
      </c>
      <c r="P41" s="278">
        <v>0.92453364130266391</v>
      </c>
      <c r="Q41" s="278">
        <v>0.92582010828188266</v>
      </c>
      <c r="R41" s="278">
        <v>0.92701522366568212</v>
      </c>
      <c r="S41" s="279">
        <v>0.92812425116863029</v>
      </c>
      <c r="T41" s="277">
        <v>0.92915447010512198</v>
      </c>
      <c r="U41" s="278">
        <v>0.93011308369875001</v>
      </c>
      <c r="V41" s="278">
        <v>0.931006613991331</v>
      </c>
      <c r="W41" s="278">
        <v>0.93184103171368937</v>
      </c>
      <c r="X41" s="278">
        <v>0.93262185628044281</v>
      </c>
      <c r="Y41" s="278">
        <v>0.93335423373373716</v>
      </c>
      <c r="Z41" s="278">
        <v>0.93404299819406289</v>
      </c>
      <c r="AA41" s="278">
        <v>0.93469272082264565</v>
      </c>
      <c r="AB41" s="279">
        <v>0.93530774921884718</v>
      </c>
      <c r="AC41" s="277">
        <v>0.93589223941307353</v>
      </c>
      <c r="AD41" s="278">
        <v>0.93645018207025554</v>
      </c>
      <c r="AE41" s="278">
        <v>0.93698542412417163</v>
      </c>
      <c r="AF41" s="278">
        <v>0.93750168677392109</v>
      </c>
      <c r="AG41" s="278">
        <v>0.93800258056001751</v>
      </c>
      <c r="AH41" s="278">
        <v>0.93849161807779102</v>
      </c>
      <c r="AI41" s="278">
        <v>0.93897222476520259</v>
      </c>
      <c r="AJ41" s="278">
        <v>0.93944774811041865</v>
      </c>
      <c r="AK41" s="278">
        <v>0.93992146555402056</v>
      </c>
      <c r="AL41" s="279">
        <v>0.94039659130620779</v>
      </c>
      <c r="AM41" s="277">
        <v>0.94171208521856553</v>
      </c>
      <c r="AN41" s="278">
        <v>0.94216830680949715</v>
      </c>
      <c r="AO41" s="278">
        <v>0.94260862304017623</v>
      </c>
      <c r="AP41" s="278">
        <v>0.94303363447406763</v>
      </c>
      <c r="AQ41" s="278">
        <v>0.94344390507251108</v>
      </c>
      <c r="AR41" s="278">
        <v>0.94383996539643567</v>
      </c>
      <c r="AS41" s="278">
        <v>0.94422231544479185</v>
      </c>
      <c r="AT41" s="278">
        <v>0.94459142717957023</v>
      </c>
      <c r="AU41" s="278">
        <v>0.94494774677935389</v>
      </c>
      <c r="AV41" s="279">
        <v>0.94529169665686041</v>
      </c>
      <c r="AW41" s="277">
        <v>0.94562367727055197</v>
      </c>
      <c r="AX41" s="278">
        <v>0.94594406875593851</v>
      </c>
      <c r="AY41" s="278">
        <v>0.94625323239848802</v>
      </c>
      <c r="AZ41" s="278">
        <v>0.94655151196695064</v>
      </c>
      <c r="BA41" s="278">
        <v>0.94683923492330446</v>
      </c>
      <c r="BB41" s="278">
        <v>0.94711671352330995</v>
      </c>
      <c r="BC41" s="278">
        <v>0.94738424581983138</v>
      </c>
      <c r="BD41" s="278">
        <v>0.94764211657947128</v>
      </c>
      <c r="BE41" s="278">
        <v>0.94789059812174081</v>
      </c>
      <c r="BF41" s="279">
        <v>0.94812995108882137</v>
      </c>
      <c r="BG41" s="279">
        <f t="shared" si="0"/>
        <v>0.94812995108882137</v>
      </c>
      <c r="BH41" s="237"/>
    </row>
    <row r="42" spans="1:60" ht="17.45" customHeight="1" x14ac:dyDescent="0.2">
      <c r="A42" s="273">
        <v>6</v>
      </c>
      <c r="B42" s="277">
        <v>0.86211362561427496</v>
      </c>
      <c r="C42" s="278">
        <v>0.87187713001086797</v>
      </c>
      <c r="D42" s="278">
        <v>0.87870830229904628</v>
      </c>
      <c r="E42" s="278">
        <v>0.88393675918581494</v>
      </c>
      <c r="F42" s="278">
        <v>0.88819558752996552</v>
      </c>
      <c r="G42" s="278">
        <v>0.89181828936955521</v>
      </c>
      <c r="H42" s="278">
        <v>0.89499451609178149</v>
      </c>
      <c r="I42" s="278">
        <v>0.89783884080279863</v>
      </c>
      <c r="J42" s="279">
        <v>0.9004239800845607</v>
      </c>
      <c r="K42" s="277">
        <v>0.90279802103342344</v>
      </c>
      <c r="L42" s="278">
        <v>0.90499388482061272</v>
      </c>
      <c r="M42" s="278">
        <v>0.90703478173396868</v>
      </c>
      <c r="N42" s="278">
        <v>0.90893748708253164</v>
      </c>
      <c r="O42" s="278">
        <v>0.91071437951549061</v>
      </c>
      <c r="P42" s="278">
        <v>0.91237474948692954</v>
      </c>
      <c r="Q42" s="278">
        <v>0.91392566288586419</v>
      </c>
      <c r="R42" s="278">
        <v>0.91537254553797498</v>
      </c>
      <c r="S42" s="279">
        <v>0.91672027867762884</v>
      </c>
      <c r="T42" s="277">
        <v>0.91797556476879205</v>
      </c>
      <c r="U42" s="278">
        <v>0.91914507319334848</v>
      </c>
      <c r="V42" s="278">
        <v>0.92023490007725373</v>
      </c>
      <c r="W42" s="278">
        <v>0.92125067882057932</v>
      </c>
      <c r="X42" s="278">
        <v>0.92219766363331901</v>
      </c>
      <c r="Y42" s="278">
        <v>0.9230807935993337</v>
      </c>
      <c r="Z42" s="278">
        <v>0.92390474248982557</v>
      </c>
      <c r="AA42" s="278">
        <v>0.92467395800451735</v>
      </c>
      <c r="AB42" s="279">
        <v>0.92539269306767846</v>
      </c>
      <c r="AC42" s="277">
        <v>0.92606503107995652</v>
      </c>
      <c r="AD42" s="278">
        <v>0.92669490651849495</v>
      </c>
      <c r="AE42" s="278">
        <v>0.92728612191721482</v>
      </c>
      <c r="AF42" s="278">
        <v>0.92784236200042891</v>
      </c>
      <c r="AG42" s="278">
        <v>0.92836720555518248</v>
      </c>
      <c r="AH42" s="278">
        <v>0.92886413549002944</v>
      </c>
      <c r="AI42" s="278">
        <v>0.92933654742593985</v>
      </c>
      <c r="AJ42" s="278">
        <v>0.92978775708871775</v>
      </c>
      <c r="AK42" s="278">
        <v>0.93022100671471608</v>
      </c>
      <c r="AL42" s="279">
        <v>0.93063947063774688</v>
      </c>
      <c r="AM42" s="277">
        <v>0.93231126721819979</v>
      </c>
      <c r="AN42" s="278">
        <v>0.93279168954319835</v>
      </c>
      <c r="AO42" s="278">
        <v>0.93325068492149632</v>
      </c>
      <c r="AP42" s="278">
        <v>0.93368903211866916</v>
      </c>
      <c r="AQ42" s="278">
        <v>0.93410746582132276</v>
      </c>
      <c r="AR42" s="278">
        <v>0.93450668023531447</v>
      </c>
      <c r="AS42" s="278">
        <v>0.93488733229593857</v>
      </c>
      <c r="AT42" s="278">
        <v>0.93525004454165694</v>
      </c>
      <c r="AU42" s="278">
        <v>0.93559540769492822</v>
      </c>
      <c r="AV42" s="279">
        <v>0.93592398298703983</v>
      </c>
      <c r="AW42" s="277">
        <v>0.93623630425840587</v>
      </c>
      <c r="AX42" s="278">
        <v>0.93653287986120548</v>
      </c>
      <c r="AY42" s="278">
        <v>0.93681419438745628</v>
      </c>
      <c r="AZ42" s="278">
        <v>0.93708071024241468</v>
      </c>
      <c r="BA42" s="278">
        <v>0.93733286908051638</v>
      </c>
      <c r="BB42" s="278">
        <v>0.93757109311879028</v>
      </c>
      <c r="BC42" s="278">
        <v>0.93779578634076266</v>
      </c>
      <c r="BD42" s="278">
        <v>0.93800733560221172</v>
      </c>
      <c r="BE42" s="278">
        <v>0.93820611164874257</v>
      </c>
      <c r="BF42" s="279">
        <v>0.93839247005393289</v>
      </c>
      <c r="BG42" s="279">
        <f t="shared" si="0"/>
        <v>0.93839247005393289</v>
      </c>
      <c r="BH42" s="237"/>
    </row>
    <row r="43" spans="1:60" ht="17.45" customHeight="1" x14ac:dyDescent="0.2">
      <c r="A43" s="273">
        <v>6.5</v>
      </c>
      <c r="B43" s="277">
        <v>0.84440038294764141</v>
      </c>
      <c r="C43" s="278">
        <v>0.85474224967943591</v>
      </c>
      <c r="D43" s="278">
        <v>0.86232762654835937</v>
      </c>
      <c r="E43" s="278">
        <v>0.86830190093154547</v>
      </c>
      <c r="F43" s="278">
        <v>0.87323944618521676</v>
      </c>
      <c r="G43" s="278">
        <v>0.87745947684010028</v>
      </c>
      <c r="H43" s="278">
        <v>0.88115365532756895</v>
      </c>
      <c r="I43" s="278">
        <v>0.88444423007563555</v>
      </c>
      <c r="J43" s="279">
        <v>0.88741305429979445</v>
      </c>
      <c r="K43" s="277">
        <v>0.89011715358125987</v>
      </c>
      <c r="L43" s="278">
        <v>0.89259758259092592</v>
      </c>
      <c r="M43" s="278">
        <v>0.89488471674180503</v>
      </c>
      <c r="N43" s="278">
        <v>0.8970015480702872</v>
      </c>
      <c r="O43" s="278">
        <v>0.89896581302287304</v>
      </c>
      <c r="P43" s="278">
        <v>0.90079140984112849</v>
      </c>
      <c r="Q43" s="278">
        <v>0.90248936919090472</v>
      </c>
      <c r="R43" s="278">
        <v>0.90406853541627408</v>
      </c>
      <c r="S43" s="279">
        <v>0.90553663942109708</v>
      </c>
      <c r="T43" s="277">
        <v>0.90690241550276851</v>
      </c>
      <c r="U43" s="278">
        <v>0.90817412645731066</v>
      </c>
      <c r="V43" s="278">
        <v>0.90935918057398135</v>
      </c>
      <c r="W43" s="278">
        <v>0.91046428457084072</v>
      </c>
      <c r="X43" s="278">
        <v>0.9114955626512683</v>
      </c>
      <c r="Y43" s="278">
        <v>0.91245865035956408</v>
      </c>
      <c r="Z43" s="278">
        <v>0.91335876943276706</v>
      </c>
      <c r="AA43" s="278">
        <v>0.91420078813928896</v>
      </c>
      <c r="AB43" s="279">
        <v>0.91498927040280231</v>
      </c>
      <c r="AC43" s="277">
        <v>0.91572851616487361</v>
      </c>
      <c r="AD43" s="278">
        <v>0.91642259483294297</v>
      </c>
      <c r="AE43" s="278">
        <v>0.91707537321881627</v>
      </c>
      <c r="AF43" s="278">
        <v>0.91769053904800757</v>
      </c>
      <c r="AG43" s="278">
        <v>0.91827162087858494</v>
      </c>
      <c r="AH43" s="278">
        <v>0.91882200508650735</v>
      </c>
      <c r="AI43" s="278">
        <v>0.91934495043652931</v>
      </c>
      <c r="AJ43" s="278">
        <v>0.919843600652131</v>
      </c>
      <c r="AK43" s="278">
        <v>0.92032099531629996</v>
      </c>
      <c r="AL43" s="279">
        <v>0.92078007937141049</v>
      </c>
      <c r="AM43" s="277">
        <v>0.92235852936509743</v>
      </c>
      <c r="AN43" s="278">
        <v>0.92285743237859286</v>
      </c>
      <c r="AO43" s="278">
        <v>0.9233337747088779</v>
      </c>
      <c r="AP43" s="278">
        <v>0.92378848203232578</v>
      </c>
      <c r="AQ43" s="278">
        <v>0.92422242250655884</v>
      </c>
      <c r="AR43" s="278">
        <v>0.92463641169894062</v>
      </c>
      <c r="AS43" s="278">
        <v>0.9250312169779551</v>
      </c>
      <c r="AT43" s="278">
        <v>0.92540756143788372</v>
      </c>
      <c r="AU43" s="278">
        <v>0.92576612741650433</v>
      </c>
      <c r="AV43" s="279">
        <v>0.92610755965667979</v>
      </c>
      <c r="AW43" s="277">
        <v>0.92643246815532787</v>
      </c>
      <c r="AX43" s="278">
        <v>0.92674143073709581</v>
      </c>
      <c r="AY43" s="278">
        <v>0.92703499538488343</v>
      </c>
      <c r="AZ43" s="278">
        <v>0.92731368235499201</v>
      </c>
      <c r="BA43" s="278">
        <v>0.92757798610098074</v>
      </c>
      <c r="BB43" s="278">
        <v>0.92782837702717735</v>
      </c>
      <c r="BC43" s="278">
        <v>0.92806530309011304</v>
      </c>
      <c r="BD43" s="278">
        <v>0.92828919126386145</v>
      </c>
      <c r="BE43" s="278">
        <v>0.92850044888330929</v>
      </c>
      <c r="BF43" s="279">
        <v>0.92869946487769173</v>
      </c>
      <c r="BG43" s="279">
        <f t="shared" si="0"/>
        <v>0.92869946487769173</v>
      </c>
      <c r="BH43" s="237"/>
    </row>
    <row r="44" spans="1:60" ht="17.45" customHeight="1" x14ac:dyDescent="0.2">
      <c r="A44" s="280">
        <v>7</v>
      </c>
      <c r="B44" s="281">
        <v>0.82736784106306793</v>
      </c>
      <c r="C44" s="282">
        <v>0.8374593394802724</v>
      </c>
      <c r="D44" s="282">
        <v>0.84561821101286339</v>
      </c>
      <c r="E44" s="282">
        <v>0.85237463408341441</v>
      </c>
      <c r="F44" s="282">
        <v>0.85808184960755685</v>
      </c>
      <c r="G44" s="282">
        <v>0.8629827710677378</v>
      </c>
      <c r="H44" s="282">
        <v>0.86724968281731074</v>
      </c>
      <c r="I44" s="282">
        <v>0.87100813611431849</v>
      </c>
      <c r="J44" s="283">
        <v>0.87435177302139344</v>
      </c>
      <c r="K44" s="281">
        <v>0.87735182694206526</v>
      </c>
      <c r="L44" s="282">
        <v>0.88006340067175848</v>
      </c>
      <c r="M44" s="282">
        <v>0.88252973112010058</v>
      </c>
      <c r="N44" s="282">
        <v>0.88478515849350114</v>
      </c>
      <c r="O44" s="282">
        <v>0.88685723917612791</v>
      </c>
      <c r="P44" s="282">
        <v>0.88876827880888898</v>
      </c>
      <c r="Q44" s="282">
        <v>0.89053646418359667</v>
      </c>
      <c r="R44" s="282">
        <v>0.89217671207906957</v>
      </c>
      <c r="S44" s="283">
        <v>0.8937017809956368</v>
      </c>
      <c r="T44" s="281">
        <v>0.89512417264254351</v>
      </c>
      <c r="U44" s="282">
        <v>0.89645512989286935</v>
      </c>
      <c r="V44" s="282">
        <v>0.89770447513523355</v>
      </c>
      <c r="W44" s="282">
        <v>0.89888085117011907</v>
      </c>
      <c r="X44" s="282">
        <v>0.89999191449576432</v>
      </c>
      <c r="Y44" s="282">
        <v>0.90104449167405298</v>
      </c>
      <c r="Z44" s="282">
        <v>0.90204470679499682</v>
      </c>
      <c r="AA44" s="282">
        <v>0.90299808611814836</v>
      </c>
      <c r="AB44" s="283">
        <v>0.90390964454390976</v>
      </c>
      <c r="AC44" s="281">
        <v>0.90478395750918095</v>
      </c>
      <c r="AD44" s="282">
        <v>0.90562522110781218</v>
      </c>
      <c r="AE44" s="282">
        <v>0.90643730263512878</v>
      </c>
      <c r="AF44" s="282">
        <v>0.90722378329658537</v>
      </c>
      <c r="AG44" s="282">
        <v>0.90798799446692702</v>
      </c>
      <c r="AH44" s="282">
        <v>0.90873304861174464</v>
      </c>
      <c r="AI44" s="282">
        <v>0.90946186576868893</v>
      </c>
      <c r="AJ44" s="282">
        <v>0.9101771963166837</v>
      </c>
      <c r="AK44" s="282">
        <v>0.91088164062761001</v>
      </c>
      <c r="AL44" s="283">
        <v>0.9115776660882321</v>
      </c>
      <c r="AM44" s="281">
        <v>0.91223279045828765</v>
      </c>
      <c r="AN44" s="282">
        <v>0.9127607458068453</v>
      </c>
      <c r="AO44" s="282">
        <v>0.91326497676750718</v>
      </c>
      <c r="AP44" s="282">
        <v>0.91374655221081835</v>
      </c>
      <c r="AQ44" s="282">
        <v>0.91420647067338023</v>
      </c>
      <c r="AR44" s="282">
        <v>0.91464566652691037</v>
      </c>
      <c r="AS44" s="282">
        <v>0.91506501547459118</v>
      </c>
      <c r="AT44" s="282">
        <v>0.91546533946176156</v>
      </c>
      <c r="AU44" s="282">
        <v>0.91584741107506129</v>
      </c>
      <c r="AV44" s="283">
        <v>0.91621195749335138</v>
      </c>
      <c r="AW44" s="281">
        <v>0.9165596640447079</v>
      </c>
      <c r="AX44" s="282">
        <v>0.91689117741621717</v>
      </c>
      <c r="AY44" s="282">
        <v>0.91720710855691223</v>
      </c>
      <c r="AZ44" s="282">
        <v>0.91750803530878078</v>
      </c>
      <c r="BA44" s="282">
        <v>0.91779450479620128</v>
      </c>
      <c r="BB44" s="282">
        <v>0.91806703560023584</v>
      </c>
      <c r="BC44" s="282">
        <v>0.91832611974088463</v>
      </c>
      <c r="BD44" s="282">
        <v>0.91857222448753417</v>
      </c>
      <c r="BE44" s="282">
        <v>0.91880579401536355</v>
      </c>
      <c r="BF44" s="283">
        <v>0.91902725092336157</v>
      </c>
      <c r="BG44" s="283">
        <f t="shared" si="0"/>
        <v>0.91902725092336157</v>
      </c>
      <c r="BH44" s="237"/>
    </row>
    <row r="45" spans="1:60" ht="17.45" customHeight="1" x14ac:dyDescent="0.2">
      <c r="A45" s="273">
        <v>7.5</v>
      </c>
      <c r="B45" s="284">
        <v>0.80927686460426473</v>
      </c>
      <c r="C45" s="285">
        <v>0.81982523404042329</v>
      </c>
      <c r="D45" s="285">
        <v>0.82851163300108532</v>
      </c>
      <c r="E45" s="285">
        <v>0.83580744032047827</v>
      </c>
      <c r="F45" s="285">
        <v>0.84203995505214435</v>
      </c>
      <c r="G45" s="285">
        <v>0.84744058519492882</v>
      </c>
      <c r="H45" s="285">
        <v>0.85217696972349677</v>
      </c>
      <c r="I45" s="285">
        <v>0.85637343069827265</v>
      </c>
      <c r="J45" s="286">
        <v>0.86012411678685285</v>
      </c>
      <c r="K45" s="284">
        <v>0.86350164148068576</v>
      </c>
      <c r="L45" s="285">
        <v>0.86656290306466011</v>
      </c>
      <c r="M45" s="285">
        <v>0.86935310096101615</v>
      </c>
      <c r="N45" s="285">
        <v>0.87190856945377915</v>
      </c>
      <c r="O45" s="285">
        <v>0.87425881763561886</v>
      </c>
      <c r="P45" s="285">
        <v>0.87642802484872839</v>
      </c>
      <c r="Q45" s="285">
        <v>0.87843615508232198</v>
      </c>
      <c r="R45" s="285">
        <v>0.8802997998178943</v>
      </c>
      <c r="S45" s="286">
        <v>0.88203317015421057</v>
      </c>
      <c r="T45" s="284">
        <v>0.88364964116568556</v>
      </c>
      <c r="U45" s="285">
        <v>0.88516111471577441</v>
      </c>
      <c r="V45" s="285">
        <v>0.88657798457270276</v>
      </c>
      <c r="W45" s="285">
        <v>0.88790938429536226</v>
      </c>
      <c r="X45" s="285">
        <v>0.88916338729960409</v>
      </c>
      <c r="Y45" s="285">
        <v>0.89034716962371496</v>
      </c>
      <c r="Z45" s="285">
        <v>0.89146714333051236</v>
      </c>
      <c r="AA45" s="285">
        <v>0.89252906659718234</v>
      </c>
      <c r="AB45" s="286">
        <v>0.89353813515007963</v>
      </c>
      <c r="AC45" s="284">
        <v>0.89449905866078616</v>
      </c>
      <c r="AD45" s="285">
        <v>0.89541612493485057</v>
      </c>
      <c r="AE45" s="285">
        <v>0.89629325412732441</v>
      </c>
      <c r="AF45" s="285">
        <v>0.89713404476081071</v>
      </c>
      <c r="AG45" s="285">
        <v>0.89794181296703524</v>
      </c>
      <c r="AH45" s="285">
        <v>0.89871962609647937</v>
      </c>
      <c r="AI45" s="285">
        <v>0.89947033162350043</v>
      </c>
      <c r="AJ45" s="285">
        <v>0.90019658210278319</v>
      </c>
      <c r="AK45" s="285">
        <v>0.90090085679646503</v>
      </c>
      <c r="AL45" s="286">
        <v>0.90158548048203124</v>
      </c>
      <c r="AM45" s="287">
        <v>0.90232430975051803</v>
      </c>
      <c r="AN45" s="288">
        <v>0.902867371984859</v>
      </c>
      <c r="AO45" s="288">
        <v>0.90338279484162076</v>
      </c>
      <c r="AP45" s="288">
        <v>0.90387186023895716</v>
      </c>
      <c r="AQ45" s="288">
        <v>0.90433576574175134</v>
      </c>
      <c r="AR45" s="288">
        <v>0.9047756318631609</v>
      </c>
      <c r="AS45" s="288">
        <v>0.90519250858508737</v>
      </c>
      <c r="AT45" s="288">
        <v>0.90558738119650417</v>
      </c>
      <c r="AU45" s="288">
        <v>0.90596117553418232</v>
      </c>
      <c r="AV45" s="289">
        <v>0.90631476269830313</v>
      </c>
      <c r="AW45" s="287">
        <v>0.90664896330534162</v>
      </c>
      <c r="AX45" s="288">
        <v>0.90696455133206599</v>
      </c>
      <c r="AY45" s="288">
        <v>0.90726225759730239</v>
      </c>
      <c r="AZ45" s="288">
        <v>0.9075427729219655</v>
      </c>
      <c r="BA45" s="288">
        <v>0.90780675100265673</v>
      </c>
      <c r="BB45" s="288">
        <v>0.90805481102965735</v>
      </c>
      <c r="BC45" s="288">
        <v>0.90828754007632218</v>
      </c>
      <c r="BD45" s="288">
        <v>0.90850549528359004</v>
      </c>
      <c r="BE45" s="288">
        <v>0.90870920586048876</v>
      </c>
      <c r="BF45" s="289">
        <v>0.90889917491905514</v>
      </c>
      <c r="BG45" s="289">
        <f t="shared" si="0"/>
        <v>0.90889917491905514</v>
      </c>
      <c r="BH45" s="237"/>
    </row>
    <row r="46" spans="1:60" ht="17.45" customHeight="1" x14ac:dyDescent="0.2">
      <c r="A46" s="273">
        <v>8</v>
      </c>
      <c r="B46" s="277">
        <v>0.79160020921395735</v>
      </c>
      <c r="C46" s="278">
        <v>0.80323884164869697</v>
      </c>
      <c r="D46" s="278">
        <v>0.81243692022759484</v>
      </c>
      <c r="E46" s="278">
        <v>0.82002597792000098</v>
      </c>
      <c r="F46" s="278">
        <v>0.82647439276490908</v>
      </c>
      <c r="G46" s="278">
        <v>0.83207119603245783</v>
      </c>
      <c r="H46" s="278">
        <v>0.83700698996015144</v>
      </c>
      <c r="I46" s="278">
        <v>0.84141396163033499</v>
      </c>
      <c r="J46" s="279">
        <v>0.84538747104657641</v>
      </c>
      <c r="K46" s="277">
        <v>0.84899851696010731</v>
      </c>
      <c r="L46" s="278">
        <v>0.85230133869968672</v>
      </c>
      <c r="M46" s="278">
        <v>0.85533826427811976</v>
      </c>
      <c r="N46" s="278">
        <v>0.85814292034071349</v>
      </c>
      <c r="O46" s="278">
        <v>0.86074242615997776</v>
      </c>
      <c r="P46" s="278">
        <v>0.86315893477859051</v>
      </c>
      <c r="Q46" s="278">
        <v>0.8654107415709108</v>
      </c>
      <c r="R46" s="278">
        <v>0.86751309840915569</v>
      </c>
      <c r="S46" s="279">
        <v>0.86947905410975068</v>
      </c>
      <c r="T46" s="277">
        <v>0.87132061553061968</v>
      </c>
      <c r="U46" s="278">
        <v>0.87304841656172194</v>
      </c>
      <c r="V46" s="278">
        <v>0.87467176559204285</v>
      </c>
      <c r="W46" s="278">
        <v>0.87619886526393531</v>
      </c>
      <c r="X46" s="278">
        <v>0.87763698818781777</v>
      </c>
      <c r="Y46" s="278">
        <v>0.87899261883914515</v>
      </c>
      <c r="Z46" s="278">
        <v>0.88027156918907334</v>
      </c>
      <c r="AA46" s="278">
        <v>0.88147907371920897</v>
      </c>
      <c r="AB46" s="279">
        <v>0.88261986809840132</v>
      </c>
      <c r="AC46" s="277">
        <v>0.88369825479582376</v>
      </c>
      <c r="AD46" s="278">
        <v>0.88471815816168375</v>
      </c>
      <c r="AE46" s="278">
        <v>0.88568317095090365</v>
      </c>
      <c r="AF46" s="278">
        <v>0.88659659384468381</v>
      </c>
      <c r="AG46" s="278">
        <v>0.88746146920388125</v>
      </c>
      <c r="AH46" s="278">
        <v>0.88828061004085257</v>
      </c>
      <c r="AI46" s="278">
        <v>0.88905662500432103</v>
      </c>
      <c r="AJ46" s="278">
        <v>0.8897919400213945</v>
      </c>
      <c r="AK46" s="278">
        <v>0.89048881712223305</v>
      </c>
      <c r="AL46" s="279">
        <v>0.89114937087857071</v>
      </c>
      <c r="AM46" s="277">
        <v>0.89219369239895396</v>
      </c>
      <c r="AN46" s="278">
        <v>0.89277979442010524</v>
      </c>
      <c r="AO46" s="278">
        <v>0.89333180991885586</v>
      </c>
      <c r="AP46" s="278">
        <v>0.89385115562211925</v>
      </c>
      <c r="AQ46" s="278">
        <v>0.89433916305863648</v>
      </c>
      <c r="AR46" s="278">
        <v>0.89479708552035131</v>
      </c>
      <c r="AS46" s="278">
        <v>0.8952261043026013</v>
      </c>
      <c r="AT46" s="278">
        <v>0.89562733431322661</v>
      </c>
      <c r="AU46" s="278">
        <v>0.89600182912760029</v>
      </c>
      <c r="AV46" s="279">
        <v>0.89635058555564295</v>
      </c>
      <c r="AW46" s="277">
        <v>0.89667454777771038</v>
      </c>
      <c r="AX46" s="278">
        <v>0.89697461109850818</v>
      </c>
      <c r="AY46" s="278">
        <v>0.89725162536165681</v>
      </c>
      <c r="AZ46" s="278">
        <v>0.89750639806197563</v>
      </c>
      <c r="BA46" s="278">
        <v>0.89773969718783242</v>
      </c>
      <c r="BB46" s="278">
        <v>0.89795225382185939</v>
      </c>
      <c r="BC46" s="278">
        <v>0.89814476452487058</v>
      </c>
      <c r="BD46" s="278">
        <v>0.8983178935248366</v>
      </c>
      <c r="BE46" s="278">
        <v>0.89847227473018898</v>
      </c>
      <c r="BF46" s="279">
        <v>0.89860851358450988</v>
      </c>
      <c r="BG46" s="279">
        <f t="shared" si="0"/>
        <v>0.89860851358450988</v>
      </c>
      <c r="BH46" s="237"/>
    </row>
    <row r="47" spans="1:60" ht="17.45" customHeight="1" x14ac:dyDescent="0.2">
      <c r="A47" s="273">
        <v>8.5</v>
      </c>
      <c r="B47" s="277">
        <v>0.77529265975166417</v>
      </c>
      <c r="C47" s="278">
        <v>0.7868106524601618</v>
      </c>
      <c r="D47" s="278">
        <v>0.79617539064766507</v>
      </c>
      <c r="E47" s="278">
        <v>0.80407877751454349</v>
      </c>
      <c r="F47" s="278">
        <v>0.81091462088398625</v>
      </c>
      <c r="G47" s="278">
        <v>0.81692990809402721</v>
      </c>
      <c r="H47" s="278">
        <v>0.82229070438935081</v>
      </c>
      <c r="I47" s="278">
        <v>0.82711462191565155</v>
      </c>
      <c r="J47" s="279">
        <v>0.83148836060415243</v>
      </c>
      <c r="K47" s="277">
        <v>0.8354778870592543</v>
      </c>
      <c r="L47" s="278">
        <v>0.83913468877952047</v>
      </c>
      <c r="M47" s="278">
        <v>0.84249980057927298</v>
      </c>
      <c r="N47" s="278">
        <v>0.84560649931224741</v>
      </c>
      <c r="O47" s="278">
        <v>0.8484821673173496</v>
      </c>
      <c r="P47" s="278">
        <v>0.85114961751457285</v>
      </c>
      <c r="Q47" s="278">
        <v>0.85362805865713198</v>
      </c>
      <c r="R47" s="278">
        <v>0.85593381336429408</v>
      </c>
      <c r="S47" s="279">
        <v>0.8580809926516596</v>
      </c>
      <c r="T47" s="277">
        <v>0.8600823086945546</v>
      </c>
      <c r="U47" s="278">
        <v>0.86194901438068972</v>
      </c>
      <c r="V47" s="278">
        <v>0.86369103156570715</v>
      </c>
      <c r="W47" s="278">
        <v>0.865317157709104</v>
      </c>
      <c r="X47" s="278">
        <v>0.86683523307943933</v>
      </c>
      <c r="Y47" s="278">
        <v>0.86825227735747335</v>
      </c>
      <c r="Z47" s="278">
        <v>0.86957460221934046</v>
      </c>
      <c r="AA47" s="278">
        <v>0.87080790487033044</v>
      </c>
      <c r="AB47" s="279">
        <v>0.87195734632729816</v>
      </c>
      <c r="AC47" s="277">
        <v>0.87302761738333379</v>
      </c>
      <c r="AD47" s="278">
        <v>0.87402299454342702</v>
      </c>
      <c r="AE47" s="278">
        <v>0.87494738773328029</v>
      </c>
      <c r="AF47" s="278">
        <v>0.8758043812125571</v>
      </c>
      <c r="AG47" s="278">
        <v>0.87659726883837996</v>
      </c>
      <c r="AH47" s="278">
        <v>0.87732908460324333</v>
      </c>
      <c r="AI47" s="278">
        <v>0.87800262919791805</v>
      </c>
      <c r="AJ47" s="278">
        <v>0.87862049321295066</v>
      </c>
      <c r="AK47" s="278">
        <v>0.87918507748344377</v>
      </c>
      <c r="AL47" s="279">
        <v>0.87969861099462876</v>
      </c>
      <c r="AM47" s="277">
        <v>0.88149422983925207</v>
      </c>
      <c r="AN47" s="278">
        <v>0.88209493709513676</v>
      </c>
      <c r="AO47" s="278">
        <v>0.88266202405463212</v>
      </c>
      <c r="AP47" s="278">
        <v>0.88319709472201369</v>
      </c>
      <c r="AQ47" s="278">
        <v>0.88370164777762372</v>
      </c>
      <c r="AR47" s="278">
        <v>0.88417708554574792</v>
      </c>
      <c r="AS47" s="278">
        <v>0.88462472202547515</v>
      </c>
      <c r="AT47" s="278">
        <v>0.88504579010006912</v>
      </c>
      <c r="AU47" s="278">
        <v>0.88544144802404934</v>
      </c>
      <c r="AV47" s="279">
        <v>0.88581278527341645</v>
      </c>
      <c r="AW47" s="277">
        <v>0.88616082783286643</v>
      </c>
      <c r="AX47" s="278">
        <v>0.88648654298399521</v>
      </c>
      <c r="AY47" s="278">
        <v>0.88679084365013927</v>
      </c>
      <c r="AZ47" s="278">
        <v>0.88707459234636754</v>
      </c>
      <c r="BA47" s="278">
        <v>0.8873386047770373</v>
      </c>
      <c r="BB47" s="278">
        <v>0.8875836531180874</v>
      </c>
      <c r="BC47" s="278">
        <v>0.88781046901673599</v>
      </c>
      <c r="BD47" s="278">
        <v>0.88801974633735192</v>
      </c>
      <c r="BE47" s="278">
        <v>0.88821214367890289</v>
      </c>
      <c r="BF47" s="279">
        <v>0.88838828668645753</v>
      </c>
      <c r="BG47" s="279">
        <f t="shared" si="0"/>
        <v>0.88838828668645753</v>
      </c>
      <c r="BH47" s="237"/>
    </row>
    <row r="48" spans="1:60" ht="17.45" customHeight="1" x14ac:dyDescent="0.2">
      <c r="A48" s="273">
        <v>9</v>
      </c>
      <c r="B48" s="277">
        <v>0.75812848167727176</v>
      </c>
      <c r="C48" s="278">
        <v>0.77014127262768406</v>
      </c>
      <c r="D48" s="278">
        <v>0.78003671295881971</v>
      </c>
      <c r="E48" s="278">
        <v>0.78843177181948754</v>
      </c>
      <c r="F48" s="278">
        <v>0.79570188556885635</v>
      </c>
      <c r="G48" s="278">
        <v>0.8020940867749633</v>
      </c>
      <c r="H48" s="278">
        <v>0.80778032494288809</v>
      </c>
      <c r="I48" s="278">
        <v>0.81288547501206543</v>
      </c>
      <c r="J48" s="279">
        <v>0.81750328045100651</v>
      </c>
      <c r="K48" s="277">
        <v>0.82170600977722974</v>
      </c>
      <c r="L48" s="278">
        <v>0.82555060219725063</v>
      </c>
      <c r="M48" s="278">
        <v>0.82908274020608275</v>
      </c>
      <c r="N48" s="278">
        <v>0.8323396408191559</v>
      </c>
      <c r="O48" s="278">
        <v>0.83535202385600604</v>
      </c>
      <c r="P48" s="278">
        <v>0.83814553420920335</v>
      </c>
      <c r="Q48" s="278">
        <v>0.84074179155089235</v>
      </c>
      <c r="R48" s="278">
        <v>0.84315917955912212</v>
      </c>
      <c r="S48" s="279">
        <v>0.845413499038699</v>
      </c>
      <c r="T48" s="277">
        <v>0.84751858646102363</v>
      </c>
      <c r="U48" s="278">
        <v>0.84948653304100852</v>
      </c>
      <c r="V48" s="278">
        <v>0.85132792671954405</v>
      </c>
      <c r="W48" s="278">
        <v>0.85305208647134878</v>
      </c>
      <c r="X48" s="278">
        <v>0.85466725236268293</v>
      </c>
      <c r="Y48" s="278">
        <v>0.85618074108363917</v>
      </c>
      <c r="Z48" s="278">
        <v>0.85759907426241966</v>
      </c>
      <c r="AA48" s="278">
        <v>0.85892808511749297</v>
      </c>
      <c r="AB48" s="279">
        <v>0.86017300771770899</v>
      </c>
      <c r="AC48" s="277">
        <v>0.86133855216512978</v>
      </c>
      <c r="AD48" s="278">
        <v>0.86242896829760241</v>
      </c>
      <c r="AE48" s="278">
        <v>0.86344809996331029</v>
      </c>
      <c r="AF48" s="278">
        <v>0.86439943150203158</v>
      </c>
      <c r="AG48" s="278">
        <v>0.86528612774499902</v>
      </c>
      <c r="AH48" s="278">
        <v>0.86611106859355436</v>
      </c>
      <c r="AI48" s="278">
        <v>0.86687687903899013</v>
      </c>
      <c r="AJ48" s="278">
        <v>0.86758595532940519</v>
      </c>
      <c r="AK48" s="278">
        <v>0.86824048786460994</v>
      </c>
      <c r="AL48" s="279">
        <v>0.86884248129999075</v>
      </c>
      <c r="AM48" s="277">
        <v>0.87056892830974686</v>
      </c>
      <c r="AN48" s="278">
        <v>0.87122337805536809</v>
      </c>
      <c r="AO48" s="278">
        <v>0.87184265742303269</v>
      </c>
      <c r="AP48" s="278">
        <v>0.87242844446600309</v>
      </c>
      <c r="AQ48" s="278">
        <v>0.87298230683524025</v>
      </c>
      <c r="AR48" s="278">
        <v>0.87350571119981624</v>
      </c>
      <c r="AS48" s="278">
        <v>0.87400003168104223</v>
      </c>
      <c r="AT48" s="278">
        <v>0.87446655742215174</v>
      </c>
      <c r="AU48" s="278">
        <v>0.87490649939809528</v>
      </c>
      <c r="AV48" s="279">
        <v>0.87532099655550111</v>
      </c>
      <c r="AW48" s="277">
        <v>0.87571112136059925</v>
      </c>
      <c r="AX48" s="278">
        <v>0.8760778848225349</v>
      </c>
      <c r="AY48" s="278">
        <v>0.87642224105066824</v>
      </c>
      <c r="AZ48" s="278">
        <v>0.87674509139694901</v>
      </c>
      <c r="BA48" s="278">
        <v>0.87704728822800759</v>
      </c>
      <c r="BB48" s="278">
        <v>0.87732963836608646</v>
      </c>
      <c r="BC48" s="278">
        <v>0.8775929062331852</v>
      </c>
      <c r="BD48" s="278">
        <v>0.87783781672868477</v>
      </c>
      <c r="BE48" s="278">
        <v>0.87806505786716693</v>
      </c>
      <c r="BF48" s="279">
        <v>0.87827528320006765</v>
      </c>
      <c r="BG48" s="279">
        <f t="shared" si="0"/>
        <v>0.87827528320006765</v>
      </c>
      <c r="BH48" s="237"/>
    </row>
    <row r="49" spans="1:60" ht="17.45" customHeight="1" x14ac:dyDescent="0.2">
      <c r="A49" s="280">
        <v>9.5</v>
      </c>
      <c r="B49" s="290">
        <v>0.74184573215937488</v>
      </c>
      <c r="C49" s="291">
        <v>0.75381141596872048</v>
      </c>
      <c r="D49" s="291">
        <v>0.76403649074801605</v>
      </c>
      <c r="E49" s="291">
        <v>0.77284983857728129</v>
      </c>
      <c r="F49" s="291">
        <v>0.7805253469929333</v>
      </c>
      <c r="G49" s="291">
        <v>0.78727631588791247</v>
      </c>
      <c r="H49" s="291">
        <v>0.79326729956425535</v>
      </c>
      <c r="I49" s="291">
        <v>0.79862607590412915</v>
      </c>
      <c r="J49" s="292">
        <v>0.80345299144276427</v>
      </c>
      <c r="K49" s="290">
        <v>0.80782782806633224</v>
      </c>
      <c r="L49" s="291">
        <v>0.81181478471930946</v>
      </c>
      <c r="M49" s="291">
        <v>0.81546610445070034</v>
      </c>
      <c r="N49" s="291">
        <v>0.81882474093828839</v>
      </c>
      <c r="O49" s="291">
        <v>0.8219263423860903</v>
      </c>
      <c r="P49" s="291">
        <v>0.82480074605776221</v>
      </c>
      <c r="Q49" s="291">
        <v>0.82747311802507073</v>
      </c>
      <c r="R49" s="291">
        <v>0.82996483257354325</v>
      </c>
      <c r="S49" s="292">
        <v>0.83229415513246485</v>
      </c>
      <c r="T49" s="290">
        <v>0.83447677360907446</v>
      </c>
      <c r="U49" s="291">
        <v>0.83652623791159764</v>
      </c>
      <c r="V49" s="291">
        <v>0.83845430854690328</v>
      </c>
      <c r="W49" s="291">
        <v>0.84027123633535306</v>
      </c>
      <c r="X49" s="291">
        <v>0.84198599061710666</v>
      </c>
      <c r="Y49" s="291">
        <v>0.84360644677908958</v>
      </c>
      <c r="Z49" s="291">
        <v>0.84513954139198832</v>
      </c>
      <c r="AA49" s="291">
        <v>0.84659140135960687</v>
      </c>
      <c r="AB49" s="292">
        <v>0.84796745206738899</v>
      </c>
      <c r="AC49" s="290">
        <v>0.84927250844537594</v>
      </c>
      <c r="AD49" s="291">
        <v>0.85051085204266386</v>
      </c>
      <c r="AE49" s="291">
        <v>0.85168629658060757</v>
      </c>
      <c r="AF49" s="291">
        <v>0.85280224396340343</v>
      </c>
      <c r="AG49" s="291">
        <v>0.853861732342865</v>
      </c>
      <c r="AH49" s="291">
        <v>0.85486747753378001</v>
      </c>
      <c r="AI49" s="291">
        <v>0.85582190883825515</v>
      </c>
      <c r="AJ49" s="291">
        <v>0.85672720014782866</v>
      </c>
      <c r="AK49" s="291">
        <v>0.85758529704007713</v>
      </c>
      <c r="AL49" s="292">
        <v>0.85839794046386475</v>
      </c>
      <c r="AM49" s="281">
        <v>0.8595812765786508</v>
      </c>
      <c r="AN49" s="282">
        <v>0.8603000697670099</v>
      </c>
      <c r="AO49" s="282">
        <v>0.86098162498525899</v>
      </c>
      <c r="AP49" s="282">
        <v>0.86162768369985265</v>
      </c>
      <c r="AQ49" s="282">
        <v>0.86223987425664161</v>
      </c>
      <c r="AR49" s="282">
        <v>0.86281972145754882</v>
      </c>
      <c r="AS49" s="282">
        <v>0.86336865513936167</v>
      </c>
      <c r="AT49" s="282">
        <v>0.8638880178775683</v>
      </c>
      <c r="AU49" s="282">
        <v>0.8643790719207709</v>
      </c>
      <c r="AV49" s="283">
        <v>0.86484300544658144</v>
      </c>
      <c r="AW49" s="281">
        <v>0.86528093821755858</v>
      </c>
      <c r="AX49" s="282">
        <v>0.86569392670528111</v>
      </c>
      <c r="AY49" s="282">
        <v>0.86608296874176915</v>
      </c>
      <c r="AZ49" s="282">
        <v>0.8664490077498711</v>
      </c>
      <c r="BA49" s="282">
        <v>0.86679293659775514</v>
      </c>
      <c r="BB49" s="282">
        <v>0.86711560111706465</v>
      </c>
      <c r="BC49" s="282">
        <v>0.8674178033195088</v>
      </c>
      <c r="BD49" s="282">
        <v>0.86770030434251488</v>
      </c>
      <c r="BE49" s="282">
        <v>0.86796382715098908</v>
      </c>
      <c r="BF49" s="283">
        <v>0.86820905901911838</v>
      </c>
      <c r="BG49" s="283">
        <f t="shared" si="0"/>
        <v>0.86820905901911838</v>
      </c>
      <c r="BH49" s="237"/>
    </row>
    <row r="50" spans="1:60" ht="17.45" customHeight="1" x14ac:dyDescent="0.2">
      <c r="A50" s="273">
        <v>10</v>
      </c>
      <c r="B50" s="287">
        <v>0.72448664541432695</v>
      </c>
      <c r="C50" s="288">
        <v>0.73725576321682462</v>
      </c>
      <c r="D50" s="288">
        <v>0.74818005183591985</v>
      </c>
      <c r="E50" s="288">
        <v>0.75761509789272896</v>
      </c>
      <c r="F50" s="288">
        <v>0.76584736814496879</v>
      </c>
      <c r="G50" s="288">
        <v>0.77309776134302111</v>
      </c>
      <c r="H50" s="288">
        <v>0.77953634277089734</v>
      </c>
      <c r="I50" s="288">
        <v>0.78529535225230063</v>
      </c>
      <c r="J50" s="289">
        <v>0.79047896589124078</v>
      </c>
      <c r="K50" s="287">
        <v>0.79517035042058815</v>
      </c>
      <c r="L50" s="288">
        <v>0.79943674158678135</v>
      </c>
      <c r="M50" s="288">
        <v>0.80333312898023446</v>
      </c>
      <c r="N50" s="288">
        <v>0.80690496225225194</v>
      </c>
      <c r="O50" s="288">
        <v>0.81019016534489596</v>
      </c>
      <c r="P50" s="288">
        <v>0.81322065585189718</v>
      </c>
      <c r="Q50" s="288">
        <v>0.81602350590188033</v>
      </c>
      <c r="R50" s="288">
        <v>0.81862183993428228</v>
      </c>
      <c r="S50" s="289">
        <v>0.82103551441335254</v>
      </c>
      <c r="T50" s="287">
        <v>0.82328160494541414</v>
      </c>
      <c r="U50" s="288">
        <v>0.82537491587756595</v>
      </c>
      <c r="V50" s="288">
        <v>0.827328359538685</v>
      </c>
      <c r="W50" s="288">
        <v>0.82915324607291907</v>
      </c>
      <c r="X50" s="288">
        <v>0.83085952063628821</v>
      </c>
      <c r="Y50" s="288">
        <v>0.83245595892140656</v>
      </c>
      <c r="Z50" s="288">
        <v>0.83395032941853864</v>
      </c>
      <c r="AA50" s="288">
        <v>0.83534952891951553</v>
      </c>
      <c r="AB50" s="289">
        <v>0.83665969634268211</v>
      </c>
      <c r="AC50" s="287">
        <v>0.8378863088741898</v>
      </c>
      <c r="AD50" s="288">
        <v>0.83903426359283451</v>
      </c>
      <c r="AE50" s="288">
        <v>0.84010794710708481</v>
      </c>
      <c r="AF50" s="288">
        <v>0.84111129523670425</v>
      </c>
      <c r="AG50" s="288">
        <v>0.84204784438287161</v>
      </c>
      <c r="AH50" s="288">
        <v>0.84292077592445147</v>
      </c>
      <c r="AI50" s="288">
        <v>0.84373295473500887</v>
      </c>
      <c r="AJ50" s="288">
        <v>0.84448696272111068</v>
      </c>
      <c r="AK50" s="288">
        <v>0.8451851281265389</v>
      </c>
      <c r="AL50" s="289">
        <v>0.84582955122112358</v>
      </c>
      <c r="AM50" s="287">
        <v>0.84802740405910315</v>
      </c>
      <c r="AN50" s="288">
        <v>0.84877294438156203</v>
      </c>
      <c r="AO50" s="288">
        <v>0.84948618892804384</v>
      </c>
      <c r="AP50" s="288">
        <v>0.85016894677631549</v>
      </c>
      <c r="AQ50" s="288">
        <v>0.85082289588175919</v>
      </c>
      <c r="AR50" s="288">
        <v>0.85144959488447358</v>
      </c>
      <c r="AS50" s="288">
        <v>0.8520504936456651</v>
      </c>
      <c r="AT50" s="288">
        <v>0.85262694267199091</v>
      </c>
      <c r="AU50" s="288">
        <v>0.85318020156404895</v>
      </c>
      <c r="AV50" s="289">
        <v>0.85371144660627796</v>
      </c>
      <c r="AW50" s="287">
        <v>0.85422177759954843</v>
      </c>
      <c r="AX50" s="288">
        <v>0.85471222402415581</v>
      </c>
      <c r="AY50" s="288">
        <v>0.85518375060940366</v>
      </c>
      <c r="AZ50" s="288">
        <v>0.8556372623761096</v>
      </c>
      <c r="BA50" s="288">
        <v>0.8560736092099569</v>
      </c>
      <c r="BB50" s="288">
        <v>0.85649359001637992</v>
      </c>
      <c r="BC50" s="288">
        <v>0.85689795650144551</v>
      </c>
      <c r="BD50" s="288">
        <v>0.8572874166178327</v>
      </c>
      <c r="BE50" s="288">
        <v>0.85766263771036522</v>
      </c>
      <c r="BF50" s="289">
        <v>0.85802424939151523</v>
      </c>
      <c r="BG50" s="289">
        <f t="shared" si="0"/>
        <v>0.85802424939151523</v>
      </c>
      <c r="BH50" s="237"/>
    </row>
    <row r="51" spans="1:60" ht="17.45" customHeight="1" x14ac:dyDescent="0.2">
      <c r="A51" s="273">
        <v>10.5</v>
      </c>
      <c r="B51" s="277">
        <v>0.70826460191612384</v>
      </c>
      <c r="C51" s="278">
        <v>0.72237409624967186</v>
      </c>
      <c r="D51" s="278">
        <v>0.73350171547670184</v>
      </c>
      <c r="E51" s="278">
        <v>0.74277908689186423</v>
      </c>
      <c r="F51" s="278">
        <v>0.7507868598005184</v>
      </c>
      <c r="G51" s="278">
        <v>0.75785810063076808</v>
      </c>
      <c r="H51" s="278">
        <v>0.76420071405008305</v>
      </c>
      <c r="I51" s="278">
        <v>0.76995337150595433</v>
      </c>
      <c r="J51" s="279">
        <v>0.7752136089654732</v>
      </c>
      <c r="K51" s="277">
        <v>0.78005305158225691</v>
      </c>
      <c r="L51" s="278">
        <v>0.78452619024662218</v>
      </c>
      <c r="M51" s="278">
        <v>0.78867571025010508</v>
      </c>
      <c r="N51" s="278">
        <v>0.79253587256160174</v>
      </c>
      <c r="O51" s="278">
        <v>0.7961347426263693</v>
      </c>
      <c r="P51" s="278">
        <v>0.79949570901734457</v>
      </c>
      <c r="Q51" s="278">
        <v>0.80263854877096708</v>
      </c>
      <c r="R51" s="278">
        <v>0.80558019419375171</v>
      </c>
      <c r="S51" s="279">
        <v>0.80833529210674371</v>
      </c>
      <c r="T51" s="277">
        <v>0.8109166117901857</v>
      </c>
      <c r="U51" s="278">
        <v>0.81333538595387966</v>
      </c>
      <c r="V51" s="278">
        <v>0.81560156895582525</v>
      </c>
      <c r="W51" s="278">
        <v>0.81772403643795422</v>
      </c>
      <c r="X51" s="278">
        <v>0.81971074508590092</v>
      </c>
      <c r="Y51" s="278">
        <v>0.82156886203036228</v>
      </c>
      <c r="Z51" s="278">
        <v>0.82330487081338333</v>
      </c>
      <c r="AA51" s="278">
        <v>0.82492465903277035</v>
      </c>
      <c r="AB51" s="279">
        <v>0.82643359149415674</v>
      </c>
      <c r="AC51" s="277">
        <v>0.82783657177613512</v>
      </c>
      <c r="AD51" s="278">
        <v>0.82913809443932962</v>
      </c>
      <c r="AE51" s="278">
        <v>0.8303422896114242</v>
      </c>
      <c r="AF51" s="278">
        <v>0.83145296130684831</v>
      </c>
      <c r="AG51" s="278">
        <v>0.8324736205572143</v>
      </c>
      <c r="AH51" s="278">
        <v>0.83340751421245463</v>
      </c>
      <c r="AI51" s="278">
        <v>0.83425765010562825</v>
      </c>
      <c r="AJ51" s="278">
        <v>0.83502681914418941</v>
      </c>
      <c r="AK51" s="278">
        <v>0.835717614788137</v>
      </c>
      <c r="AL51" s="279">
        <v>0.83633245029429326</v>
      </c>
      <c r="AM51" s="277">
        <v>0.83876052902217291</v>
      </c>
      <c r="AN51" s="278">
        <v>0.83953684082546842</v>
      </c>
      <c r="AO51" s="278">
        <v>0.8402666630836334</v>
      </c>
      <c r="AP51" s="278">
        <v>0.84095197218392315</v>
      </c>
      <c r="AQ51" s="278">
        <v>0.84159462610706071</v>
      </c>
      <c r="AR51" s="278">
        <v>0.84219637393484026</v>
      </c>
      <c r="AS51" s="278">
        <v>0.84275886439737724</v>
      </c>
      <c r="AT51" s="278">
        <v>0.84328365357649648</v>
      </c>
      <c r="AU51" s="278">
        <v>0.84377221186533857</v>
      </c>
      <c r="AV51" s="279">
        <v>0.84422593027046622</v>
      </c>
      <c r="AW51" s="277">
        <v>0.84464612613111867</v>
      </c>
      <c r="AX51" s="278">
        <v>0.84503404832040618</v>
      </c>
      <c r="AY51" s="278">
        <v>0.84539088198485723</v>
      </c>
      <c r="AZ51" s="278">
        <v>0.84571775287158124</v>
      </c>
      <c r="BA51" s="278">
        <v>0.84601573128619456</v>
      </c>
      <c r="BB51" s="278">
        <v>0.84628583571939286</v>
      </c>
      <c r="BC51" s="278">
        <v>0.84652903617554076</v>
      </c>
      <c r="BD51" s="278">
        <v>0.84674625723271646</v>
      </c>
      <c r="BE51" s="278">
        <v>0.84693838086027873</v>
      </c>
      <c r="BF51" s="279">
        <v>0.84710624901706377</v>
      </c>
      <c r="BG51" s="279">
        <f t="shared" si="0"/>
        <v>0.84710624901706377</v>
      </c>
      <c r="BH51" s="237"/>
    </row>
    <row r="52" spans="1:60" ht="17.45" customHeight="1" x14ac:dyDescent="0.2">
      <c r="A52" s="273">
        <v>11</v>
      </c>
      <c r="B52" s="277">
        <v>0.69378085727565375</v>
      </c>
      <c r="C52" s="278">
        <v>0.70686015930178137</v>
      </c>
      <c r="D52" s="278">
        <v>0.71785647423172927</v>
      </c>
      <c r="E52" s="278">
        <v>0.72735020587829213</v>
      </c>
      <c r="F52" s="278">
        <v>0.73569616746349087</v>
      </c>
      <c r="G52" s="278">
        <v>0.74312999845952099</v>
      </c>
      <c r="H52" s="278">
        <v>0.74981761822119197</v>
      </c>
      <c r="I52" s="278">
        <v>0.75588103899367298</v>
      </c>
      <c r="J52" s="279">
        <v>0.76141303935677285</v>
      </c>
      <c r="K52" s="277">
        <v>0.76648606850568768</v>
      </c>
      <c r="L52" s="278">
        <v>0.77115793591410087</v>
      </c>
      <c r="M52" s="278">
        <v>0.77547560217074341</v>
      </c>
      <c r="N52" s="278">
        <v>0.77947779349594781</v>
      </c>
      <c r="O52" s="278">
        <v>0.78319685808180139</v>
      </c>
      <c r="P52" s="278">
        <v>0.78666011713130735</v>
      </c>
      <c r="Q52" s="278">
        <v>0.78989086934227615</v>
      </c>
      <c r="R52" s="278">
        <v>0.79290915174102483</v>
      </c>
      <c r="S52" s="279">
        <v>0.79573236304436601</v>
      </c>
      <c r="T52" s="277">
        <v>0.7983758349499438</v>
      </c>
      <c r="U52" s="278">
        <v>0.80085308293814539</v>
      </c>
      <c r="V52" s="278">
        <v>0.80317605839001882</v>
      </c>
      <c r="W52" s="278">
        <v>0.80535538271316687</v>
      </c>
      <c r="X52" s="278">
        <v>0.807400538535336</v>
      </c>
      <c r="Y52" s="278">
        <v>0.80932002719752283</v>
      </c>
      <c r="Z52" s="278">
        <v>0.81112149952042178</v>
      </c>
      <c r="AA52" s="278">
        <v>0.81281186517454374</v>
      </c>
      <c r="AB52" s="279">
        <v>0.81439738477235546</v>
      </c>
      <c r="AC52" s="277">
        <v>0.81588374789610907</v>
      </c>
      <c r="AD52" s="278">
        <v>0.81727613959224843</v>
      </c>
      <c r="AE52" s="278">
        <v>0.81857929734257262</v>
      </c>
      <c r="AF52" s="278">
        <v>0.81979756012146399</v>
      </c>
      <c r="AG52" s="278">
        <v>0.82093491083708681</v>
      </c>
      <c r="AH52" s="278">
        <v>0.82199501321057089</v>
      </c>
      <c r="AI52" s="278">
        <v>0.82298124395465644</v>
      </c>
      <c r="AJ52" s="278">
        <v>0.82389672096021582</v>
      </c>
      <c r="AK52" s="278">
        <v>0.82474432807650699</v>
      </c>
      <c r="AL52" s="279">
        <v>0.82552673697227663</v>
      </c>
      <c r="AM52" s="277">
        <v>0.82759268808139941</v>
      </c>
      <c r="AN52" s="278">
        <v>0.8284188073656199</v>
      </c>
      <c r="AO52" s="278">
        <v>0.82919861526381622</v>
      </c>
      <c r="AP52" s="278">
        <v>0.82993419563375193</v>
      </c>
      <c r="AQ52" s="278">
        <v>0.83062750270526775</v>
      </c>
      <c r="AR52" s="278">
        <v>0.83128037165389101</v>
      </c>
      <c r="AS52" s="278">
        <v>0.83189452810646769</v>
      </c>
      <c r="AT52" s="278">
        <v>0.83247159670697035</v>
      </c>
      <c r="AU52" s="278">
        <v>0.83301310885290325</v>
      </c>
      <c r="AV52" s="279">
        <v>0.83352050969776126</v>
      </c>
      <c r="AW52" s="277">
        <v>0.83399516450231126</v>
      </c>
      <c r="AX52" s="278">
        <v>0.83443836440670371</v>
      </c>
      <c r="AY52" s="278">
        <v>0.83485133168621528</v>
      </c>
      <c r="AZ52" s="278">
        <v>0.83523522454557009</v>
      </c>
      <c r="BA52" s="278">
        <v>0.83559114150002389</v>
      </c>
      <c r="BB52" s="278">
        <v>0.83592012538558635</v>
      </c>
      <c r="BC52" s="278">
        <v>0.83622316703573896</v>
      </c>
      <c r="BD52" s="278">
        <v>0.83650120865764177</v>
      </c>
      <c r="BE52" s="278">
        <v>0.83675514693707087</v>
      </c>
      <c r="BF52" s="279">
        <v>0.83698583589801789</v>
      </c>
      <c r="BG52" s="279">
        <f t="shared" si="0"/>
        <v>0.83698583589801789</v>
      </c>
      <c r="BH52" s="237"/>
    </row>
    <row r="53" spans="1:60" ht="17.45" customHeight="1" x14ac:dyDescent="0.2">
      <c r="A53" s="273">
        <v>11.5</v>
      </c>
      <c r="B53" s="277">
        <v>0.67659663777149859</v>
      </c>
      <c r="C53" s="278">
        <v>0.69077508572350654</v>
      </c>
      <c r="D53" s="278">
        <v>0.70245334688002836</v>
      </c>
      <c r="E53" s="278">
        <v>0.71241004793102669</v>
      </c>
      <c r="F53" s="278">
        <v>0.72109522678971305</v>
      </c>
      <c r="G53" s="278">
        <v>0.72879454592912474</v>
      </c>
      <c r="H53" s="278">
        <v>0.73570193333019263</v>
      </c>
      <c r="I53" s="278">
        <v>0.74195583397269527</v>
      </c>
      <c r="J53" s="279">
        <v>0.7476590050555475</v>
      </c>
      <c r="K53" s="277">
        <v>0.75289010705470949</v>
      </c>
      <c r="L53" s="278">
        <v>0.75771087999022968</v>
      </c>
      <c r="M53" s="278">
        <v>0.76217079327224102</v>
      </c>
      <c r="N53" s="278">
        <v>0.76631017468330431</v>
      </c>
      <c r="O53" s="278">
        <v>0.77016238418242555</v>
      </c>
      <c r="P53" s="278">
        <v>0.77375536582228988</v>
      </c>
      <c r="Q53" s="278">
        <v>0.77711278205549061</v>
      </c>
      <c r="R53" s="278">
        <v>0.78025485997272792</v>
      </c>
      <c r="S53" s="279">
        <v>0.78319912778957235</v>
      </c>
      <c r="T53" s="277">
        <v>0.7859611945657824</v>
      </c>
      <c r="U53" s="278">
        <v>0.7885548614560397</v>
      </c>
      <c r="V53" s="278">
        <v>0.79099233559081927</v>
      </c>
      <c r="W53" s="278">
        <v>0.79328447613454989</v>
      </c>
      <c r="X53" s="278">
        <v>0.79544099364361809</v>
      </c>
      <c r="Y53" s="278">
        <v>0.79747061312015566</v>
      </c>
      <c r="Z53" s="278">
        <v>0.79938120852806938</v>
      </c>
      <c r="AA53" s="278">
        <v>0.8011799146470403</v>
      </c>
      <c r="AB53" s="279">
        <v>0.80287322076154477</v>
      </c>
      <c r="AC53" s="277">
        <v>0.8044670496636217</v>
      </c>
      <c r="AD53" s="278">
        <v>0.80596682468699532</v>
      </c>
      <c r="AE53" s="278">
        <v>0.80737752691500375</v>
      </c>
      <c r="AF53" s="278">
        <v>0.80870374426570901</v>
      </c>
      <c r="AG53" s="278">
        <v>0.80994971381918979</v>
      </c>
      <c r="AH53" s="278">
        <v>0.81111935848893024</v>
      </c>
      <c r="AI53" s="278">
        <v>0.81221631893298318</v>
      </c>
      <c r="AJ53" s="278">
        <v>0.81324398143765519</v>
      </c>
      <c r="AK53" s="278">
        <v>0.81420550237681644</v>
      </c>
      <c r="AL53" s="279">
        <v>0.81510382974604967</v>
      </c>
      <c r="AM53" s="277">
        <v>0.81698432522609743</v>
      </c>
      <c r="AN53" s="278">
        <v>0.81785838979902825</v>
      </c>
      <c r="AO53" s="278">
        <v>0.81868174078417966</v>
      </c>
      <c r="AP53" s="278">
        <v>0.81945651121426655</v>
      </c>
      <c r="AQ53" s="278">
        <v>0.82018470786883257</v>
      </c>
      <c r="AR53" s="278">
        <v>0.8208682213015992</v>
      </c>
      <c r="AS53" s="278">
        <v>0.82150883486468917</v>
      </c>
      <c r="AT53" s="278">
        <v>0.82210823285036272</v>
      </c>
      <c r="AU53" s="278">
        <v>0.82266800785404481</v>
      </c>
      <c r="AV53" s="279">
        <v>0.82318966744821931</v>
      </c>
      <c r="AW53" s="277">
        <v>0.8236746402447872</v>
      </c>
      <c r="AX53" s="278">
        <v>0.82412428141329863</v>
      </c>
      <c r="AY53" s="278">
        <v>0.82453987771383197</v>
      </c>
      <c r="AZ53" s="278">
        <v>0.82492265209589355</v>
      </c>
      <c r="BA53" s="278">
        <v>0.82527376790837259</v>
      </c>
      <c r="BB53" s="278">
        <v>0.82559433276015004</v>
      </c>
      <c r="BC53" s="278">
        <v>0.82588540206625483</v>
      </c>
      <c r="BD53" s="278">
        <v>0.82614798231039666</v>
      </c>
      <c r="BE53" s="278">
        <v>0.82638303405118807</v>
      </c>
      <c r="BF53" s="279">
        <v>0.82659147469629457</v>
      </c>
      <c r="BG53" s="279">
        <f t="shared" si="0"/>
        <v>0.82659147469629457</v>
      </c>
      <c r="BH53" s="237"/>
    </row>
    <row r="54" spans="1:60" ht="17.45" customHeight="1" x14ac:dyDescent="0.2">
      <c r="A54" s="280">
        <v>12</v>
      </c>
      <c r="B54" s="281">
        <v>0.66217581204800235</v>
      </c>
      <c r="C54" s="282">
        <v>0.67494864422738254</v>
      </c>
      <c r="D54" s="282">
        <v>0.68645331854808034</v>
      </c>
      <c r="E54" s="282">
        <v>0.69671943654105273</v>
      </c>
      <c r="F54" s="282">
        <v>0.70588695958460235</v>
      </c>
      <c r="G54" s="282">
        <v>0.71410550479138002</v>
      </c>
      <c r="H54" s="282">
        <v>0.72150887903960559</v>
      </c>
      <c r="I54" s="282">
        <v>0.72821060123521919</v>
      </c>
      <c r="J54" s="283">
        <v>0.73430536610500263</v>
      </c>
      <c r="K54" s="281">
        <v>0.73987189545851195</v>
      </c>
      <c r="L54" s="282">
        <v>0.74497577928316694</v>
      </c>
      <c r="M54" s="282">
        <v>0.74967192376248326</v>
      </c>
      <c r="N54" s="282">
        <v>0.75400655420013918</v>
      </c>
      <c r="O54" s="282">
        <v>0.75801882137142396</v>
      </c>
      <c r="P54" s="282">
        <v>0.76174208161287194</v>
      </c>
      <c r="Q54" s="282">
        <v>0.7652049170163735</v>
      </c>
      <c r="R54" s="282">
        <v>0.76843195123868058</v>
      </c>
      <c r="S54" s="283">
        <v>0.77144465598722067</v>
      </c>
      <c r="T54" s="281">
        <v>0.77426233777360576</v>
      </c>
      <c r="U54" s="282">
        <v>0.77690212311925078</v>
      </c>
      <c r="V54" s="282">
        <v>0.77937915998430429</v>
      </c>
      <c r="W54" s="282">
        <v>0.78170690688157585</v>
      </c>
      <c r="X54" s="282">
        <v>0.7838973723850412</v>
      </c>
      <c r="Y54" s="282">
        <v>0.78596131468523756</v>
      </c>
      <c r="Z54" s="282">
        <v>0.78790840877136958</v>
      </c>
      <c r="AA54" s="282">
        <v>0.78974738722712423</v>
      </c>
      <c r="AB54" s="283">
        <v>0.79148615939706335</v>
      </c>
      <c r="AC54" s="281">
        <v>0.7931319127253269</v>
      </c>
      <c r="AD54" s="282">
        <v>0.79469119932255317</v>
      </c>
      <c r="AE54" s="282">
        <v>0.79617001023123379</v>
      </c>
      <c r="AF54" s="282">
        <v>0.79757383939713766</v>
      </c>
      <c r="AG54" s="282">
        <v>0.79890773898703349</v>
      </c>
      <c r="AH54" s="282">
        <v>0.80017636739954923</v>
      </c>
      <c r="AI54" s="282">
        <v>0.80138403108042844</v>
      </c>
      <c r="AJ54" s="282">
        <v>0.80253472106335666</v>
      </c>
      <c r="AK54" s="282">
        <v>0.80363214500333635</v>
      </c>
      <c r="AL54" s="283">
        <v>0.8046797553439512</v>
      </c>
      <c r="AM54" s="281">
        <v>0.80610636183232409</v>
      </c>
      <c r="AN54" s="282">
        <v>0.80700043139191746</v>
      </c>
      <c r="AO54" s="282">
        <v>0.80784500035672768</v>
      </c>
      <c r="AP54" s="282">
        <v>0.80864238529168786</v>
      </c>
      <c r="AQ54" s="282">
        <v>0.80939475583230069</v>
      </c>
      <c r="AR54" s="282">
        <v>0.81010414672594933</v>
      </c>
      <c r="AS54" s="282">
        <v>0.81077246866277353</v>
      </c>
      <c r="AT54" s="282">
        <v>0.81140151803976546</v>
      </c>
      <c r="AU54" s="282">
        <v>0.81199298578216172</v>
      </c>
      <c r="AV54" s="283">
        <v>0.81254846532962755</v>
      </c>
      <c r="AW54" s="281">
        <v>0.81306945988065349</v>
      </c>
      <c r="AX54" s="282">
        <v>0.81355738897656782</v>
      </c>
      <c r="AY54" s="282">
        <v>0.8140135944963065</v>
      </c>
      <c r="AZ54" s="282">
        <v>0.81443934612426627</v>
      </c>
      <c r="BA54" s="282">
        <v>0.81483584634598538</v>
      </c>
      <c r="BB54" s="282">
        <v>0.81520423501985584</v>
      </c>
      <c r="BC54" s="282">
        <v>0.81554559356740841</v>
      </c>
      <c r="BD54" s="282">
        <v>0.81586094881979931</v>
      </c>
      <c r="BE54" s="282">
        <v>0.81615127655385444</v>
      </c>
      <c r="BF54" s="283">
        <v>0.8164175047473059</v>
      </c>
      <c r="BG54" s="283">
        <f t="shared" si="0"/>
        <v>0.8164175047473059</v>
      </c>
      <c r="BH54" s="237"/>
    </row>
    <row r="55" spans="1:60" ht="17.45" customHeight="1" x14ac:dyDescent="0.2">
      <c r="A55" s="273">
        <v>12.5</v>
      </c>
      <c r="B55" s="284">
        <v>0.64668793563459637</v>
      </c>
      <c r="C55" s="285">
        <v>0.65993432200058888</v>
      </c>
      <c r="D55" s="285">
        <v>0.67167060316642513</v>
      </c>
      <c r="E55" s="285">
        <v>0.68209634400713659</v>
      </c>
      <c r="F55" s="285">
        <v>0.69141158635704836</v>
      </c>
      <c r="G55" s="285">
        <v>0.69978635475941453</v>
      </c>
      <c r="H55" s="285">
        <v>0.70735950135364023</v>
      </c>
      <c r="I55" s="285">
        <v>0.71424358149306222</v>
      </c>
      <c r="J55" s="286">
        <v>0.72053015432778378</v>
      </c>
      <c r="K55" s="284">
        <v>0.72629425404486592</v>
      </c>
      <c r="L55" s="285">
        <v>0.73159790660902846</v>
      </c>
      <c r="M55" s="285">
        <v>0.73649283674524235</v>
      </c>
      <c r="N55" s="285">
        <v>0.74102254388157596</v>
      </c>
      <c r="O55" s="285">
        <v>0.74522390024396801</v>
      </c>
      <c r="P55" s="285">
        <v>0.7491283898956963</v>
      </c>
      <c r="Q55" s="285">
        <v>0.75276307760148631</v>
      </c>
      <c r="R55" s="285">
        <v>0.75615137323756665</v>
      </c>
      <c r="S55" s="286">
        <v>0.75931383768718475</v>
      </c>
      <c r="T55" s="284">
        <v>0.76226926955207597</v>
      </c>
      <c r="U55" s="285">
        <v>0.76503451766049624</v>
      </c>
      <c r="V55" s="285">
        <v>0.76762460551498302</v>
      </c>
      <c r="W55" s="285">
        <v>0.77005299444238406</v>
      </c>
      <c r="X55" s="285">
        <v>0.77233180136022306</v>
      </c>
      <c r="Y55" s="285">
        <v>0.77447198016403695</v>
      </c>
      <c r="Z55" s="285">
        <v>0.77648347374044979</v>
      </c>
      <c r="AA55" s="285">
        <v>0.7783753420977787</v>
      </c>
      <c r="AB55" s="286">
        <v>0.78015587095213712</v>
      </c>
      <c r="AC55" s="284">
        <v>0.78183266422010544</v>
      </c>
      <c r="AD55" s="285">
        <v>0.78341272318218225</v>
      </c>
      <c r="AE55" s="285">
        <v>0.78490251454540771</v>
      </c>
      <c r="AF55" s="285">
        <v>0.7863080292126452</v>
      </c>
      <c r="AG55" s="285">
        <v>0.78763483323315142</v>
      </c>
      <c r="AH55" s="285">
        <v>0.78888811214420784</v>
      </c>
      <c r="AI55" s="285">
        <v>0.79007270970150301</v>
      </c>
      <c r="AJ55" s="285">
        <v>0.79119316182520649</v>
      </c>
      <c r="AK55" s="285">
        <v>0.79225372645039782</v>
      </c>
      <c r="AL55" s="286">
        <v>0.79325840985797746</v>
      </c>
      <c r="AM55" s="287">
        <v>0.79520404988597404</v>
      </c>
      <c r="AN55" s="288">
        <v>0.79613833055601058</v>
      </c>
      <c r="AO55" s="288">
        <v>0.79702094485907671</v>
      </c>
      <c r="AP55" s="288">
        <v>0.79785428865432062</v>
      </c>
      <c r="AQ55" s="288">
        <v>0.79864060712941554</v>
      </c>
      <c r="AR55" s="288">
        <v>0.79938200706450835</v>
      </c>
      <c r="AS55" s="288">
        <v>0.80008046787010645</v>
      </c>
      <c r="AT55" s="288">
        <v>0.80073785154375698</v>
      </c>
      <c r="AU55" s="288">
        <v>0.80135591167069664</v>
      </c>
      <c r="AV55" s="289">
        <v>0.80193630157700635</v>
      </c>
      <c r="AW55" s="287">
        <v>0.80248058172962344</v>
      </c>
      <c r="AX55" s="288">
        <v>0.80299022646549389</v>
      </c>
      <c r="AY55" s="288">
        <v>0.80346663012180286</v>
      </c>
      <c r="AZ55" s="288">
        <v>0.80391111263034387</v>
      </c>
      <c r="BA55" s="288">
        <v>0.80432492463145033</v>
      </c>
      <c r="BB55" s="288">
        <v>0.80470925215630973</v>
      </c>
      <c r="BC55" s="288">
        <v>0.80506522092077237</v>
      </c>
      <c r="BD55" s="288">
        <v>0.80539390026881019</v>
      </c>
      <c r="BE55" s="288">
        <v>0.80569630679945536</v>
      </c>
      <c r="BF55" s="289">
        <v>0.8059734077073003</v>
      </c>
      <c r="BG55" s="289">
        <f t="shared" si="0"/>
        <v>0.8059734077073003</v>
      </c>
      <c r="BH55" s="237"/>
    </row>
    <row r="56" spans="1:60" ht="17.45" customHeight="1" x14ac:dyDescent="0.2">
      <c r="A56" s="273">
        <v>13</v>
      </c>
      <c r="B56" s="277">
        <v>0.63132996548429787</v>
      </c>
      <c r="C56" s="278">
        <v>0.64519874083385631</v>
      </c>
      <c r="D56" s="278">
        <v>0.65729039973831271</v>
      </c>
      <c r="E56" s="278">
        <v>0.66795293247095677</v>
      </c>
      <c r="F56" s="278">
        <v>0.67744928853583297</v>
      </c>
      <c r="G56" s="278">
        <v>0.68597823051477835</v>
      </c>
      <c r="H56" s="278">
        <v>0.693692244549727</v>
      </c>
      <c r="I56" s="278">
        <v>0.70071037680923121</v>
      </c>
      <c r="J56" s="279">
        <v>0.70712714956355571</v>
      </c>
      <c r="K56" s="277">
        <v>0.71301877853803575</v>
      </c>
      <c r="L56" s="278">
        <v>0.71844757149385785</v>
      </c>
      <c r="M56" s="278">
        <v>0.72346509455938401</v>
      </c>
      <c r="N56" s="278">
        <v>0.72811449184205235</v>
      </c>
      <c r="O56" s="278">
        <v>0.73243221336454634</v>
      </c>
      <c r="P56" s="278">
        <v>0.73644932238388139</v>
      </c>
      <c r="Q56" s="278">
        <v>0.74019249870117498</v>
      </c>
      <c r="R56" s="278">
        <v>0.74368481878933723</v>
      </c>
      <c r="S56" s="279">
        <v>0.74694659232067018</v>
      </c>
      <c r="T56" s="277">
        <v>0.74999652550566098</v>
      </c>
      <c r="U56" s="278">
        <v>0.75285145649778529</v>
      </c>
      <c r="V56" s="278">
        <v>0.75552645002056529</v>
      </c>
      <c r="W56" s="278">
        <v>0.75803505520609982</v>
      </c>
      <c r="X56" s="278">
        <v>0.76038951808839228</v>
      </c>
      <c r="Y56" s="278">
        <v>0.76260095800338512</v>
      </c>
      <c r="Z56" s="278">
        <v>0.76467951501736497</v>
      </c>
      <c r="AA56" s="278">
        <v>0.76663447391753836</v>
      </c>
      <c r="AB56" s="279">
        <v>0.76847436910277844</v>
      </c>
      <c r="AC56" s="277">
        <v>0.77020707380319409</v>
      </c>
      <c r="AD56" s="278">
        <v>0.77183987635941897</v>
      </c>
      <c r="AE56" s="278">
        <v>0.77337954575250423</v>
      </c>
      <c r="AF56" s="278">
        <v>0.77483238815404709</v>
      </c>
      <c r="AG56" s="278">
        <v>0.77620429593507434</v>
      </c>
      <c r="AH56" s="278">
        <v>0.77750079031010233</v>
      </c>
      <c r="AI56" s="278">
        <v>0.77872705858393154</v>
      </c>
      <c r="AJ56" s="278">
        <v>0.77988798680122129</v>
      </c>
      <c r="AK56" s="278">
        <v>0.78098818846376794</v>
      </c>
      <c r="AL56" s="279">
        <v>0.78203202987075426</v>
      </c>
      <c r="AM56" s="277">
        <v>0.78419204982337876</v>
      </c>
      <c r="AN56" s="278">
        <v>0.78517753857312622</v>
      </c>
      <c r="AO56" s="278">
        <v>0.78610939587485085</v>
      </c>
      <c r="AP56" s="278">
        <v>0.78699004186122024</v>
      </c>
      <c r="AQ56" s="278">
        <v>0.78782174705104824</v>
      </c>
      <c r="AR56" s="278">
        <v>0.78860664442333428</v>
      </c>
      <c r="AS56" s="278">
        <v>0.78934674028761809</v>
      </c>
      <c r="AT56" s="278">
        <v>0.79004392409301538</v>
      </c>
      <c r="AU56" s="278">
        <v>0.79069997729888686</v>
      </c>
      <c r="AV56" s="279">
        <v>0.79131658141368866</v>
      </c>
      <c r="AW56" s="277">
        <v>0.79189532529459195</v>
      </c>
      <c r="AX56" s="278">
        <v>0.79243771178858058</v>
      </c>
      <c r="AY56" s="278">
        <v>0.79294516378557189</v>
      </c>
      <c r="AZ56" s="278">
        <v>0.79341902974538303</v>
      </c>
      <c r="BA56" s="278">
        <v>0.79386058875286547</v>
      </c>
      <c r="BB56" s="278">
        <v>0.79427105514905516</v>
      </c>
      <c r="BC56" s="278">
        <v>0.79465158278058856</v>
      </c>
      <c r="BD56" s="278">
        <v>0.79500326890476736</v>
      </c>
      <c r="BE56" s="278">
        <v>0.79532715778342866</v>
      </c>
      <c r="BF56" s="279">
        <v>0.79562424399509168</v>
      </c>
      <c r="BG56" s="279">
        <f t="shared" si="0"/>
        <v>0.79562424399509168</v>
      </c>
      <c r="BH56" s="237"/>
    </row>
    <row r="57" spans="1:60" ht="17.45" customHeight="1" x14ac:dyDescent="0.2">
      <c r="A57" s="273">
        <v>13.5</v>
      </c>
      <c r="B57" s="277">
        <v>0.617991424576116</v>
      </c>
      <c r="C57" s="278">
        <v>0.63043579273951322</v>
      </c>
      <c r="D57" s="278">
        <v>0.64217040089552946</v>
      </c>
      <c r="E57" s="278">
        <v>0.65292344370812772</v>
      </c>
      <c r="F57" s="278">
        <v>0.66269478579990038</v>
      </c>
      <c r="G57" s="278">
        <v>0.67156308454428537</v>
      </c>
      <c r="H57" s="278">
        <v>0.67962429203177799</v>
      </c>
      <c r="I57" s="278">
        <v>0.68697120361651343</v>
      </c>
      <c r="J57" s="279">
        <v>0.69368716621001347</v>
      </c>
      <c r="K57" s="277">
        <v>0.69984489757123047</v>
      </c>
      <c r="L57" s="278">
        <v>0.70550711759727536</v>
      </c>
      <c r="M57" s="278">
        <v>0.71072773406675394</v>
      </c>
      <c r="N57" s="278">
        <v>0.71555310067952815</v>
      </c>
      <c r="O57" s="278">
        <v>0.72002317254068438</v>
      </c>
      <c r="P57" s="278">
        <v>0.72417250804818023</v>
      </c>
      <c r="Q57" s="278">
        <v>0.72803111508146923</v>
      </c>
      <c r="R57" s="278">
        <v>0.73162515711187259</v>
      </c>
      <c r="S57" s="279">
        <v>0.73497775631274342</v>
      </c>
      <c r="T57" s="277">
        <v>0.73811013743381926</v>
      </c>
      <c r="U57" s="278">
        <v>0.74104139293876159</v>
      </c>
      <c r="V57" s="278">
        <v>0.74378860206583208</v>
      </c>
      <c r="W57" s="278">
        <v>0.74636710992076294</v>
      </c>
      <c r="X57" s="278">
        <v>0.74879076172453729</v>
      </c>
      <c r="Y57" s="278">
        <v>0.75107210022296467</v>
      </c>
      <c r="Z57" s="278">
        <v>0.75322253274116557</v>
      </c>
      <c r="AA57" s="278">
        <v>0.75525247313493715</v>
      </c>
      <c r="AB57" s="279">
        <v>0.75717146290177895</v>
      </c>
      <c r="AC57" s="277">
        <v>0.75898827492110921</v>
      </c>
      <c r="AD57" s="278">
        <v>0.76071100265697034</v>
      </c>
      <c r="AE57" s="278">
        <v>0.76234713714543267</v>
      </c>
      <c r="AF57" s="278">
        <v>0.76390363367728442</v>
      </c>
      <c r="AG57" s="278">
        <v>0.76538696975411469</v>
      </c>
      <c r="AH57" s="278">
        <v>0.76680319562637789</v>
      </c>
      <c r="AI57" s="278">
        <v>0.768157978502787</v>
      </c>
      <c r="AJ57" s="278">
        <v>0.76945664134133374</v>
      </c>
      <c r="AK57" s="278">
        <v>0.77070419698550485</v>
      </c>
      <c r="AL57" s="279">
        <v>0.77190537828848915</v>
      </c>
      <c r="AM57" s="277">
        <v>0.77356433177094275</v>
      </c>
      <c r="AN57" s="278">
        <v>0.77457399866712018</v>
      </c>
      <c r="AO57" s="278">
        <v>0.77552883003096995</v>
      </c>
      <c r="AP57" s="278">
        <v>0.77643142366089379</v>
      </c>
      <c r="AQ57" s="278">
        <v>0.7772842131774228</v>
      </c>
      <c r="AR57" s="278">
        <v>0.77808948130389655</v>
      </c>
      <c r="AS57" s="278">
        <v>0.77884937183682157</v>
      </c>
      <c r="AT57" s="278">
        <v>0.77956590045796337</v>
      </c>
      <c r="AU57" s="278">
        <v>0.78024096452001634</v>
      </c>
      <c r="AV57" s="279">
        <v>0.78087635192050908</v>
      </c>
      <c r="AW57" s="277">
        <v>0.78147374916393098</v>
      </c>
      <c r="AX57" s="278">
        <v>0.78203474869949652</v>
      </c>
      <c r="AY57" s="278">
        <v>0.78256085561117295</v>
      </c>
      <c r="AZ57" s="278">
        <v>0.78305349372730393</v>
      </c>
      <c r="BA57" s="278">
        <v>0.78351401120913144</v>
      </c>
      <c r="BB57" s="278">
        <v>0.78394368567056882</v>
      </c>
      <c r="BC57" s="278">
        <v>0.78434372887554216</v>
      </c>
      <c r="BD57" s="278">
        <v>0.78471529105396287</v>
      </c>
      <c r="BE57" s="278">
        <v>0.78505946487281442</v>
      </c>
      <c r="BF57" s="279">
        <v>0.78537728909482907</v>
      </c>
      <c r="BG57" s="279">
        <f t="shared" si="0"/>
        <v>0.78537728909482907</v>
      </c>
      <c r="BH57" s="237"/>
    </row>
    <row r="58" spans="1:60" ht="17.45" customHeight="1" x14ac:dyDescent="0.2">
      <c r="A58" s="273">
        <v>14</v>
      </c>
      <c r="B58" s="277">
        <v>0.60292920960067997</v>
      </c>
      <c r="C58" s="278">
        <v>0.61674195553404076</v>
      </c>
      <c r="D58" s="278">
        <v>0.6287237795866869</v>
      </c>
      <c r="E58" s="278">
        <v>0.63936820203059441</v>
      </c>
      <c r="F58" s="278">
        <v>0.64896107570230555</v>
      </c>
      <c r="G58" s="278">
        <v>0.65768846151772942</v>
      </c>
      <c r="H58" s="278">
        <v>0.66568148696398488</v>
      </c>
      <c r="I58" s="278">
        <v>0.67303789215151355</v>
      </c>
      <c r="J58" s="279">
        <v>0.67983356796979477</v>
      </c>
      <c r="K58" s="277">
        <v>0.68612927859625383</v>
      </c>
      <c r="L58" s="278">
        <v>0.69197484788328345</v>
      </c>
      <c r="M58" s="278">
        <v>0.6974119091385832</v>
      </c>
      <c r="N58" s="278">
        <v>0.7024757910662931</v>
      </c>
      <c r="O58" s="278">
        <v>0.70719685794273734</v>
      </c>
      <c r="P58" s="278">
        <v>0.71160149042105592</v>
      </c>
      <c r="Q58" s="278">
        <v>0.71571282129529523</v>
      </c>
      <c r="R58" s="278">
        <v>0.71955129914515659</v>
      </c>
      <c r="S58" s="279">
        <v>0.72313529823084133</v>
      </c>
      <c r="T58" s="277">
        <v>0.72648198369766359</v>
      </c>
      <c r="U58" s="278">
        <v>0.7296070898667677</v>
      </c>
      <c r="V58" s="278">
        <v>0.73252497624793667</v>
      </c>
      <c r="W58" s="278">
        <v>0.73524881187814395</v>
      </c>
      <c r="X58" s="278">
        <v>0.73779072806788726</v>
      </c>
      <c r="Y58" s="278">
        <v>0.74016194605707686</v>
      </c>
      <c r="Z58" s="278">
        <v>0.74237288453114747</v>
      </c>
      <c r="AA58" s="278">
        <v>0.74443325081499556</v>
      </c>
      <c r="AB58" s="279">
        <v>0.74635211872254437</v>
      </c>
      <c r="AC58" s="277">
        <v>0.7481379954090247</v>
      </c>
      <c r="AD58" s="278">
        <v>0.74979887909364407</v>
      </c>
      <c r="AE58" s="278">
        <v>0.75134230915188482</v>
      </c>
      <c r="AF58" s="278">
        <v>0.75277540979062474</v>
      </c>
      <c r="AG58" s="278">
        <v>0.75410492829515274</v>
      </c>
      <c r="AH58" s="278">
        <v>0.75533726865998063</v>
      </c>
      <c r="AI58" s="278">
        <v>0.75647852127422421</v>
      </c>
      <c r="AJ58" s="278">
        <v>0.75753448921902689</v>
      </c>
      <c r="AK58" s="278">
        <v>0.7585107116429427</v>
      </c>
      <c r="AL58" s="279">
        <v>0.75941248460670285</v>
      </c>
      <c r="AM58" s="277">
        <v>0.76270136557201795</v>
      </c>
      <c r="AN58" s="278">
        <v>0.76374990210495541</v>
      </c>
      <c r="AO58" s="278">
        <v>0.76474011810704901</v>
      </c>
      <c r="AP58" s="278">
        <v>0.76567465698889148</v>
      </c>
      <c r="AQ58" s="278">
        <v>0.7665560004187858</v>
      </c>
      <c r="AR58" s="278">
        <v>0.76738648114874664</v>
      </c>
      <c r="AS58" s="278">
        <v>0.76816829458902625</v>
      </c>
      <c r="AT58" s="278">
        <v>0.76890350927566919</v>
      </c>
      <c r="AU58" s="278">
        <v>0.76959407635641242</v>
      </c>
      <c r="AV58" s="279">
        <v>0.7702418382039139</v>
      </c>
      <c r="AW58" s="277">
        <v>0.77084853625138461</v>
      </c>
      <c r="AX58" s="278">
        <v>0.77141581813375493</v>
      </c>
      <c r="AY58" s="278">
        <v>0.77194524420729049</v>
      </c>
      <c r="AZ58" s="278">
        <v>0.77243829351174387</v>
      </c>
      <c r="BA58" s="278">
        <v>0.77289636923151617</v>
      </c>
      <c r="BB58" s="278">
        <v>0.77332080370572021</v>
      </c>
      <c r="BC58" s="278">
        <v>0.77371286303129694</v>
      </c>
      <c r="BD58" s="278">
        <v>0.77407375129836675</v>
      </c>
      <c r="BE58" s="278">
        <v>0.77440461449263931</v>
      </c>
      <c r="BF58" s="279">
        <v>0.77470654409590911</v>
      </c>
      <c r="BG58" s="279">
        <f t="shared" si="0"/>
        <v>0.77470654409590911</v>
      </c>
      <c r="BH58" s="237"/>
    </row>
    <row r="59" spans="1:60" ht="17.45" customHeight="1" x14ac:dyDescent="0.2">
      <c r="A59" s="280">
        <v>14.5</v>
      </c>
      <c r="B59" s="290">
        <v>0.58966602442211113</v>
      </c>
      <c r="C59" s="291">
        <v>0.60353023957749974</v>
      </c>
      <c r="D59" s="291">
        <v>0.61552637181694292</v>
      </c>
      <c r="E59" s="291">
        <v>0.62620417871998091</v>
      </c>
      <c r="F59" s="291">
        <v>0.63586078677826741</v>
      </c>
      <c r="G59" s="291">
        <v>0.64467996068792732</v>
      </c>
      <c r="H59" s="291">
        <v>0.65278686409657338</v>
      </c>
      <c r="I59" s="291">
        <v>0.66027290311613729</v>
      </c>
      <c r="J59" s="292">
        <v>0.66720832387852669</v>
      </c>
      <c r="K59" s="290">
        <v>0.67364919742377349</v>
      </c>
      <c r="L59" s="291">
        <v>0.67964158591491064</v>
      </c>
      <c r="M59" s="291">
        <v>0.68522418196553458</v>
      </c>
      <c r="N59" s="291">
        <v>0.69043006642367144</v>
      </c>
      <c r="O59" s="291">
        <v>0.69528792887572533</v>
      </c>
      <c r="P59" s="291">
        <v>0.69982294516840715</v>
      </c>
      <c r="Q59" s="291">
        <v>0.70405742709847396</v>
      </c>
      <c r="R59" s="291">
        <v>0.70801131548509955</v>
      </c>
      <c r="S59" s="292">
        <v>0.71170263699188552</v>
      </c>
      <c r="T59" s="290">
        <v>0.71514803249060632</v>
      </c>
      <c r="U59" s="291">
        <v>0.71836277918716773</v>
      </c>
      <c r="V59" s="291">
        <v>0.72136091189271323</v>
      </c>
      <c r="W59" s="291">
        <v>0.72415538337482743</v>
      </c>
      <c r="X59" s="291">
        <v>0.72675819750228532</v>
      </c>
      <c r="Y59" s="291">
        <v>0.72918052082806573</v>
      </c>
      <c r="Z59" s="291">
        <v>0.73143277687985042</v>
      </c>
      <c r="AA59" s="291">
        <v>0.73352472643363054</v>
      </c>
      <c r="AB59" s="292">
        <v>0.7354655363163608</v>
      </c>
      <c r="AC59" s="290">
        <v>0.73726383873970081</v>
      </c>
      <c r="AD59" s="291">
        <v>0.73892778275589222</v>
      </c>
      <c r="AE59" s="291">
        <v>0.7404650791124302</v>
      </c>
      <c r="AF59" s="291">
        <v>0.74188303953893187</v>
      </c>
      <c r="AG59" s="291">
        <v>0.74318861130947511</v>
      </c>
      <c r="AH59" s="291">
        <v>0.74438840777360493</v>
      </c>
      <c r="AI59" s="291">
        <v>0.74548873542975791</v>
      </c>
      <c r="AJ59" s="291">
        <v>0.74649561801897457</v>
      </c>
      <c r="AK59" s="291">
        <v>0.74741481803925869</v>
      </c>
      <c r="AL59" s="292">
        <v>0.74825185601782496</v>
      </c>
      <c r="AM59" s="281">
        <v>0.75200164834989036</v>
      </c>
      <c r="AN59" s="282">
        <v>0.75307382257873556</v>
      </c>
      <c r="AO59" s="282">
        <v>0.7540865589006881</v>
      </c>
      <c r="AP59" s="282">
        <v>0.75504257459062019</v>
      </c>
      <c r="AQ59" s="282">
        <v>0.75594442022269337</v>
      </c>
      <c r="AR59" s="282">
        <v>0.7567944928689776</v>
      </c>
      <c r="AS59" s="282">
        <v>0.75759504801570554</v>
      </c>
      <c r="AT59" s="282">
        <v>0.75834821034432875</v>
      </c>
      <c r="AU59" s="282">
        <v>0.75905598350513848</v>
      </c>
      <c r="AV59" s="283">
        <v>0.75972025899469886</v>
      </c>
      <c r="AW59" s="281">
        <v>0.76034282423421962</v>
      </c>
      <c r="AX59" s="282">
        <v>0.76092536993389692</v>
      </c>
      <c r="AY59" s="282">
        <v>0.76146949681784004</v>
      </c>
      <c r="AZ59" s="282">
        <v>0.76197672177524234</v>
      </c>
      <c r="BA59" s="282">
        <v>0.76244848349568972</v>
      </c>
      <c r="BB59" s="282">
        <v>0.76288614763978102</v>
      </c>
      <c r="BC59" s="282">
        <v>0.76329101159039292</v>
      </c>
      <c r="BD59" s="282">
        <v>0.76366430882482705</v>
      </c>
      <c r="BE59" s="282">
        <v>0.76400721294363561</v>
      </c>
      <c r="BF59" s="283">
        <v>0.76432084138802403</v>
      </c>
      <c r="BG59" s="283">
        <f t="shared" si="0"/>
        <v>0.76432084138802403</v>
      </c>
      <c r="BH59" s="237"/>
    </row>
    <row r="60" spans="1:60" ht="17.45" customHeight="1" x14ac:dyDescent="0.2">
      <c r="A60" s="273">
        <v>15</v>
      </c>
      <c r="B60" s="287">
        <v>0.5762906206976719</v>
      </c>
      <c r="C60" s="288">
        <v>0.58922332305758762</v>
      </c>
      <c r="D60" s="288">
        <v>0.60122483410825267</v>
      </c>
      <c r="E60" s="288">
        <v>0.61221426623759523</v>
      </c>
      <c r="F60" s="288">
        <v>0.62224805868526634</v>
      </c>
      <c r="G60" s="288">
        <v>0.6314164788966824</v>
      </c>
      <c r="H60" s="288">
        <v>0.63981172413269072</v>
      </c>
      <c r="I60" s="288">
        <v>0.64751821423756895</v>
      </c>
      <c r="J60" s="289">
        <v>0.65461034358938719</v>
      </c>
      <c r="K60" s="287">
        <v>0.66115277458905863</v>
      </c>
      <c r="L60" s="288">
        <v>0.66720151683457274</v>
      </c>
      <c r="M60" s="288">
        <v>0.67280514984613127</v>
      </c>
      <c r="N60" s="288">
        <v>0.67800596293201287</v>
      </c>
      <c r="O60" s="288">
        <v>0.68284094538799334</v>
      </c>
      <c r="P60" s="288">
        <v>0.68734262090874076</v>
      </c>
      <c r="Q60" s="288">
        <v>0.6915397414288188</v>
      </c>
      <c r="R60" s="288">
        <v>0.69545786123939834</v>
      </c>
      <c r="S60" s="289">
        <v>0.69911973365412095</v>
      </c>
      <c r="T60" s="287">
        <v>0.70254546703047338</v>
      </c>
      <c r="U60" s="288">
        <v>0.70575308172658124</v>
      </c>
      <c r="V60" s="288">
        <v>0.70875886175808989</v>
      </c>
      <c r="W60" s="288">
        <v>0.71157758483568756</v>
      </c>
      <c r="X60" s="288">
        <v>0.71422271615035449</v>
      </c>
      <c r="Y60" s="288">
        <v>0.71670657237492141</v>
      </c>
      <c r="Z60" s="288">
        <v>0.71904046109338704</v>
      </c>
      <c r="AA60" s="288">
        <v>0.72123479986778405</v>
      </c>
      <c r="AB60" s="289">
        <v>0.72329921835508393</v>
      </c>
      <c r="AC60" s="287">
        <v>0.72524264625126045</v>
      </c>
      <c r="AD60" s="288">
        <v>0.72707338933210586</v>
      </c>
      <c r="AE60" s="288">
        <v>0.728799195453677</v>
      </c>
      <c r="AF60" s="288">
        <v>0.73042731204810962</v>
      </c>
      <c r="AG60" s="288">
        <v>0.73196453638635606</v>
      </c>
      <c r="AH60" s="288">
        <v>0.73341725966517146</v>
      </c>
      <c r="AI60" s="288">
        <v>0.73479150580120745</v>
      </c>
      <c r="AJ60" s="288">
        <v>0.73609296567240334</v>
      </c>
      <c r="AK60" s="288">
        <v>0.73732702742969236</v>
      </c>
      <c r="AL60" s="289">
        <v>0.73849880340542584</v>
      </c>
      <c r="AM60" s="287">
        <v>0.74108347090342463</v>
      </c>
      <c r="AN60" s="288">
        <v>0.74220915683623701</v>
      </c>
      <c r="AO60" s="288">
        <v>0.74327504604407457</v>
      </c>
      <c r="AP60" s="288">
        <v>0.74428389948456763</v>
      </c>
      <c r="AQ60" s="288">
        <v>0.74523830765864763</v>
      </c>
      <c r="AR60" s="288">
        <v>0.74614070412972766</v>
      </c>
      <c r="AS60" s="288">
        <v>0.74699337773151242</v>
      </c>
      <c r="AT60" s="288">
        <v>0.74779848361432477</v>
      </c>
      <c r="AU60" s="288">
        <v>0.74855805326017866</v>
      </c>
      <c r="AV60" s="289">
        <v>0.74927400358010465</v>
      </c>
      <c r="AW60" s="287">
        <v>0.74994814519288866</v>
      </c>
      <c r="AX60" s="288">
        <v>0.7505821899720988</v>
      </c>
      <c r="AY60" s="288">
        <v>0.7511777579376866</v>
      </c>
      <c r="AZ60" s="288">
        <v>0.75173638355932459</v>
      </c>
      <c r="BA60" s="288">
        <v>0.75225952153072739</v>
      </c>
      <c r="BB60" s="288">
        <v>0.75274855206736213</v>
      </c>
      <c r="BC60" s="288">
        <v>0.75320478577397543</v>
      </c>
      <c r="BD60" s="288">
        <v>0.7536294681231791</v>
      </c>
      <c r="BE60" s="288">
        <v>0.75402378358178024</v>
      </c>
      <c r="BF60" s="289">
        <v>0.75438885941757139</v>
      </c>
      <c r="BG60" s="289">
        <f t="shared" si="0"/>
        <v>0.75438885941757139</v>
      </c>
      <c r="BH60" s="237"/>
    </row>
    <row r="61" spans="1:60" ht="17.45" customHeight="1" x14ac:dyDescent="0.2">
      <c r="A61" s="273">
        <v>15.5</v>
      </c>
      <c r="B61" s="277">
        <v>0.56323647365785623</v>
      </c>
      <c r="C61" s="278">
        <v>0.57585986584798798</v>
      </c>
      <c r="D61" s="278">
        <v>0.58778599100712758</v>
      </c>
      <c r="E61" s="278">
        <v>0.59882539812257329</v>
      </c>
      <c r="F61" s="278">
        <v>0.60897846933450062</v>
      </c>
      <c r="G61" s="278">
        <v>0.61830398452173541</v>
      </c>
      <c r="H61" s="278">
        <v>0.62687547095897533</v>
      </c>
      <c r="I61" s="278">
        <v>0.63476591114250358</v>
      </c>
      <c r="J61" s="279">
        <v>0.64204259193111468</v>
      </c>
      <c r="K61" s="277">
        <v>0.64876578211151537</v>
      </c>
      <c r="L61" s="278">
        <v>0.6549888618696601</v>
      </c>
      <c r="M61" s="278">
        <v>0.66075896228815945</v>
      </c>
      <c r="N61" s="278">
        <v>0.66611773381702255</v>
      </c>
      <c r="O61" s="278">
        <v>0.67110209267751475</v>
      </c>
      <c r="P61" s="278">
        <v>0.67574489106332103</v>
      </c>
      <c r="Q61" s="278">
        <v>0.68007549791070698</v>
      </c>
      <c r="R61" s="278">
        <v>0.68412029366236715</v>
      </c>
      <c r="S61" s="279">
        <v>0.68790279785293795</v>
      </c>
      <c r="T61" s="277">
        <v>0.69144313806627933</v>
      </c>
      <c r="U61" s="278">
        <v>0.69475920084071208</v>
      </c>
      <c r="V61" s="278">
        <v>0.69786717486319549</v>
      </c>
      <c r="W61" s="278">
        <v>0.70078176755961774</v>
      </c>
      <c r="X61" s="278">
        <v>0.70351638908746505</v>
      </c>
      <c r="Y61" s="278">
        <v>0.70608330919737283</v>
      </c>
      <c r="Z61" s="278">
        <v>0.70849379146342029</v>
      </c>
      <c r="AA61" s="278">
        <v>0.71075820858104388</v>
      </c>
      <c r="AB61" s="279">
        <v>0.71288614177459997</v>
      </c>
      <c r="AC61" s="277">
        <v>0.71488646682068602</v>
      </c>
      <c r="AD61" s="278">
        <v>0.71676742875699007</v>
      </c>
      <c r="AE61" s="278">
        <v>0.71853670699117478</v>
      </c>
      <c r="AF61" s="278">
        <v>0.72020147223468556</v>
      </c>
      <c r="AG61" s="278">
        <v>0.72176843644978228</v>
      </c>
      <c r="AH61" s="278">
        <v>0.7232438968042959</v>
      </c>
      <c r="AI61" s="278">
        <v>0.7246337744693927</v>
      </c>
      <c r="AJ61" s="278">
        <v>0.72594364896438979</v>
      </c>
      <c r="AK61" s="278">
        <v>0.72717878864413243</v>
      </c>
      <c r="AL61" s="279">
        <v>0.72834417783436167</v>
      </c>
      <c r="AM61" s="277">
        <v>0.73095269992292489</v>
      </c>
      <c r="AN61" s="278">
        <v>0.7320867461277567</v>
      </c>
      <c r="AO61" s="278">
        <v>0.73315808784693814</v>
      </c>
      <c r="AP61" s="278">
        <v>0.73416962601630154</v>
      </c>
      <c r="AQ61" s="278">
        <v>0.73512408379444039</v>
      </c>
      <c r="AR61" s="278">
        <v>0.73602402050769877</v>
      </c>
      <c r="AS61" s="278">
        <v>0.7368718442598976</v>
      </c>
      <c r="AT61" s="278">
        <v>0.73766982335722719</v>
      </c>
      <c r="AU61" s="278">
        <v>0.73842009667933184</v>
      </c>
      <c r="AV61" s="279">
        <v>0.73912468311103052</v>
      </c>
      <c r="AW61" s="277">
        <v>0.7397854901348605</v>
      </c>
      <c r="AX61" s="278">
        <v>0.74040432167240189</v>
      </c>
      <c r="AY61" s="278">
        <v>0.74098288525175937</v>
      </c>
      <c r="AZ61" s="278">
        <v>0.7415227985694407</v>
      </c>
      <c r="BA61" s="278">
        <v>0.74202559550694447</v>
      </c>
      <c r="BB61" s="278">
        <v>0.74249273165547047</v>
      </c>
      <c r="BC61" s="278">
        <v>0.7429255893961686</v>
      </c>
      <c r="BD61" s="278">
        <v>0.74332548257808539</v>
      </c>
      <c r="BE61" s="278">
        <v>0.74369366083137978</v>
      </c>
      <c r="BF61" s="279">
        <v>0.74403131354934848</v>
      </c>
      <c r="BG61" s="279">
        <f t="shared" si="0"/>
        <v>0.74403131354934848</v>
      </c>
      <c r="BH61" s="237"/>
    </row>
    <row r="62" spans="1:60" ht="17.45" customHeight="1" x14ac:dyDescent="0.2">
      <c r="A62" s="273">
        <v>16</v>
      </c>
      <c r="B62" s="277">
        <v>0.55109092766792134</v>
      </c>
      <c r="C62" s="278">
        <v>0.56478563784587932</v>
      </c>
      <c r="D62" s="278">
        <v>0.57681223131336734</v>
      </c>
      <c r="E62" s="278">
        <v>0.58761415139421458</v>
      </c>
      <c r="F62" s="278">
        <v>0.59744057275637419</v>
      </c>
      <c r="G62" s="278">
        <v>0.60645164762172299</v>
      </c>
      <c r="H62" s="278">
        <v>0.61476034134756719</v>
      </c>
      <c r="I62" s="278">
        <v>0.62245172504052926</v>
      </c>
      <c r="J62" s="279">
        <v>0.62959295486016098</v>
      </c>
      <c r="K62" s="277">
        <v>0.63623892568236307</v>
      </c>
      <c r="L62" s="278">
        <v>0.64243571689289125</v>
      </c>
      <c r="M62" s="278">
        <v>0.64822282037107593</v>
      </c>
      <c r="N62" s="278">
        <v>0.65363465199845594</v>
      </c>
      <c r="O62" s="278">
        <v>0.65870161823659523</v>
      </c>
      <c r="P62" s="278">
        <v>0.6634508935417619</v>
      </c>
      <c r="Q62" s="278">
        <v>0.66790700248117385</v>
      </c>
      <c r="R62" s="278">
        <v>0.67209226556683221</v>
      </c>
      <c r="S62" s="279">
        <v>0.67602660178634244</v>
      </c>
      <c r="T62" s="277">
        <v>0.67972614488376304</v>
      </c>
      <c r="U62" s="278">
        <v>0.68320506591426444</v>
      </c>
      <c r="V62" s="278">
        <v>0.68647630309724328</v>
      </c>
      <c r="W62" s="278">
        <v>0.68955171948990435</v>
      </c>
      <c r="X62" s="278">
        <v>0.69244223458137244</v>
      </c>
      <c r="Y62" s="278">
        <v>0.69515793506097756</v>
      </c>
      <c r="Z62" s="278">
        <v>0.69770816877314235</v>
      </c>
      <c r="AA62" s="278">
        <v>0.7001016249644314</v>
      </c>
      <c r="AB62" s="279">
        <v>0.7023464032553598</v>
      </c>
      <c r="AC62" s="277">
        <v>0.70445007326314357</v>
      </c>
      <c r="AD62" s="278">
        <v>0.70641972641560968</v>
      </c>
      <c r="AE62" s="278">
        <v>0.70826202119890203</v>
      </c>
      <c r="AF62" s="278">
        <v>0.70998322284977355</v>
      </c>
      <c r="AG62" s="278">
        <v>0.7115892383208503</v>
      </c>
      <c r="AH62" s="278">
        <v>0.71308564720248091</v>
      </c>
      <c r="AI62" s="278">
        <v>0.71447772916894758</v>
      </c>
      <c r="AJ62" s="278">
        <v>0.71577048842339619</v>
      </c>
      <c r="AK62" s="278">
        <v>0.71696867554001842</v>
      </c>
      <c r="AL62" s="279">
        <v>0.71807680704003485</v>
      </c>
      <c r="AM62" s="277">
        <v>0.72105314352213934</v>
      </c>
      <c r="AN62" s="278">
        <v>0.72222471393399112</v>
      </c>
      <c r="AO62" s="278">
        <v>0.7233254980841155</v>
      </c>
      <c r="AP62" s="278">
        <v>0.72435837780648094</v>
      </c>
      <c r="AQ62" s="278">
        <v>0.72532607634428825</v>
      </c>
      <c r="AR62" s="278">
        <v>0.72623116994216552</v>
      </c>
      <c r="AS62" s="278">
        <v>0.72707609837341247</v>
      </c>
      <c r="AT62" s="278">
        <v>0.72786317451990068</v>
      </c>
      <c r="AU62" s="278">
        <v>0.72859459310713037</v>
      </c>
      <c r="AV62" s="279">
        <v>0.72927243868403047</v>
      </c>
      <c r="AW62" s="277">
        <v>0.72989869292602416</v>
      </c>
      <c r="AX62" s="278">
        <v>0.73047524133038499</v>
      </c>
      <c r="AY62" s="278">
        <v>0.73100387936469402</v>
      </c>
      <c r="AZ62" s="278">
        <v>0.73148631812213438</v>
      </c>
      <c r="BA62" s="278">
        <v>0.73192418953119631</v>
      </c>
      <c r="BB62" s="278">
        <v>0.73231905116202334</v>
      </c>
      <c r="BC62" s="278">
        <v>0.73267239066696466</v>
      </c>
      <c r="BD62" s="278">
        <v>0.73298562988881999</v>
      </c>
      <c r="BE62" s="278">
        <v>0.73326012866668844</v>
      </c>
      <c r="BF62" s="279">
        <v>0.73349718836619726</v>
      </c>
      <c r="BG62" s="279">
        <f t="shared" si="0"/>
        <v>0.73349718836619726</v>
      </c>
      <c r="BH62" s="237"/>
    </row>
    <row r="63" spans="1:60" ht="17.45" customHeight="1" x14ac:dyDescent="0.2">
      <c r="A63" s="273">
        <v>16.5</v>
      </c>
      <c r="B63" s="277">
        <v>0.53907532317215168</v>
      </c>
      <c r="C63" s="278">
        <v>0.55167279185609541</v>
      </c>
      <c r="D63" s="278">
        <v>0.56352087231889436</v>
      </c>
      <c r="E63" s="278">
        <v>0.57450728497429959</v>
      </c>
      <c r="F63" s="278">
        <v>0.58464850878702612</v>
      </c>
      <c r="G63" s="278">
        <v>0.59400092737489663</v>
      </c>
      <c r="H63" s="278">
        <v>0.60263062558787284</v>
      </c>
      <c r="I63" s="278">
        <v>0.6106026257133631</v>
      </c>
      <c r="J63" s="279">
        <v>0.61797722359347618</v>
      </c>
      <c r="K63" s="277">
        <v>0.62480905444974733</v>
      </c>
      <c r="L63" s="278">
        <v>0.63114721165230314</v>
      </c>
      <c r="M63" s="278">
        <v>0.63703574209564284</v>
      </c>
      <c r="N63" s="278">
        <v>0.64251423972480459</v>
      </c>
      <c r="O63" s="278">
        <v>0.64761842464473218</v>
      </c>
      <c r="P63" s="278">
        <v>0.65238066631126046</v>
      </c>
      <c r="Q63" s="278">
        <v>0.65683043986355616</v>
      </c>
      <c r="R63" s="278">
        <v>0.66099471739985727</v>
      </c>
      <c r="S63" s="279">
        <v>0.66489747766023866</v>
      </c>
      <c r="T63" s="277">
        <v>0.66855748338176813</v>
      </c>
      <c r="U63" s="278">
        <v>0.67199093527288889</v>
      </c>
      <c r="V63" s="278">
        <v>0.67521250384334408</v>
      </c>
      <c r="W63" s="278">
        <v>0.67823551563080775</v>
      </c>
      <c r="X63" s="278">
        <v>0.68107211244920574</v>
      </c>
      <c r="Y63" s="278">
        <v>0.68373338804117467</v>
      </c>
      <c r="Z63" s="278">
        <v>0.68622950576533237</v>
      </c>
      <c r="AA63" s="278">
        <v>0.68856980032137283</v>
      </c>
      <c r="AB63" s="279">
        <v>0.69076286599765313</v>
      </c>
      <c r="AC63" s="277">
        <v>0.69281663350024392</v>
      </c>
      <c r="AD63" s="278">
        <v>0.69473843707367333</v>
      </c>
      <c r="AE63" s="278">
        <v>0.69653507333794662</v>
      </c>
      <c r="AF63" s="278">
        <v>0.69821285303224712</v>
      </c>
      <c r="AG63" s="278">
        <v>0.69977764666336184</v>
      </c>
      <c r="AH63" s="278">
        <v>0.7012349248984584</v>
      </c>
      <c r="AI63" s="278">
        <v>0.70258979441103886</v>
      </c>
      <c r="AJ63" s="278">
        <v>0.70384702978051061</v>
      </c>
      <c r="AK63" s="278">
        <v>0.70501110195575378</v>
      </c>
      <c r="AL63" s="279">
        <v>0.70608620371796804</v>
      </c>
      <c r="AM63" s="277">
        <v>0.70942679923019736</v>
      </c>
      <c r="AN63" s="278">
        <v>0.71062811866867892</v>
      </c>
      <c r="AO63" s="278">
        <v>0.71176612191001132</v>
      </c>
      <c r="AP63" s="278">
        <v>0.71284375121810861</v>
      </c>
      <c r="AQ63" s="278">
        <v>0.7138637682513217</v>
      </c>
      <c r="AR63" s="278">
        <v>0.71482876820067687</v>
      </c>
      <c r="AS63" s="278">
        <v>0.71574119258073199</v>
      </c>
      <c r="AT63" s="278">
        <v>0.71660334082380417</v>
      </c>
      <c r="AU63" s="278">
        <v>0.71741738080905726</v>
      </c>
      <c r="AV63" s="279">
        <v>0.7181853584414194</v>
      </c>
      <c r="AW63" s="277">
        <v>0.71890920638110622</v>
      </c>
      <c r="AX63" s="278">
        <v>0.71959075201230094</v>
      </c>
      <c r="AY63" s="278">
        <v>0.72023172472896857</v>
      </c>
      <c r="AZ63" s="278">
        <v>0.72083376260663767</v>
      </c>
      <c r="BA63" s="278">
        <v>0.72139841852102959</v>
      </c>
      <c r="BB63" s="278">
        <v>0.72192716576749894</v>
      </c>
      <c r="BC63" s="278">
        <v>0.72242140322921611</v>
      </c>
      <c r="BD63" s="278">
        <v>0.72288246013674673</v>
      </c>
      <c r="BE63" s="278">
        <v>0.72331160045705556</v>
      </c>
      <c r="BF63" s="279">
        <v>0.72371002694590336</v>
      </c>
      <c r="BG63" s="279">
        <f t="shared" si="0"/>
        <v>0.72371002694590336</v>
      </c>
      <c r="BH63" s="237"/>
    </row>
    <row r="64" spans="1:60" ht="17.45" customHeight="1" x14ac:dyDescent="0.2">
      <c r="A64" s="280">
        <v>17</v>
      </c>
      <c r="B64" s="281">
        <v>0.52605389507059874</v>
      </c>
      <c r="C64" s="282">
        <v>0.53931589918962075</v>
      </c>
      <c r="D64" s="282">
        <v>0.55150371149016408</v>
      </c>
      <c r="E64" s="282">
        <v>0.56263807510972719</v>
      </c>
      <c r="F64" s="282">
        <v>0.57281028990092686</v>
      </c>
      <c r="G64" s="282">
        <v>0.58212187801066406</v>
      </c>
      <c r="H64" s="282">
        <v>0.59066760645806071</v>
      </c>
      <c r="I64" s="282">
        <v>0.59853146911816868</v>
      </c>
      <c r="J64" s="283">
        <v>0.60578672225991304</v>
      </c>
      <c r="K64" s="281">
        <v>0.61249709812636799</v>
      </c>
      <c r="L64" s="282">
        <v>0.61871822911047569</v>
      </c>
      <c r="M64" s="282">
        <v>0.62449896692863838</v>
      </c>
      <c r="N64" s="282">
        <v>0.62988251250715976</v>
      </c>
      <c r="O64" s="282">
        <v>0.63490735359333816</v>
      </c>
      <c r="P64" s="282">
        <v>0.63960803295778679</v>
      </c>
      <c r="Q64" s="282">
        <v>0.64401577537976062</v>
      </c>
      <c r="R64" s="282">
        <v>0.64815899972553825</v>
      </c>
      <c r="S64" s="283">
        <v>0.65206263756714522</v>
      </c>
      <c r="T64" s="281">
        <v>0.65574512696103504</v>
      </c>
      <c r="U64" s="282">
        <v>0.65922192466454976</v>
      </c>
      <c r="V64" s="282">
        <v>0.66250685022494682</v>
      </c>
      <c r="W64" s="282">
        <v>0.66561230087532941</v>
      </c>
      <c r="X64" s="282">
        <v>0.66854943253742205</v>
      </c>
      <c r="Y64" s="282">
        <v>0.67132831307355434</v>
      </c>
      <c r="Z64" s="282">
        <v>0.67395805269577813</v>
      </c>
      <c r="AA64" s="282">
        <v>0.67644691547232849</v>
      </c>
      <c r="AB64" s="283">
        <v>0.67880241511068418</v>
      </c>
      <c r="AC64" s="281">
        <v>0.68103139759572406</v>
      </c>
      <c r="AD64" s="282">
        <v>0.68314011278504028</v>
      </c>
      <c r="AE64" s="282">
        <v>0.68513427668379712</v>
      </c>
      <c r="AF64" s="282">
        <v>0.68701912581745717</v>
      </c>
      <c r="AG64" s="282">
        <v>0.68879946487597798</v>
      </c>
      <c r="AH64" s="282">
        <v>0.69047970860512786</v>
      </c>
      <c r="AI64" s="282">
        <v>0.69206391875968098</v>
      </c>
      <c r="AJ64" s="282">
        <v>0.69355583680185517</v>
      </c>
      <c r="AK64" s="282">
        <v>0.69495891292055056</v>
      </c>
      <c r="AL64" s="283">
        <v>0.696276331858104</v>
      </c>
      <c r="AM64" s="281">
        <v>0.69888178374064136</v>
      </c>
      <c r="AN64" s="282">
        <v>0.70015689045190266</v>
      </c>
      <c r="AO64" s="282">
        <v>0.70136408451658327</v>
      </c>
      <c r="AP64" s="282">
        <v>0.7025062057152377</v>
      </c>
      <c r="AQ64" s="282">
        <v>0.7035859321417367</v>
      </c>
      <c r="AR64" s="282">
        <v>0.7046057923361726</v>
      </c>
      <c r="AS64" s="282">
        <v>0.70556817628274981</v>
      </c>
      <c r="AT64" s="282">
        <v>0.70647534539947188</v>
      </c>
      <c r="AU64" s="282">
        <v>0.7073294416300353</v>
      </c>
      <c r="AV64" s="283">
        <v>0.70813249573434123</v>
      </c>
      <c r="AW64" s="281">
        <v>0.70888643486203051</v>
      </c>
      <c r="AX64" s="282">
        <v>0.70959308948315925</v>
      </c>
      <c r="AY64" s="282">
        <v>0.71025419974124226</v>
      </c>
      <c r="AZ64" s="282">
        <v>0.71087142128622149</v>
      </c>
      <c r="BA64" s="282">
        <v>0.71144633063826757</v>
      </c>
      <c r="BB64" s="282">
        <v>0.71198043012753798</v>
      </c>
      <c r="BC64" s="282">
        <v>0.71247515244998627</v>
      </c>
      <c r="BD64" s="282">
        <v>0.71293186487491522</v>
      </c>
      <c r="BE64" s="282">
        <v>0.71335187313611148</v>
      </c>
      <c r="BF64" s="283">
        <v>0.71373642503503243</v>
      </c>
      <c r="BG64" s="283">
        <f t="shared" si="0"/>
        <v>0.71373642503503243</v>
      </c>
      <c r="BH64" s="237"/>
    </row>
    <row r="65" spans="1:60" ht="17.45" customHeight="1" x14ac:dyDescent="0.2">
      <c r="A65" s="273">
        <v>17.5</v>
      </c>
      <c r="B65" s="284">
        <v>0.5149957425920022</v>
      </c>
      <c r="C65" s="285">
        <v>0.52798688964365192</v>
      </c>
      <c r="D65" s="285">
        <v>0.53972579453135916</v>
      </c>
      <c r="E65" s="285">
        <v>0.5504716167551672</v>
      </c>
      <c r="F65" s="285">
        <v>0.56037559901535927</v>
      </c>
      <c r="G65" s="285">
        <v>0.56954173334416036</v>
      </c>
      <c r="H65" s="285">
        <v>0.5780491442550616</v>
      </c>
      <c r="I65" s="285">
        <v>0.58596192257223723</v>
      </c>
      <c r="J65" s="286">
        <v>0.59333410770763928</v>
      </c>
      <c r="K65" s="284">
        <v>0.6002125218072587</v>
      </c>
      <c r="L65" s="285">
        <v>0.60663853688817582</v>
      </c>
      <c r="M65" s="285">
        <v>0.61264925761621347</v>
      </c>
      <c r="N65" s="285">
        <v>0.61827835679088006</v>
      </c>
      <c r="O65" s="285">
        <v>0.62355669010428494</v>
      </c>
      <c r="P65" s="285">
        <v>0.62851276281108781</v>
      </c>
      <c r="Q65" s="285">
        <v>0.63317309265416089</v>
      </c>
      <c r="R65" s="285">
        <v>0.63756249756594752</v>
      </c>
      <c r="S65" s="286">
        <v>0.6417029599866314</v>
      </c>
      <c r="T65" s="284">
        <v>0.64560964852226377</v>
      </c>
      <c r="U65" s="285">
        <v>0.64929507419537558</v>
      </c>
      <c r="V65" s="285">
        <v>0.6527705964498961</v>
      </c>
      <c r="W65" s="285">
        <v>0.65604655591797745</v>
      </c>
      <c r="X65" s="285">
        <v>0.65913238781809402</v>
      </c>
      <c r="Y65" s="285">
        <v>0.66203671943386999</v>
      </c>
      <c r="Z65" s="285">
        <v>0.6647674543968155</v>
      </c>
      <c r="AA65" s="285">
        <v>0.66733184594663897</v>
      </c>
      <c r="AB65" s="286">
        <v>0.66973656092118861</v>
      </c>
      <c r="AC65" s="284">
        <v>0.67198773590056593</v>
      </c>
      <c r="AD65" s="285">
        <v>0.67409102667280574</v>
      </c>
      <c r="AE65" s="285">
        <v>0.67605165198459949</v>
      </c>
      <c r="AF65" s="285">
        <v>0.67787443237746936</v>
      </c>
      <c r="AG65" s="285">
        <v>0.67956382477830612</v>
      </c>
      <c r="AH65" s="285">
        <v>0.68112395340642373</v>
      </c>
      <c r="AI65" s="285">
        <v>0.68255863747200962</v>
      </c>
      <c r="AJ65" s="285">
        <v>0.68387141606904756</v>
      </c>
      <c r="AK65" s="285">
        <v>0.68506557060642803</v>
      </c>
      <c r="AL65" s="286">
        <v>0.68614414507155908</v>
      </c>
      <c r="AM65" s="287">
        <v>0.68956290229362094</v>
      </c>
      <c r="AN65" s="288">
        <v>0.69082011338493021</v>
      </c>
      <c r="AO65" s="288">
        <v>0.69200328171510295</v>
      </c>
      <c r="AP65" s="288">
        <v>0.69311544505813039</v>
      </c>
      <c r="AQ65" s="288">
        <v>0.69415947456377869</v>
      </c>
      <c r="AR65" s="288">
        <v>0.69513808678563394</v>
      </c>
      <c r="AS65" s="288">
        <v>0.69605385462536884</v>
      </c>
      <c r="AT65" s="288">
        <v>0.69690921730994815</v>
      </c>
      <c r="AU65" s="288">
        <v>0.69770648950395231</v>
      </c>
      <c r="AV65" s="289">
        <v>0.69844786964667838</v>
      </c>
      <c r="AW65" s="287">
        <v>0.69913544759291879</v>
      </c>
      <c r="AX65" s="288">
        <v>0.69977121162700662</v>
      </c>
      <c r="AY65" s="288">
        <v>0.70035705491164957</v>
      </c>
      <c r="AZ65" s="288">
        <v>0.70089478142607697</v>
      </c>
      <c r="BA65" s="288">
        <v>0.7013861114419111</v>
      </c>
      <c r="BB65" s="288">
        <v>0.70183268657985687</v>
      </c>
      <c r="BC65" s="288">
        <v>0.70223607448563741</v>
      </c>
      <c r="BD65" s="288">
        <v>0.70259777315950922</v>
      </c>
      <c r="BE65" s="288">
        <v>0.70291921497009713</v>
      </c>
      <c r="BF65" s="289">
        <v>0.70320177038012288</v>
      </c>
      <c r="BG65" s="289">
        <f t="shared" si="0"/>
        <v>0.70320177038012288</v>
      </c>
      <c r="BH65" s="237"/>
    </row>
    <row r="66" spans="1:60" ht="17.45" customHeight="1" x14ac:dyDescent="0.2">
      <c r="A66" s="273">
        <v>18</v>
      </c>
      <c r="B66" s="277">
        <v>0.50495782958563018</v>
      </c>
      <c r="C66" s="278">
        <v>0.51644075098047804</v>
      </c>
      <c r="D66" s="278">
        <v>0.52775311469109953</v>
      </c>
      <c r="E66" s="278">
        <v>0.53849209944856724</v>
      </c>
      <c r="F66" s="278">
        <v>0.54854059195752292</v>
      </c>
      <c r="G66" s="278">
        <v>0.55788724246895183</v>
      </c>
      <c r="H66" s="278">
        <v>0.56656158175008298</v>
      </c>
      <c r="I66" s="278">
        <v>0.57460820682372271</v>
      </c>
      <c r="J66" s="279">
        <v>0.58207592064908986</v>
      </c>
      <c r="K66" s="277">
        <v>0.5890130892014559</v>
      </c>
      <c r="L66" s="278">
        <v>0.59546573103413492</v>
      </c>
      <c r="M66" s="278">
        <v>0.60147684659083889</v>
      </c>
      <c r="N66" s="278">
        <v>0.60708631359146503</v>
      </c>
      <c r="O66" s="278">
        <v>0.61233103327115423</v>
      </c>
      <c r="P66" s="278">
        <v>0.61724517691657133</v>
      </c>
      <c r="Q66" s="278">
        <v>0.62186046060612521</v>
      </c>
      <c r="R66" s="278">
        <v>0.62620641442273783</v>
      </c>
      <c r="S66" s="279">
        <v>0.63030903171658337</v>
      </c>
      <c r="T66" s="277">
        <v>0.63418611628916199</v>
      </c>
      <c r="U66" s="278">
        <v>0.63785215873740442</v>
      </c>
      <c r="V66" s="278">
        <v>0.6413201185736197</v>
      </c>
      <c r="W66" s="278">
        <v>0.64460160143419587</v>
      </c>
      <c r="X66" s="278">
        <v>0.64770701321921353</v>
      </c>
      <c r="Y66" s="278">
        <v>0.65064569420346463</v>
      </c>
      <c r="Z66" s="278">
        <v>0.65342603585853298</v>
      </c>
      <c r="AA66" s="278">
        <v>0.65605558279319609</v>
      </c>
      <c r="AB66" s="279">
        <v>0.65854112189660308</v>
      </c>
      <c r="AC66" s="277">
        <v>0.66088876047379286</v>
      </c>
      <c r="AD66" s="278">
        <v>0.66310399490257577</v>
      </c>
      <c r="AE66" s="278">
        <v>0.66519177111505357</v>
      </c>
      <c r="AF66" s="278">
        <v>0.66715653801374708</v>
      </c>
      <c r="AG66" s="278">
        <v>0.66900229476792161</v>
      </c>
      <c r="AH66" s="278">
        <v>0.67073263279649076</v>
      </c>
      <c r="AI66" s="278">
        <v>0.67235077312621283</v>
      </c>
      <c r="AJ66" s="278">
        <v>0.67385959971449827</v>
      </c>
      <c r="AK66" s="278">
        <v>0.67526168924217389</v>
      </c>
      <c r="AL66" s="279">
        <v>0.67655933781051203</v>
      </c>
      <c r="AM66" s="277">
        <v>0.67909661175263136</v>
      </c>
      <c r="AN66" s="278">
        <v>0.68038184147351399</v>
      </c>
      <c r="AO66" s="278">
        <v>0.681594067012806</v>
      </c>
      <c r="AP66" s="278">
        <v>0.68273638702324768</v>
      </c>
      <c r="AQ66" s="278">
        <v>0.68381172583494587</v>
      </c>
      <c r="AR66" s="278">
        <v>0.68482284617704647</v>
      </c>
      <c r="AS66" s="278">
        <v>0.68577236075428394</v>
      </c>
      <c r="AT66" s="278">
        <v>0.68666274280042916</v>
      </c>
      <c r="AU66" s="278">
        <v>0.68749633571573143</v>
      </c>
      <c r="AV66" s="279">
        <v>0.68827536188257787</v>
      </c>
      <c r="AW66" s="277">
        <v>0.68900193074244731</v>
      </c>
      <c r="AX66" s="278">
        <v>0.68967804620758244</v>
      </c>
      <c r="AY66" s="278">
        <v>0.69030561347239794</v>
      </c>
      <c r="AZ66" s="278">
        <v>0.6908864452823299</v>
      </c>
      <c r="BA66" s="278">
        <v>0.69142226771144155</v>
      </c>
      <c r="BB66" s="278">
        <v>0.69191472549449751</v>
      </c>
      <c r="BC66" s="278">
        <v>0.69236538695432692</v>
      </c>
      <c r="BD66" s="278">
        <v>0.69277574856096924</v>
      </c>
      <c r="BE66" s="278">
        <v>0.69314723915530307</v>
      </c>
      <c r="BF66" s="279">
        <v>0.69348122386651212</v>
      </c>
      <c r="BG66" s="279">
        <f t="shared" si="0"/>
        <v>0.69348122386651212</v>
      </c>
      <c r="BH66" s="237"/>
    </row>
    <row r="67" spans="1:60" ht="17.45" customHeight="1" x14ac:dyDescent="0.2">
      <c r="A67" s="273">
        <v>18.5</v>
      </c>
      <c r="B67" s="277">
        <v>0.492867208896765</v>
      </c>
      <c r="C67" s="278">
        <v>0.5049723224830478</v>
      </c>
      <c r="D67" s="278">
        <v>0.51632842298362114</v>
      </c>
      <c r="E67" s="278">
        <v>0.52693608807581904</v>
      </c>
      <c r="F67" s="278">
        <v>0.53682691133426108</v>
      </c>
      <c r="G67" s="278">
        <v>0.5460443332158359</v>
      </c>
      <c r="H67" s="278">
        <v>0.55463500582462277</v>
      </c>
      <c r="I67" s="278">
        <v>0.56264502684751472</v>
      </c>
      <c r="J67" s="279">
        <v>0.57011839319469571</v>
      </c>
      <c r="K67" s="277">
        <v>0.57709647168361189</v>
      </c>
      <c r="L67" s="278">
        <v>0.5836179324522377</v>
      </c>
      <c r="M67" s="278">
        <v>0.58971888458289223</v>
      </c>
      <c r="N67" s="278">
        <v>0.59543309006984124</v>
      </c>
      <c r="O67" s="278">
        <v>0.60079219746323942</v>
      </c>
      <c r="P67" s="278">
        <v>0.60582596823819401</v>
      </c>
      <c r="Q67" s="278">
        <v>0.61056248452181139</v>
      </c>
      <c r="R67" s="278">
        <v>0.61502833444380056</v>
      </c>
      <c r="S67" s="279">
        <v>0.61924698987916704</v>
      </c>
      <c r="T67" s="277">
        <v>0.62323350290310298</v>
      </c>
      <c r="U67" s="278">
        <v>0.62699984460947455</v>
      </c>
      <c r="V67" s="278">
        <v>0.63055680973321604</v>
      </c>
      <c r="W67" s="278">
        <v>0.63391414247123223</v>
      </c>
      <c r="X67" s="278">
        <v>0.63708064651397744</v>
      </c>
      <c r="Y67" s="278">
        <v>0.64006428148780403</v>
      </c>
      <c r="Z67" s="278">
        <v>0.64287224770166362</v>
      </c>
      <c r="AA67" s="278">
        <v>0.6455110608173924</v>
      </c>
      <c r="AB67" s="279">
        <v>0.64798661782362366</v>
      </c>
      <c r="AC67" s="277">
        <v>0.65030425548803328</v>
      </c>
      <c r="AD67" s="278">
        <v>0.65246880228792714</v>
      </c>
      <c r="AE67" s="278">
        <v>0.65448462467132162</v>
      </c>
      <c r="AF67" s="278">
        <v>0.65635566837585713</v>
      </c>
      <c r="AG67" s="278">
        <v>0.65808549542761763</v>
      </c>
      <c r="AH67" s="278">
        <v>0.65967731735314095</v>
      </c>
      <c r="AI67" s="278">
        <v>0.6611340250629314</v>
      </c>
      <c r="AJ67" s="278">
        <v>0.66245821580137965</v>
      </c>
      <c r="AK67" s="278">
        <v>0.6636522175042765</v>
      </c>
      <c r="AL67" s="279">
        <v>0.66471811085948873</v>
      </c>
      <c r="AM67" s="277">
        <v>0.66843932699500308</v>
      </c>
      <c r="AN67" s="278">
        <v>0.66975664129867774</v>
      </c>
      <c r="AO67" s="278">
        <v>0.67100081051936489</v>
      </c>
      <c r="AP67" s="278">
        <v>0.6721749305139274</v>
      </c>
      <c r="AQ67" s="278">
        <v>0.6732819231468874</v>
      </c>
      <c r="AR67" s="278">
        <v>0.67432454898525718</v>
      </c>
      <c r="AS67" s="278">
        <v>0.67530541885033157</v>
      </c>
      <c r="AT67" s="278">
        <v>0.67622700434832672</v>
      </c>
      <c r="AU67" s="278">
        <v>0.67709164748682427</v>
      </c>
      <c r="AV67" s="279">
        <v>0.67790156947110702</v>
      </c>
      <c r="AW67" s="277">
        <v>0.67865887876334319</v>
      </c>
      <c r="AX67" s="278">
        <v>0.67936557847791179</v>
      </c>
      <c r="AY67" s="278">
        <v>0.68002357317778506</v>
      </c>
      <c r="AZ67" s="278">
        <v>0.68063467512956144</v>
      </c>
      <c r="BA67" s="278">
        <v>0.68120061006836008</v>
      </c>
      <c r="BB67" s="278">
        <v>0.68172302251821426</v>
      </c>
      <c r="BC67" s="278">
        <v>0.68220348070868397</v>
      </c>
      <c r="BD67" s="278">
        <v>0.68264348112411244</v>
      </c>
      <c r="BE67" s="278">
        <v>0.68304445271815706</v>
      </c>
      <c r="BF67" s="279">
        <v>0.68340776082287757</v>
      </c>
      <c r="BG67" s="279">
        <f t="shared" si="0"/>
        <v>0.68340776082287757</v>
      </c>
      <c r="BH67" s="237"/>
    </row>
    <row r="68" spans="1:60" ht="17.45" customHeight="1" x14ac:dyDescent="0.2">
      <c r="A68" s="273">
        <v>19</v>
      </c>
      <c r="B68" s="277">
        <v>0.48198999218165317</v>
      </c>
      <c r="C68" s="278">
        <v>0.49445975266977177</v>
      </c>
      <c r="D68" s="278">
        <v>0.50582802565828366</v>
      </c>
      <c r="E68" s="278">
        <v>0.51632822678671686</v>
      </c>
      <c r="F68" s="278">
        <v>0.5260828010987425</v>
      </c>
      <c r="G68" s="278">
        <v>0.53517179401978077</v>
      </c>
      <c r="H68" s="278">
        <v>0.54365579644097672</v>
      </c>
      <c r="I68" s="278">
        <v>0.55158489709631853</v>
      </c>
      <c r="J68" s="279">
        <v>0.55900267509570711</v>
      </c>
      <c r="K68" s="277">
        <v>0.56594821373990767</v>
      </c>
      <c r="L68" s="278">
        <v>0.57245723811249527</v>
      </c>
      <c r="M68" s="278">
        <v>0.5785628250222048</v>
      </c>
      <c r="N68" s="278">
        <v>0.58429588397744792</v>
      </c>
      <c r="O68" s="278">
        <v>0.58968550444924894</v>
      </c>
      <c r="P68" s="278">
        <v>0.59475921870779414</v>
      </c>
      <c r="Q68" s="278">
        <v>0.5995432076806525</v>
      </c>
      <c r="R68" s="278">
        <v>0.60406246622385995</v>
      </c>
      <c r="S68" s="279">
        <v>0.60833902939434259</v>
      </c>
      <c r="T68" s="277">
        <v>0.61238625846027284</v>
      </c>
      <c r="U68" s="278">
        <v>0.61621450664955846</v>
      </c>
      <c r="V68" s="278">
        <v>0.61983312105991317</v>
      </c>
      <c r="W68" s="278">
        <v>0.62325054699916937</v>
      </c>
      <c r="X68" s="278">
        <v>0.6264744190329824</v>
      </c>
      <c r="Y68" s="278">
        <v>0.62951164082775124</v>
      </c>
      <c r="Z68" s="278">
        <v>0.63236845547947362</v>
      </c>
      <c r="AA68" s="278">
        <v>0.63505050771300153</v>
      </c>
      <c r="AB68" s="279">
        <v>0.63756289909589958</v>
      </c>
      <c r="AC68" s="277">
        <v>0.63991023721994156</v>
      </c>
      <c r="AD68" s="278">
        <v>0.64209667964945738</v>
      </c>
      <c r="AE68" s="278">
        <v>0.64412597331074362</v>
      </c>
      <c r="AF68" s="278">
        <v>0.64600148989435546</v>
      </c>
      <c r="AG68" s="278">
        <v>0.64772625775763604</v>
      </c>
      <c r="AH68" s="278">
        <v>0.64930299074469289</v>
      </c>
      <c r="AI68" s="278">
        <v>0.65073411428248917</v>
      </c>
      <c r="AJ68" s="278">
        <v>0.65202178906258956</v>
      </c>
      <c r="AK68" s="278">
        <v>0.65316793257667349</v>
      </c>
      <c r="AL68" s="279">
        <v>0.65417423873886571</v>
      </c>
      <c r="AM68" s="277">
        <v>0.65824870312160633</v>
      </c>
      <c r="AN68" s="278">
        <v>0.65959288974438435</v>
      </c>
      <c r="AO68" s="278">
        <v>0.66086233305468356</v>
      </c>
      <c r="AP68" s="278">
        <v>0.66206010060285381</v>
      </c>
      <c r="AQ68" s="278">
        <v>0.66318909201622833</v>
      </c>
      <c r="AR68" s="278">
        <v>0.66425205103932428</v>
      </c>
      <c r="AS68" s="278">
        <v>0.66525157650101563</v>
      </c>
      <c r="AT68" s="278">
        <v>0.66619013232253432</v>
      </c>
      <c r="AU68" s="278">
        <v>0.66707005666622954</v>
      </c>
      <c r="AV68" s="279">
        <v>0.66789357031299668</v>
      </c>
      <c r="AW68" s="277">
        <v>0.66866278434591042</v>
      </c>
      <c r="AX68" s="278">
        <v>0.66937970720858109</v>
      </c>
      <c r="AY68" s="278">
        <v>0.67004625119894667</v>
      </c>
      <c r="AZ68" s="278">
        <v>0.67066423845238365</v>
      </c>
      <c r="BA68" s="278">
        <v>0.67123540646207736</v>
      </c>
      <c r="BB68" s="278">
        <v>0.67176141317938043</v>
      </c>
      <c r="BC68" s="278">
        <v>0.67224384173232354</v>
      </c>
      <c r="BD68" s="278">
        <v>0.67268420479642033</v>
      </c>
      <c r="BE68" s="278">
        <v>0.67308394864837817</v>
      </c>
      <c r="BF68" s="279">
        <v>0.67344445693019539</v>
      </c>
      <c r="BG68" s="279">
        <f t="shared" si="0"/>
        <v>0.67344445693019539</v>
      </c>
      <c r="BH68" s="237"/>
    </row>
    <row r="69" spans="1:60" ht="17.45" customHeight="1" x14ac:dyDescent="0.2">
      <c r="A69" s="280">
        <v>19.5</v>
      </c>
      <c r="B69" s="290">
        <v>0.47176473005878955</v>
      </c>
      <c r="C69" s="291">
        <v>0.48349519338580776</v>
      </c>
      <c r="D69" s="291">
        <v>0.49482181589799296</v>
      </c>
      <c r="E69" s="291">
        <v>0.50549241742854689</v>
      </c>
      <c r="F69" s="291">
        <v>0.51545068705833408</v>
      </c>
      <c r="G69" s="291">
        <v>0.52471113452088958</v>
      </c>
      <c r="H69" s="291">
        <v>0.53331418557610255</v>
      </c>
      <c r="I69" s="291">
        <v>0.54130856126601223</v>
      </c>
      <c r="J69" s="292">
        <v>0.54874406786827579</v>
      </c>
      <c r="K69" s="290">
        <v>0.55566867537384457</v>
      </c>
      <c r="L69" s="291">
        <v>0.56212744845641538</v>
      </c>
      <c r="M69" s="291">
        <v>0.56816229346605218</v>
      </c>
      <c r="N69" s="291">
        <v>0.57381205921611178</v>
      </c>
      <c r="O69" s="291">
        <v>0.57911277935844441</v>
      </c>
      <c r="P69" s="291">
        <v>0.58409795799398512</v>
      </c>
      <c r="Q69" s="291">
        <v>0.58879885369303564</v>
      </c>
      <c r="R69" s="291">
        <v>0.5932447427528621</v>
      </c>
      <c r="S69" s="292">
        <v>0.59746119773248874</v>
      </c>
      <c r="T69" s="290">
        <v>0.60146432071377098</v>
      </c>
      <c r="U69" s="291">
        <v>0.60526663445113826</v>
      </c>
      <c r="V69" s="291">
        <v>0.60887920673141882</v>
      </c>
      <c r="W69" s="291">
        <v>0.61231181937449419</v>
      </c>
      <c r="X69" s="291">
        <v>0.61557311470952369</v>
      </c>
      <c r="Y69" s="291">
        <v>0.61867072273033186</v>
      </c>
      <c r="Z69" s="291">
        <v>0.62161137171599579</v>
      </c>
      <c r="AA69" s="291">
        <v>0.6244009847070503</v>
      </c>
      <c r="AB69" s="292">
        <v>0.62704476387279029</v>
      </c>
      <c r="AC69" s="290">
        <v>0.62954726449602139</v>
      </c>
      <c r="AD69" s="291">
        <v>0.63191246003698831</v>
      </c>
      <c r="AE69" s="291">
        <v>0.63414379951394906</v>
      </c>
      <c r="AF69" s="291">
        <v>0.63624425824890252</v>
      </c>
      <c r="AG69" s="291">
        <v>0.63821638286822813</v>
      </c>
      <c r="AH69" s="291">
        <v>0.64006233131480128</v>
      </c>
      <c r="AI69" s="291">
        <v>0.64178390851634837</v>
      </c>
      <c r="AJ69" s="291">
        <v>0.64338259826093569</v>
      </c>
      <c r="AK69" s="291">
        <v>0.64485959175147456</v>
      </c>
      <c r="AL69" s="292">
        <v>0.64621581324457522</v>
      </c>
      <c r="AM69" s="281">
        <v>0.64870584427655209</v>
      </c>
      <c r="AN69" s="282">
        <v>0.65006537775690876</v>
      </c>
      <c r="AO69" s="282">
        <v>0.651347759471258</v>
      </c>
      <c r="AP69" s="282">
        <v>0.65255607276304672</v>
      </c>
      <c r="AQ69" s="282">
        <v>0.65369323686592873</v>
      </c>
      <c r="AR69" s="282">
        <v>0.65476201841866521</v>
      </c>
      <c r="AS69" s="282">
        <v>0.65576504196970198</v>
      </c>
      <c r="AT69" s="282">
        <v>0.6567047995774441</v>
      </c>
      <c r="AU69" s="282">
        <v>0.65758365959936838</v>
      </c>
      <c r="AV69" s="283">
        <v>0.65840387475201401</v>
      </c>
      <c r="AW69" s="281">
        <v>0.65916758951427656</v>
      </c>
      <c r="AX69" s="282">
        <v>0.65987684693809623</v>
      </c>
      <c r="AY69" s="282">
        <v>0.66053359492338237</v>
      </c>
      <c r="AZ69" s="282">
        <v>0.66113969200767619</v>
      </c>
      <c r="BA69" s="282">
        <v>0.66169691271555231</v>
      </c>
      <c r="BB69" s="282">
        <v>0.66220695250789186</v>
      </c>
      <c r="BC69" s="282">
        <v>0.66267143236692805</v>
      </c>
      <c r="BD69" s="282">
        <v>0.66309190304921151</v>
      </c>
      <c r="BE69" s="282">
        <v>0.66346984903535011</v>
      </c>
      <c r="BF69" s="283">
        <v>0.66380669220246413</v>
      </c>
      <c r="BG69" s="283">
        <f t="shared" si="0"/>
        <v>0.66380669220246413</v>
      </c>
      <c r="BH69" s="237"/>
    </row>
    <row r="70" spans="1:60" ht="17.45" customHeight="1" x14ac:dyDescent="0.2">
      <c r="A70" s="273">
        <v>20</v>
      </c>
      <c r="B70" s="287">
        <v>0.46087311700289291</v>
      </c>
      <c r="C70" s="288">
        <v>0.47290635632694022</v>
      </c>
      <c r="D70" s="288">
        <v>0.48420115098511451</v>
      </c>
      <c r="E70" s="288">
        <v>0.49473504548231284</v>
      </c>
      <c r="F70" s="288">
        <v>0.50453951905350392</v>
      </c>
      <c r="G70" s="288">
        <v>0.51366327787590371</v>
      </c>
      <c r="H70" s="288">
        <v>0.52215877815655343</v>
      </c>
      <c r="I70" s="288">
        <v>0.53007716242289304</v>
      </c>
      <c r="J70" s="289">
        <v>0.53746647935882952</v>
      </c>
      <c r="K70" s="287">
        <v>0.54437123484335814</v>
      </c>
      <c r="L70" s="288">
        <v>0.55083248037277521</v>
      </c>
      <c r="M70" s="288">
        <v>0.55688810238769648</v>
      </c>
      <c r="N70" s="288">
        <v>0.56257316751406738</v>
      </c>
      <c r="O70" s="288">
        <v>0.56792026229223858</v>
      </c>
      <c r="P70" s="288">
        <v>0.57295980333915308</v>
      </c>
      <c r="Q70" s="288">
        <v>0.57772031068370944</v>
      </c>
      <c r="R70" s="288">
        <v>0.58222864438935684</v>
      </c>
      <c r="S70" s="289">
        <v>0.58650829010751793</v>
      </c>
      <c r="T70" s="287">
        <v>0.59057367659321958</v>
      </c>
      <c r="U70" s="288">
        <v>0.59443591392224537</v>
      </c>
      <c r="V70" s="288">
        <v>0.59810484899941008</v>
      </c>
      <c r="W70" s="288">
        <v>0.60158920900876023</v>
      </c>
      <c r="X70" s="288">
        <v>0.60489672558343865</v>
      </c>
      <c r="Y70" s="288">
        <v>0.60803424263966399</v>
      </c>
      <c r="Z70" s="288">
        <v>0.61100781034236307</v>
      </c>
      <c r="AA70" s="288">
        <v>0.61382276726653517</v>
      </c>
      <c r="AB70" s="289">
        <v>0.61648381248102446</v>
      </c>
      <c r="AC70" s="287">
        <v>0.61899506900100365</v>
      </c>
      <c r="AD70" s="288">
        <v>0.62136013982313709</v>
      </c>
      <c r="AE70" s="288">
        <v>0.62358215756502788</v>
      </c>
      <c r="AF70" s="288">
        <v>0.62566382857118996</v>
      </c>
      <c r="AG70" s="288">
        <v>0.62760747221554969</v>
      </c>
      <c r="AH70" s="288">
        <v>0.62941505602052183</v>
      </c>
      <c r="AI70" s="288">
        <v>0.63108822712103441</v>
      </c>
      <c r="AJ70" s="288">
        <v>0.63262834052523853</v>
      </c>
      <c r="AK70" s="288">
        <v>0.63403648455936479</v>
      </c>
      <c r="AL70" s="289">
        <v>0.63531350383013463</v>
      </c>
      <c r="AM70" s="287">
        <v>0.63664434593369568</v>
      </c>
      <c r="AN70" s="288">
        <v>0.63789117309652477</v>
      </c>
      <c r="AO70" s="288">
        <v>0.63905750851027754</v>
      </c>
      <c r="AP70" s="288">
        <v>0.64014656744446219</v>
      </c>
      <c r="AQ70" s="288">
        <v>0.641161397340969</v>
      </c>
      <c r="AR70" s="288">
        <v>0.64210488934345977</v>
      </c>
      <c r="AS70" s="288">
        <v>0.64297978883436435</v>
      </c>
      <c r="AT70" s="288">
        <v>0.64378870508181996</v>
      </c>
      <c r="AU70" s="288">
        <v>0.64453412008667665</v>
      </c>
      <c r="AV70" s="289">
        <v>0.64521839670911207</v>
      </c>
      <c r="AW70" s="287">
        <v>0.64584378614523086</v>
      </c>
      <c r="AX70" s="288">
        <v>0.64641243481604438</v>
      </c>
      <c r="AY70" s="288">
        <v>0.64692639072427471</v>
      </c>
      <c r="AZ70" s="288">
        <v>0.6473876093283536</v>
      </c>
      <c r="BA70" s="288">
        <v>0.64779795897765513</v>
      </c>
      <c r="BB70" s="288">
        <v>0.64815922594834408</v>
      </c>
      <c r="BC70" s="288">
        <v>0.6484731191150982</v>
      </c>
      <c r="BD70" s="288">
        <v>0.64874127429034989</v>
      </c>
      <c r="BE70" s="288">
        <v>0.64896525825948459</v>
      </c>
      <c r="BF70" s="289">
        <v>0.64914657253760966</v>
      </c>
      <c r="BG70" s="289">
        <f t="shared" si="0"/>
        <v>0.64914657253760966</v>
      </c>
      <c r="BH70" s="237"/>
    </row>
    <row r="71" spans="1:60" ht="17.45" customHeight="1" x14ac:dyDescent="0.2">
      <c r="A71" s="273">
        <v>21</v>
      </c>
      <c r="B71" s="277">
        <v>0.44090272649336704</v>
      </c>
      <c r="C71" s="278">
        <v>0.45262368090154953</v>
      </c>
      <c r="D71" s="278">
        <v>0.46344235026335762</v>
      </c>
      <c r="E71" s="278">
        <v>0.47352898133353283</v>
      </c>
      <c r="F71" s="278">
        <v>0.48297237142835814</v>
      </c>
      <c r="G71" s="278">
        <v>0.49183207806946005</v>
      </c>
      <c r="H71" s="278">
        <v>0.5001548392215639</v>
      </c>
      <c r="I71" s="278">
        <v>0.50798056500152444</v>
      </c>
      <c r="J71" s="279">
        <v>0.51534484720747642</v>
      </c>
      <c r="K71" s="277">
        <v>0.52228016970363589</v>
      </c>
      <c r="L71" s="278">
        <v>0.52881658212219984</v>
      </c>
      <c r="M71" s="278">
        <v>0.53498212749756613</v>
      </c>
      <c r="N71" s="278">
        <v>0.54080314372077842</v>
      </c>
      <c r="O71" s="278">
        <v>0.54630449234088108</v>
      </c>
      <c r="P71" s="278">
        <v>0.55150974073904502</v>
      </c>
      <c r="Q71" s="278">
        <v>0.55644131157352295</v>
      </c>
      <c r="R71" s="278">
        <v>0.56112060768271088</v>
      </c>
      <c r="S71" s="279">
        <v>0.56556654228685688</v>
      </c>
      <c r="T71" s="277">
        <v>0.56979081161899681</v>
      </c>
      <c r="U71" s="278">
        <v>0.57380255578681083</v>
      </c>
      <c r="V71" s="278">
        <v>0.57761001130385359</v>
      </c>
      <c r="W71" s="278">
        <v>0.58122060060072434</v>
      </c>
      <c r="X71" s="278">
        <v>0.58464101099118893</v>
      </c>
      <c r="Y71" s="278">
        <v>0.58787726457297795</v>
      </c>
      <c r="Z71" s="278">
        <v>0.59093478030191482</v>
      </c>
      <c r="AA71" s="278">
        <v>0.5938184292826808</v>
      </c>
      <c r="AB71" s="279">
        <v>0.59653258415938326</v>
      </c>
      <c r="AC71" s="277">
        <v>0.59908116335676165</v>
      </c>
      <c r="AD71" s="278">
        <v>0.60146767081279673</v>
      </c>
      <c r="AE71" s="278">
        <v>0.60369523175150341</v>
      </c>
      <c r="AF71" s="278">
        <v>0.60576662496747447</v>
      </c>
      <c r="AG71" s="278">
        <v>0.60768431202869677</v>
      </c>
      <c r="AH71" s="278">
        <v>0.60945046374916689</v>
      </c>
      <c r="AI71" s="278">
        <v>0.61106698423619432</v>
      </c>
      <c r="AJ71" s="278">
        <v>0.61253553277760053</v>
      </c>
      <c r="AK71" s="278">
        <v>0.61385754380016522</v>
      </c>
      <c r="AL71" s="279">
        <v>0.61503424510168492</v>
      </c>
      <c r="AM71" s="277">
        <v>0.61867210030930608</v>
      </c>
      <c r="AN71" s="278">
        <v>0.62010153815423519</v>
      </c>
      <c r="AO71" s="278">
        <v>0.62145038804389419</v>
      </c>
      <c r="AP71" s="278">
        <v>0.62272172645093338</v>
      </c>
      <c r="AQ71" s="278">
        <v>0.62391847421903779</v>
      </c>
      <c r="AR71" s="278">
        <v>0.62504340702644834</v>
      </c>
      <c r="AS71" s="278">
        <v>0.62609916496259044</v>
      </c>
      <c r="AT71" s="278">
        <v>0.62708826130819351</v>
      </c>
      <c r="AU71" s="278">
        <v>0.62801309059860755</v>
      </c>
      <c r="AV71" s="279">
        <v>0.62887593604075298</v>
      </c>
      <c r="AW71" s="277">
        <v>0.6296789763460956</v>
      </c>
      <c r="AX71" s="278">
        <v>0.63042429203504047</v>
      </c>
      <c r="AY71" s="278">
        <v>0.63111387126201801</v>
      </c>
      <c r="AZ71" s="278">
        <v>0.63174961520519279</v>
      </c>
      <c r="BA71" s="278">
        <v>0.63233334306003419</v>
      </c>
      <c r="BB71" s="278">
        <v>0.63286679667186529</v>
      </c>
      <c r="BC71" s="278">
        <v>0.63335164483887807</v>
      </c>
      <c r="BD71" s="278">
        <v>0.63378948731390339</v>
      </c>
      <c r="BE71" s="278">
        <v>0.63418185853037945</v>
      </c>
      <c r="BF71" s="279">
        <v>0.63453023107547124</v>
      </c>
      <c r="BG71" s="279">
        <f t="shared" si="0"/>
        <v>0.63453023107547124</v>
      </c>
      <c r="BH71" s="237"/>
    </row>
    <row r="72" spans="1:60" ht="17.45" customHeight="1" x14ac:dyDescent="0.2">
      <c r="A72" s="273">
        <v>22</v>
      </c>
      <c r="B72" s="277">
        <v>0.42184240163764208</v>
      </c>
      <c r="C72" s="278">
        <v>0.43285049214376925</v>
      </c>
      <c r="D72" s="278">
        <v>0.44316211507567838</v>
      </c>
      <c r="E72" s="278">
        <v>0.45287365412695657</v>
      </c>
      <c r="F72" s="278">
        <v>0.46203618968990845</v>
      </c>
      <c r="G72" s="278">
        <v>0.47068741796690061</v>
      </c>
      <c r="H72" s="278">
        <v>0.47885998449075196</v>
      </c>
      <c r="I72" s="278">
        <v>0.48658383774716341</v>
      </c>
      <c r="J72" s="279">
        <v>0.49388694535762079</v>
      </c>
      <c r="K72" s="277">
        <v>0.5007955552506016</v>
      </c>
      <c r="L72" s="278">
        <v>0.50733433771449299</v>
      </c>
      <c r="M72" s="278">
        <v>0.51352650141692446</v>
      </c>
      <c r="N72" s="278">
        <v>0.51939390540739339</v>
      </c>
      <c r="O72" s="278">
        <v>0.52495716932313818</v>
      </c>
      <c r="P72" s="278">
        <v>0.53023577961128654</v>
      </c>
      <c r="Q72" s="278">
        <v>0.53524818950278685</v>
      </c>
      <c r="R72" s="278">
        <v>0.54001191133206061</v>
      </c>
      <c r="S72" s="279">
        <v>0.54454260509102592</v>
      </c>
      <c r="T72" s="277">
        <v>0.54885110719819696</v>
      </c>
      <c r="U72" s="278">
        <v>0.55294638989591982</v>
      </c>
      <c r="V72" s="278">
        <v>0.55683662367417674</v>
      </c>
      <c r="W72" s="278">
        <v>0.56052925181263491</v>
      </c>
      <c r="X72" s="278">
        <v>0.56403105709675316</v>
      </c>
      <c r="Y72" s="278">
        <v>0.56734822156387443</v>
      </c>
      <c r="Z72" s="278">
        <v>0.57048638006225216</v>
      </c>
      <c r="AA72" s="278">
        <v>0.57345066832793479</v>
      </c>
      <c r="AB72" s="279">
        <v>0.57624576620757162</v>
      </c>
      <c r="AC72" s="277">
        <v>0.57887593658293657</v>
      </c>
      <c r="AD72" s="278">
        <v>0.5813450604868603</v>
      </c>
      <c r="AE72" s="278">
        <v>0.58365666884089107</v>
      </c>
      <c r="AF72" s="278">
        <v>0.58581397119231282</v>
      </c>
      <c r="AG72" s="278">
        <v>0.58781988178175648</v>
      </c>
      <c r="AH72" s="278">
        <v>0.58967704323199199</v>
      </c>
      <c r="AI72" s="278">
        <v>0.59138784811301104</v>
      </c>
      <c r="AJ72" s="278">
        <v>0.5929544586076021</v>
      </c>
      <c r="AK72" s="278">
        <v>0.59437882447469226</v>
      </c>
      <c r="AL72" s="279">
        <v>0.59566269948433503</v>
      </c>
      <c r="AM72" s="277">
        <v>0.59912927058839482</v>
      </c>
      <c r="AN72" s="278">
        <v>0.60060980272645881</v>
      </c>
      <c r="AO72" s="278">
        <v>0.60200774925271627</v>
      </c>
      <c r="AP72" s="278">
        <v>0.60332616319885346</v>
      </c>
      <c r="AQ72" s="278">
        <v>0.60456794893656474</v>
      </c>
      <c r="AR72" s="278">
        <v>0.60573587183443234</v>
      </c>
      <c r="AS72" s="278">
        <v>0.60683256712061062</v>
      </c>
      <c r="AT72" s="278">
        <v>0.60786054803001088</v>
      </c>
      <c r="AU72" s="278">
        <v>0.60882221330565089</v>
      </c>
      <c r="AV72" s="279">
        <v>0.60971985411593377</v>
      </c>
      <c r="AW72" s="277">
        <v>0.6105556604427711</v>
      </c>
      <c r="AX72" s="278">
        <v>0.6113317269894436</v>
      </c>
      <c r="AY72" s="278">
        <v>0.61205005865183715</v>
      </c>
      <c r="AZ72" s="278">
        <v>0.61271257559207359</v>
      </c>
      <c r="BA72" s="278">
        <v>0.61332111794947897</v>
      </c>
      <c r="BB72" s="278">
        <v>0.61387745022026063</v>
      </c>
      <c r="BC72" s="278">
        <v>0.6143832653340866</v>
      </c>
      <c r="BD72" s="278">
        <v>0.61484018845296362</v>
      </c>
      <c r="BE72" s="278">
        <v>0.61524978051531909</v>
      </c>
      <c r="BF72" s="279">
        <v>0.61561354154598447</v>
      </c>
      <c r="BG72" s="279">
        <f t="shared" si="0"/>
        <v>0.61561354154598447</v>
      </c>
      <c r="BH72" s="237"/>
    </row>
    <row r="73" spans="1:60" ht="17.45" customHeight="1" x14ac:dyDescent="0.2">
      <c r="A73" s="273">
        <v>23</v>
      </c>
      <c r="B73" s="277">
        <v>0.40285622090883044</v>
      </c>
      <c r="C73" s="278">
        <v>0.41330869650419849</v>
      </c>
      <c r="D73" s="278">
        <v>0.42336273590943063</v>
      </c>
      <c r="E73" s="278">
        <v>0.43295465006276768</v>
      </c>
      <c r="F73" s="278">
        <v>0.44206801425914477</v>
      </c>
      <c r="G73" s="278">
        <v>0.45070935353339525</v>
      </c>
      <c r="H73" s="278">
        <v>0.45889587244651431</v>
      </c>
      <c r="I73" s="278">
        <v>0.46664932159852363</v>
      </c>
      <c r="J73" s="279">
        <v>0.47399291058024057</v>
      </c>
      <c r="K73" s="277">
        <v>0.48094975793510458</v>
      </c>
      <c r="L73" s="278">
        <v>0.48754213348918163</v>
      </c>
      <c r="M73" s="278">
        <v>0.49379111607230586</v>
      </c>
      <c r="N73" s="278">
        <v>0.49971647059021634</v>
      </c>
      <c r="O73" s="278">
        <v>0.50533664011611357</v>
      </c>
      <c r="P73" s="278">
        <v>0.51066879650197394</v>
      </c>
      <c r="Q73" s="278">
        <v>0.51572891859771941</v>
      </c>
      <c r="R73" s="278">
        <v>0.52053188114704962</v>
      </c>
      <c r="S73" s="279">
        <v>0.52509122438772105</v>
      </c>
      <c r="T73" s="277">
        <v>0.52941825862494962</v>
      </c>
      <c r="U73" s="278">
        <v>0.53352307649984199</v>
      </c>
      <c r="V73" s="278">
        <v>0.53741495078807677</v>
      </c>
      <c r="W73" s="278">
        <v>0.54110240932082898</v>
      </c>
      <c r="X73" s="278">
        <v>0.54459330268526274</v>
      </c>
      <c r="Y73" s="278">
        <v>0.54789486520726105</v>
      </c>
      <c r="Z73" s="278">
        <v>0.55101376979697325</v>
      </c>
      <c r="AA73" s="278">
        <v>0.5539561772506304</v>
      </c>
      <c r="AB73" s="279">
        <v>0.55672778057982741</v>
      </c>
      <c r="AC73" s="277">
        <v>0.55933384489971183</v>
      </c>
      <c r="AD73" s="278">
        <v>0.56177924336039819</v>
      </c>
      <c r="AE73" s="278">
        <v>0.56406848955724909</v>
      </c>
      <c r="AF73" s="278">
        <v>0.56620576680861112</v>
      </c>
      <c r="AG73" s="278">
        <v>0.56819495464576497</v>
      </c>
      <c r="AH73" s="278">
        <v>0.57003965281995106</v>
      </c>
      <c r="AI73" s="278">
        <v>0.57174320309556004</v>
      </c>
      <c r="AJ73" s="278">
        <v>0.57330870906678355</v>
      </c>
      <c r="AK73" s="278">
        <v>0.57473905420695592</v>
      </c>
      <c r="AL73" s="279">
        <v>0.57603691833515713</v>
      </c>
      <c r="AM73" s="277">
        <v>0.57965250848515792</v>
      </c>
      <c r="AN73" s="278">
        <v>0.58115908864850041</v>
      </c>
      <c r="AO73" s="278">
        <v>0.58258666012808624</v>
      </c>
      <c r="AP73" s="278">
        <v>0.58393826815078287</v>
      </c>
      <c r="AQ73" s="278">
        <v>0.5852168023047023</v>
      </c>
      <c r="AR73" s="278">
        <v>0.58642500703106548</v>
      </c>
      <c r="AS73" s="278">
        <v>0.58756549123144741</v>
      </c>
      <c r="AT73" s="278">
        <v>0.58864073707941045</v>
      </c>
      <c r="AU73" s="278">
        <v>0.58965310811522831</v>
      </c>
      <c r="AV73" s="279">
        <v>0.59060485669342677</v>
      </c>
      <c r="AW73" s="277">
        <v>0.59149813084504266</v>
      </c>
      <c r="AX73" s="278">
        <v>0.59233498060966316</v>
      </c>
      <c r="AY73" s="278">
        <v>0.59311736388631331</v>
      </c>
      <c r="AZ73" s="278">
        <v>0.59384715184701387</v>
      </c>
      <c r="BA73" s="278">
        <v>0.59452613395219844</v>
      </c>
      <c r="BB73" s="278">
        <v>0.59515602260311318</v>
      </c>
      <c r="BC73" s="278">
        <v>0.5957384574627308</v>
      </c>
      <c r="BD73" s="278">
        <v>0.59627500947352519</v>
      </c>
      <c r="BE73" s="278">
        <v>0.59676718459764666</v>
      </c>
      <c r="BF73" s="279">
        <v>0.59721642730252844</v>
      </c>
      <c r="BG73" s="279">
        <f t="shared" si="0"/>
        <v>0.59721642730252844</v>
      </c>
      <c r="BH73" s="237"/>
    </row>
    <row r="74" spans="1:60" ht="17.45" customHeight="1" x14ac:dyDescent="0.2">
      <c r="A74" s="280">
        <v>24</v>
      </c>
      <c r="B74" s="281">
        <v>0.38478642714985267</v>
      </c>
      <c r="C74" s="282">
        <v>0.39525175816646529</v>
      </c>
      <c r="D74" s="282">
        <v>0.40517351022148779</v>
      </c>
      <c r="E74" s="282">
        <v>0.41457388138724255</v>
      </c>
      <c r="F74" s="282">
        <v>0.42347868847696946</v>
      </c>
      <c r="G74" s="282">
        <v>0.43191653342324277</v>
      </c>
      <c r="H74" s="282">
        <v>0.43991635322283679</v>
      </c>
      <c r="I74" s="282">
        <v>0.44750588588562495</v>
      </c>
      <c r="J74" s="283">
        <v>0.4547109314030835</v>
      </c>
      <c r="K74" s="281">
        <v>0.46155508496619901</v>
      </c>
      <c r="L74" s="282">
        <v>0.46805972082445779</v>
      </c>
      <c r="M74" s="282">
        <v>0.47424409901843506</v>
      </c>
      <c r="N74" s="282">
        <v>0.48012552548561943</v>
      </c>
      <c r="O74" s="282">
        <v>0.48571952896013548</v>
      </c>
      <c r="P74" s="282">
        <v>0.49104003611167374</v>
      </c>
      <c r="Q74" s="282">
        <v>0.49609953610144103</v>
      </c>
      <c r="R74" s="282">
        <v>0.50090923092434203</v>
      </c>
      <c r="S74" s="283">
        <v>0.50547949996245101</v>
      </c>
      <c r="T74" s="281">
        <v>0.50982102989076039</v>
      </c>
      <c r="U74" s="282">
        <v>0.51394396731513325</v>
      </c>
      <c r="V74" s="282">
        <v>0.51785768218859585</v>
      </c>
      <c r="W74" s="282">
        <v>0.52157084463941417</v>
      </c>
      <c r="X74" s="282">
        <v>0.52509149284366552</v>
      </c>
      <c r="Y74" s="282">
        <v>0.5284270930471292</v>
      </c>
      <c r="Z74" s="282">
        <v>0.5315845927256444</v>
      </c>
      <c r="AA74" s="282">
        <v>0.53457046775602601</v>
      </c>
      <c r="AB74" s="283">
        <v>0.53739076435922217</v>
      </c>
      <c r="AC74" s="281">
        <v>0.5400511364772913</v>
      </c>
      <c r="AD74" s="282">
        <v>0.54255687915699424</v>
      </c>
      <c r="AE74" s="282">
        <v>0.54491295843521526</v>
      </c>
      <c r="AF74" s="282">
        <v>0.54712403815419919</v>
      </c>
      <c r="AG74" s="282">
        <v>0.54919450407665915</v>
      </c>
      <c r="AH74" s="282">
        <v>0.55112848562105099</v>
      </c>
      <c r="AI74" s="282">
        <v>0.55292987549463624</v>
      </c>
      <c r="AJ74" s="282">
        <v>0.55460234746536752</v>
      </c>
      <c r="AK74" s="282">
        <v>0.55614937248227936</v>
      </c>
      <c r="AL74" s="283">
        <v>0.55757423332713585</v>
      </c>
      <c r="AM74" s="281">
        <v>0.56091112995668413</v>
      </c>
      <c r="AN74" s="282">
        <v>0.56246543051672293</v>
      </c>
      <c r="AO74" s="282">
        <v>0.56394034411939697</v>
      </c>
      <c r="AP74" s="282">
        <v>0.56533879765133488</v>
      </c>
      <c r="AQ74" s="282">
        <v>0.56666357412965751</v>
      </c>
      <c r="AR74" s="282">
        <v>0.56791732216345725</v>
      </c>
      <c r="AS74" s="282">
        <v>0.56910256462703457</v>
      </c>
      <c r="AT74" s="282">
        <v>0.57022170662405669</v>
      </c>
      <c r="AU74" s="282">
        <v>0.57127704281256975</v>
      </c>
      <c r="AV74" s="283">
        <v>0.57227076415277756</v>
      </c>
      <c r="AW74" s="281">
        <v>0.57320496413252231</v>
      </c>
      <c r="AX74" s="282">
        <v>0.57408164451931687</v>
      </c>
      <c r="AY74" s="282">
        <v>0.57490272068244919</v>
      </c>
      <c r="AZ74" s="282">
        <v>0.5756700265240231</v>
      </c>
      <c r="BA74" s="282">
        <v>0.57638531905369583</v>
      </c>
      <c r="BB74" s="282">
        <v>0.57705028263826386</v>
      </c>
      <c r="BC74" s="282">
        <v>0.57766653295407511</v>
      </c>
      <c r="BD74" s="282">
        <v>0.57823562066742562</v>
      </c>
      <c r="BE74" s="282">
        <v>0.57875903486561142</v>
      </c>
      <c r="BF74" s="283">
        <v>0.57923820625909772</v>
      </c>
      <c r="BG74" s="283">
        <f t="shared" si="0"/>
        <v>0.57923820625909772</v>
      </c>
      <c r="BH74" s="237"/>
    </row>
    <row r="75" spans="1:60" ht="17.45" customHeight="1" x14ac:dyDescent="0.2">
      <c r="A75" s="273">
        <v>25</v>
      </c>
      <c r="B75" s="284">
        <v>0.36874727377181249</v>
      </c>
      <c r="C75" s="285">
        <v>0.37792626977518373</v>
      </c>
      <c r="D75" s="285">
        <v>0.3871698800626307</v>
      </c>
      <c r="E75" s="285">
        <v>0.39619190686798933</v>
      </c>
      <c r="F75" s="285">
        <v>0.40488009694226107</v>
      </c>
      <c r="G75" s="285">
        <v>0.41319478043815511</v>
      </c>
      <c r="H75" s="285">
        <v>0.42112856542332844</v>
      </c>
      <c r="I75" s="285">
        <v>0.42868866792505739</v>
      </c>
      <c r="J75" s="286">
        <v>0.43588863799617283</v>
      </c>
      <c r="K75" s="284">
        <v>0.44274432181550233</v>
      </c>
      <c r="L75" s="285">
        <v>0.44927185426824323</v>
      </c>
      <c r="M75" s="285">
        <v>0.45548666964058859</v>
      </c>
      <c r="N75" s="285">
        <v>0.46140303903741753</v>
      </c>
      <c r="O75" s="285">
        <v>0.46703388528903034</v>
      </c>
      <c r="P75" s="285">
        <v>0.47239074454745855</v>
      </c>
      <c r="Q75" s="285">
        <v>0.47748380416091535</v>
      </c>
      <c r="R75" s="285">
        <v>0.48232197827248052</v>
      </c>
      <c r="S75" s="286">
        <v>0.48691384902249035</v>
      </c>
      <c r="T75" s="284">
        <v>0.49127036776984295</v>
      </c>
      <c r="U75" s="285">
        <v>0.49540249275826759</v>
      </c>
      <c r="V75" s="285">
        <v>0.49932042519032016</v>
      </c>
      <c r="W75" s="285">
        <v>0.50303367479856131</v>
      </c>
      <c r="X75" s="285">
        <v>0.50655112037889283</v>
      </c>
      <c r="Y75" s="285">
        <v>0.50988106508744779</v>
      </c>
      <c r="Z75" s="285">
        <v>0.51303128662548847</v>
      </c>
      <c r="AA75" s="285">
        <v>0.51600908260563272</v>
      </c>
      <c r="AB75" s="286">
        <v>0.51882131147095156</v>
      </c>
      <c r="AC75" s="284">
        <v>0.52147442936412758</v>
      </c>
      <c r="AD75" s="285">
        <v>0.52397452333971872</v>
      </c>
      <c r="AE75" s="285">
        <v>0.52632734129239245</v>
      </c>
      <c r="AF75" s="285">
        <v>0.52853831894595527</v>
      </c>
      <c r="AG75" s="285">
        <v>0.53061260421697176</v>
      </c>
      <c r="AH75" s="285">
        <v>0.53255507923552703</v>
      </c>
      <c r="AI75" s="285">
        <v>0.53437038027579742</v>
      </c>
      <c r="AJ75" s="285">
        <v>0.53606291582134213</v>
      </c>
      <c r="AK75" s="285">
        <v>0.53763688296475021</v>
      </c>
      <c r="AL75" s="286">
        <v>0.53909628231853279</v>
      </c>
      <c r="AM75" s="287">
        <v>0.54244970105384627</v>
      </c>
      <c r="AN75" s="288">
        <v>0.54403194704568714</v>
      </c>
      <c r="AO75" s="288">
        <v>0.54553802613315805</v>
      </c>
      <c r="AP75" s="288">
        <v>0.54697087861322102</v>
      </c>
      <c r="AQ75" s="288">
        <v>0.54833329361810834</v>
      </c>
      <c r="AR75" s="288">
        <v>0.54962791931384303</v>
      </c>
      <c r="AS75" s="288">
        <v>0.55085727224341152</v>
      </c>
      <c r="AT75" s="288">
        <v>0.55202374589967496</v>
      </c>
      <c r="AU75" s="288">
        <v>0.55312961860342358</v>
      </c>
      <c r="AV75" s="289">
        <v>0.55417706075353068</v>
      </c>
      <c r="AW75" s="287">
        <v>0.55516814150875926</v>
      </c>
      <c r="AX75" s="288">
        <v>0.55610483495428475</v>
      </c>
      <c r="AY75" s="288">
        <v>0.55698902580030518</v>
      </c>
      <c r="AZ75" s="288">
        <v>0.55782251465508581</v>
      </c>
      <c r="BA75" s="288">
        <v>0.55860702291037445</v>
      </c>
      <c r="BB75" s="288">
        <v>0.55934419727321927</v>
      </c>
      <c r="BC75" s="288">
        <v>0.56003561397476742</v>
      </c>
      <c r="BD75" s="288">
        <v>0.56068278268356964</v>
      </c>
      <c r="BE75" s="288">
        <v>0.5612871501482003</v>
      </c>
      <c r="BF75" s="289">
        <v>0.5618501035915946</v>
      </c>
      <c r="BG75" s="289">
        <f t="shared" si="0"/>
        <v>0.5618501035915946</v>
      </c>
      <c r="BH75" s="237"/>
    </row>
    <row r="76" spans="1:60" ht="17.45" customHeight="1" x14ac:dyDescent="0.2">
      <c r="A76" s="273">
        <v>26</v>
      </c>
      <c r="B76" s="277">
        <v>0.35182598599621095</v>
      </c>
      <c r="C76" s="278">
        <v>0.36192879567708297</v>
      </c>
      <c r="D76" s="278">
        <v>0.37125146983161539</v>
      </c>
      <c r="E76" s="278">
        <v>0.38001141557013413</v>
      </c>
      <c r="F76" s="278">
        <v>0.38831183047259099</v>
      </c>
      <c r="G76" s="278">
        <v>0.39621207907569317</v>
      </c>
      <c r="H76" s="278">
        <v>0.40375156278039792</v>
      </c>
      <c r="I76" s="278">
        <v>0.41095907450847868</v>
      </c>
      <c r="J76" s="279">
        <v>0.41785694499002557</v>
      </c>
      <c r="K76" s="277">
        <v>0.42446310059289805</v>
      </c>
      <c r="L76" s="278">
        <v>0.43079220016114467</v>
      </c>
      <c r="M76" s="278">
        <v>0.43685632892709797</v>
      </c>
      <c r="N76" s="278">
        <v>0.44266546107937449</v>
      </c>
      <c r="O76" s="278">
        <v>0.44822779145123376</v>
      </c>
      <c r="P76" s="278">
        <v>0.45354998730324175</v>
      </c>
      <c r="Q76" s="278">
        <v>0.45863738778136515</v>
      </c>
      <c r="R76" s="278">
        <v>0.46349416694301426</v>
      </c>
      <c r="S76" s="279">
        <v>0.46812461713669523</v>
      </c>
      <c r="T76" s="277">
        <v>0.47253678688609707</v>
      </c>
      <c r="U76" s="278">
        <v>0.47673926841279057</v>
      </c>
      <c r="V76" s="278">
        <v>0.48074013247835345</v>
      </c>
      <c r="W76" s="278">
        <v>0.48454698022189574</v>
      </c>
      <c r="X76" s="278">
        <v>0.48816698811132925</v>
      </c>
      <c r="Y76" s="278">
        <v>0.4916069471607159</v>
      </c>
      <c r="Z76" s="278">
        <v>0.49487329732399687</v>
      </c>
      <c r="AA76" s="278">
        <v>0.49797215779674059</v>
      </c>
      <c r="AB76" s="279">
        <v>0.50090935382217583</v>
      </c>
      <c r="AC76" s="277">
        <v>0.50369044049303502</v>
      </c>
      <c r="AD76" s="278">
        <v>0.50632072395818251</v>
      </c>
      <c r="AE76" s="278">
        <v>0.50880528037702155</v>
      </c>
      <c r="AF76" s="278">
        <v>0.51114897291126249</v>
      </c>
      <c r="AG76" s="278">
        <v>0.51335646699998394</v>
      </c>
      <c r="AH76" s="278">
        <v>0.51543224412788402</v>
      </c>
      <c r="AI76" s="278">
        <v>0.51738061426672899</v>
      </c>
      <c r="AJ76" s="278">
        <v>0.51920572714497748</v>
      </c>
      <c r="AK76" s="278">
        <v>0.52091158247953839</v>
      </c>
      <c r="AL76" s="279">
        <v>0.52250203928583305</v>
      </c>
      <c r="AM76" s="277">
        <v>0.52544423003316298</v>
      </c>
      <c r="AN76" s="278">
        <v>0.52708138292830897</v>
      </c>
      <c r="AO76" s="278">
        <v>0.52863611504179653</v>
      </c>
      <c r="AP76" s="278">
        <v>0.53011116849968654</v>
      </c>
      <c r="AQ76" s="278">
        <v>0.53150916568091844</v>
      </c>
      <c r="AR76" s="278">
        <v>0.5328326163789423</v>
      </c>
      <c r="AS76" s="278">
        <v>0.53408392440538532</v>
      </c>
      <c r="AT76" s="278">
        <v>0.53526539368931969</v>
      </c>
      <c r="AU76" s="278">
        <v>0.53637923391962317</v>
      </c>
      <c r="AV76" s="279">
        <v>0.53742756577263229</v>
      </c>
      <c r="AW76" s="277">
        <v>0.53841242576268578</v>
      </c>
      <c r="AX76" s="278">
        <v>0.53933577074911587</v>
      </c>
      <c r="AY76" s="278">
        <v>0.54019948212971947</v>
      </c>
      <c r="AZ76" s="278">
        <v>0.54100536974762092</v>
      </c>
      <c r="BA76" s="278">
        <v>0.54175517553571706</v>
      </c>
      <c r="BB76" s="278">
        <v>0.54245057692046095</v>
      </c>
      <c r="BC76" s="278">
        <v>0.54309319000461431</v>
      </c>
      <c r="BD76" s="278">
        <v>0.54368457254669034</v>
      </c>
      <c r="BE76" s="278">
        <v>0.54422622675313759</v>
      </c>
      <c r="BF76" s="279">
        <v>0.54471960189779056</v>
      </c>
      <c r="BG76" s="279">
        <f t="shared" si="0"/>
        <v>0.54471960189779056</v>
      </c>
      <c r="BH76" s="237"/>
    </row>
    <row r="77" spans="1:60" ht="17.45" customHeight="1" x14ac:dyDescent="0.2">
      <c r="A77" s="273">
        <v>27</v>
      </c>
      <c r="B77" s="277">
        <v>0.33795852404936</v>
      </c>
      <c r="C77" s="278">
        <v>0.34678372092883314</v>
      </c>
      <c r="D77" s="278">
        <v>0.35529983750996924</v>
      </c>
      <c r="E77" s="278">
        <v>0.36354662796456222</v>
      </c>
      <c r="F77" s="278">
        <v>0.37152519576171561</v>
      </c>
      <c r="G77" s="278">
        <v>0.37923217815171645</v>
      </c>
      <c r="H77" s="278">
        <v>0.38666635803740762</v>
      </c>
      <c r="I77" s="278">
        <v>0.39382910698400309</v>
      </c>
      <c r="J77" s="279">
        <v>0.40072361322701833</v>
      </c>
      <c r="K77" s="277">
        <v>0.4073540710095151</v>
      </c>
      <c r="L77" s="278">
        <v>0.41372506540902709</v>
      </c>
      <c r="M77" s="278">
        <v>0.41984115370572228</v>
      </c>
      <c r="N77" s="278">
        <v>0.42570659771383251</v>
      </c>
      <c r="O77" s="278">
        <v>0.43132520239303346</v>
      </c>
      <c r="P77" s="278">
        <v>0.43670022646244422</v>
      </c>
      <c r="Q77" s="278">
        <v>0.44183434075462291</v>
      </c>
      <c r="R77" s="278">
        <v>0.44672961769409297</v>
      </c>
      <c r="S77" s="279">
        <v>0.45138869364776185</v>
      </c>
      <c r="T77" s="277">
        <v>0.45581833405639194</v>
      </c>
      <c r="U77" s="278">
        <v>0.46002613754878469</v>
      </c>
      <c r="V77" s="278">
        <v>0.46401940908938211</v>
      </c>
      <c r="W77" s="278">
        <v>0.46780516749920809</v>
      </c>
      <c r="X77" s="278">
        <v>0.47139015551119423</v>
      </c>
      <c r="Y77" s="278">
        <v>0.47478085125264702</v>
      </c>
      <c r="Z77" s="278">
        <v>0.47798348040906263</v>
      </c>
      <c r="AA77" s="278">
        <v>0.48100402857175667</v>
      </c>
      <c r="AB77" s="279">
        <v>0.48384825344259447</v>
      </c>
      <c r="AC77" s="277">
        <v>0.48652169668676637</v>
      </c>
      <c r="AD77" s="278">
        <v>0.48902969530549051</v>
      </c>
      <c r="AE77" s="278">
        <v>0.49137739245602641</v>
      </c>
      <c r="AF77" s="278">
        <v>0.493569747684178</v>
      </c>
      <c r="AG77" s="278">
        <v>0.49561154655995499</v>
      </c>
      <c r="AH77" s="278">
        <v>0.49750740972390728</v>
      </c>
      <c r="AI77" s="278">
        <v>0.49926180136254039</v>
      </c>
      <c r="AJ77" s="278">
        <v>0.50087903713789172</v>
      </c>
      <c r="AK77" s="278">
        <v>0.50236329160016691</v>
      </c>
      <c r="AL77" s="279">
        <v>0.50371860511413968</v>
      </c>
      <c r="AM77" s="277">
        <v>0.50772326296573733</v>
      </c>
      <c r="AN77" s="278">
        <v>0.50937670216148179</v>
      </c>
      <c r="AO77" s="278">
        <v>0.51095434043131105</v>
      </c>
      <c r="AP77" s="278">
        <v>0.51245896332646257</v>
      </c>
      <c r="AQ77" s="278">
        <v>0.51389321973633295</v>
      </c>
      <c r="AR77" s="278">
        <v>0.51525963075750003</v>
      </c>
      <c r="AS77" s="278">
        <v>0.51656059784331765</v>
      </c>
      <c r="AT77" s="278">
        <v>0.51779841030338647</v>
      </c>
      <c r="AU77" s="278">
        <v>0.51897525221460217</v>
      </c>
      <c r="AV77" s="279">
        <v>0.52009320879877941</v>
      </c>
      <c r="AW77" s="277">
        <v>0.52115427231597111</v>
      </c>
      <c r="AX77" s="278">
        <v>0.52216034751741325</v>
      </c>
      <c r="AY77" s="278">
        <v>0.52311325669743247</v>
      </c>
      <c r="AZ77" s="278">
        <v>0.52401474437962003</v>
      </c>
      <c r="BA77" s="278">
        <v>0.52486648166898586</v>
      </c>
      <c r="BB77" s="278">
        <v>0.52567007029862989</v>
      </c>
      <c r="BC77" s="278">
        <v>0.5264270463966515</v>
      </c>
      <c r="BD77" s="278">
        <v>0.52713888399651421</v>
      </c>
      <c r="BE77" s="278">
        <v>0.52780699831184152</v>
      </c>
      <c r="BF77" s="279">
        <v>0.52843274879464386</v>
      </c>
      <c r="BG77" s="279">
        <f t="shared" si="0"/>
        <v>0.52843274879464386</v>
      </c>
      <c r="BH77" s="237"/>
    </row>
    <row r="78" spans="1:60" ht="17.45" customHeight="1" x14ac:dyDescent="0.2">
      <c r="A78" s="273">
        <v>28</v>
      </c>
      <c r="B78" s="277">
        <v>0.32317860275124799</v>
      </c>
      <c r="C78" s="278">
        <v>0.33223375044275644</v>
      </c>
      <c r="D78" s="278">
        <v>0.34073058728114552</v>
      </c>
      <c r="E78" s="278">
        <v>0.34883029306959806</v>
      </c>
      <c r="F78" s="278">
        <v>0.35659432261502816</v>
      </c>
      <c r="G78" s="278">
        <v>0.36405199487568501</v>
      </c>
      <c r="H78" s="278">
        <v>0.37122098337357318</v>
      </c>
      <c r="I78" s="278">
        <v>0.37811417396862296</v>
      </c>
      <c r="J78" s="279">
        <v>0.38474210931790309</v>
      </c>
      <c r="K78" s="277">
        <v>0.3911138971031875</v>
      </c>
      <c r="L78" s="278">
        <v>0.39723756120271642</v>
      </c>
      <c r="M78" s="278">
        <v>0.40312018886356304</v>
      </c>
      <c r="N78" s="278">
        <v>0.4087680052783354</v>
      </c>
      <c r="O78" s="278">
        <v>0.41418642461005872</v>
      </c>
      <c r="P78" s="278">
        <v>0.4193800950568255</v>
      </c>
      <c r="Q78" s="278">
        <v>0.42435294349964342</v>
      </c>
      <c r="R78" s="278">
        <v>0.42910822081189037</v>
      </c>
      <c r="S78" s="279">
        <v>0.43364934511344289</v>
      </c>
      <c r="T78" s="277">
        <v>0.43798239947927536</v>
      </c>
      <c r="U78" s="278">
        <v>0.44211387765142646</v>
      </c>
      <c r="V78" s="278">
        <v>0.44604992456453024</v>
      </c>
      <c r="W78" s="278">
        <v>0.44979635807809937</v>
      </c>
      <c r="X78" s="278">
        <v>0.453358689888059</v>
      </c>
      <c r="Y78" s="278">
        <v>0.45674214541843344</v>
      </c>
      <c r="Z78" s="278">
        <v>0.45995168258589347</v>
      </c>
      <c r="AA78" s="278">
        <v>0.46299200939453594</v>
      </c>
      <c r="AB78" s="279">
        <v>0.4658676003623673</v>
      </c>
      <c r="AC78" s="277">
        <v>0.46858271180994043</v>
      </c>
      <c r="AD78" s="278">
        <v>0.47114139605973349</v>
      </c>
      <c r="AE78" s="278">
        <v>0.47354751460538058</v>
      </c>
      <c r="AF78" s="278">
        <v>0.47580475031510455</v>
      </c>
      <c r="AG78" s="278">
        <v>0.47791661873536517</v>
      </c>
      <c r="AH78" s="278">
        <v>0.4798864785600378</v>
      </c>
      <c r="AI78" s="278">
        <v>0.48171754132822148</v>
      </c>
      <c r="AJ78" s="278">
        <v>0.48341288041064495</v>
      </c>
      <c r="AK78" s="278">
        <v>0.48497543934101739</v>
      </c>
      <c r="AL78" s="279">
        <v>0.48640803954479805</v>
      </c>
      <c r="AM78" s="277">
        <v>0.49035213536300426</v>
      </c>
      <c r="AN78" s="278">
        <v>0.4920850416519636</v>
      </c>
      <c r="AO78" s="278">
        <v>0.49374579171387101</v>
      </c>
      <c r="AP78" s="278">
        <v>0.49533693554828429</v>
      </c>
      <c r="AQ78" s="278">
        <v>0.49686090011791889</v>
      </c>
      <c r="AR78" s="278">
        <v>0.49831999732730686</v>
      </c>
      <c r="AS78" s="278">
        <v>0.49971643134745614</v>
      </c>
      <c r="AT78" s="278">
        <v>0.50105230535080414</v>
      </c>
      <c r="AU78" s="278">
        <v>0.50232962771346523</v>
      </c>
      <c r="AV78" s="279">
        <v>0.50355031773541481</v>
      </c>
      <c r="AW78" s="277">
        <v>0.50471621092368801</v>
      </c>
      <c r="AX78" s="278">
        <v>0.50582906387878501</v>
      </c>
      <c r="AY78" s="278">
        <v>0.50689055882019585</v>
      </c>
      <c r="AZ78" s="278">
        <v>0.50790230778318113</v>
      </c>
      <c r="BA78" s="278">
        <v>0.50886585651562688</v>
      </c>
      <c r="BB78" s="278">
        <v>0.50978268810084704</v>
      </c>
      <c r="BC78" s="278">
        <v>0.5106542263296181</v>
      </c>
      <c r="BD78" s="278">
        <v>0.5114818388424196</v>
      </c>
      <c r="BE78" s="278">
        <v>0.51226684006081669</v>
      </c>
      <c r="BF78" s="279">
        <v>0.51301049392509512</v>
      </c>
      <c r="BG78" s="279">
        <f t="shared" si="0"/>
        <v>0.51301049392509512</v>
      </c>
      <c r="BH78" s="237"/>
    </row>
    <row r="79" spans="1:60" ht="17.45" customHeight="1" x14ac:dyDescent="0.2">
      <c r="A79" s="273">
        <v>29</v>
      </c>
      <c r="B79" s="277">
        <v>0.30947880921076498</v>
      </c>
      <c r="C79" s="278">
        <v>0.31821410967499025</v>
      </c>
      <c r="D79" s="278">
        <v>0.32645602305363192</v>
      </c>
      <c r="E79" s="278">
        <v>0.33434623832609683</v>
      </c>
      <c r="F79" s="278">
        <v>0.34193197844108503</v>
      </c>
      <c r="G79" s="278">
        <v>0.34923262990495824</v>
      </c>
      <c r="H79" s="278">
        <v>0.3562590834720446</v>
      </c>
      <c r="I79" s="278">
        <v>0.36301973238862068</v>
      </c>
      <c r="J79" s="279">
        <v>0.36952232013879238</v>
      </c>
      <c r="K79" s="277">
        <v>0.37577443596764365</v>
      </c>
      <c r="L79" s="278">
        <v>0.38178357585067263</v>
      </c>
      <c r="M79" s="278">
        <v>0.38755708089364777</v>
      </c>
      <c r="N79" s="278">
        <v>0.39310205805290516</v>
      </c>
      <c r="O79" s="278">
        <v>0.39842531508764822</v>
      </c>
      <c r="P79" s="278">
        <v>0.40353331611542331</v>
      </c>
      <c r="Q79" s="278">
        <v>0.40843215583128961</v>
      </c>
      <c r="R79" s="278">
        <v>0.41312754838010696</v>
      </c>
      <c r="S79" s="279">
        <v>0.41762486472915195</v>
      </c>
      <c r="T79" s="277">
        <v>0.42192925600816006</v>
      </c>
      <c r="U79" s="278">
        <v>0.4260455568686089</v>
      </c>
      <c r="V79" s="278">
        <v>0.42997826270740808</v>
      </c>
      <c r="W79" s="278">
        <v>0.43373154579752438</v>
      </c>
      <c r="X79" s="278">
        <v>0.43730927239332251</v>
      </c>
      <c r="Y79" s="278">
        <v>0.44071502016299757</v>
      </c>
      <c r="Z79" s="278">
        <v>0.44395209550675252</v>
      </c>
      <c r="AA79" s="278">
        <v>0.44702355046719211</v>
      </c>
      <c r="AB79" s="279">
        <v>0.44993219904347698</v>
      </c>
      <c r="AC79" s="277">
        <v>0.45268063279499365</v>
      </c>
      <c r="AD79" s="278">
        <v>0.45527123567223465</v>
      </c>
      <c r="AE79" s="278">
        <v>0.45770619804862411</v>
      </c>
      <c r="AF79" s="278">
        <v>0.45998752995162823</v>
      </c>
      <c r="AG79" s="278">
        <v>0.46211707350803038</v>
      </c>
      <c r="AH79" s="278">
        <v>0.46409651462895213</v>
      </c>
      <c r="AI79" s="278">
        <v>0.46592739396687727</v>
      </c>
      <c r="AJ79" s="278">
        <v>0.46761111718070469</v>
      </c>
      <c r="AK79" s="278">
        <v>0.46914896454663274</v>
      </c>
      <c r="AL79" s="279">
        <v>0.4705420999530755</v>
      </c>
      <c r="AM79" s="277">
        <v>0.47450947270077276</v>
      </c>
      <c r="AN79" s="278">
        <v>0.47627343033725378</v>
      </c>
      <c r="AO79" s="278">
        <v>0.47796687268902671</v>
      </c>
      <c r="AP79" s="278">
        <v>0.47959229933071024</v>
      </c>
      <c r="AQ79" s="278">
        <v>0.4811520885744095</v>
      </c>
      <c r="AR79" s="278">
        <v>0.48264850534004977</v>
      </c>
      <c r="AS79" s="278">
        <v>0.48408370838354953</v>
      </c>
      <c r="AT79" s="278">
        <v>0.48545975694531512</v>
      </c>
      <c r="AU79" s="278">
        <v>0.48677861687458052</v>
      </c>
      <c r="AV79" s="279">
        <v>0.48804216627900804</v>
      </c>
      <c r="AW79" s="277">
        <v>0.48925220074361403</v>
      </c>
      <c r="AX79" s="278">
        <v>0.49041043815837171</v>
      </c>
      <c r="AY79" s="278">
        <v>0.49151852318969402</v>
      </c>
      <c r="AZ79" s="278">
        <v>0.49257803142734385</v>
      </c>
      <c r="BA79" s="278">
        <v>0.49359047323508509</v>
      </c>
      <c r="BB79" s="278">
        <v>0.49455729733052844</v>
      </c>
      <c r="BC79" s="278">
        <v>0.49547989411709192</v>
      </c>
      <c r="BD79" s="278">
        <v>0.4963595987887448</v>
      </c>
      <c r="BE79" s="278">
        <v>0.4971976942262013</v>
      </c>
      <c r="BF79" s="279">
        <v>0.49799541370145034</v>
      </c>
      <c r="BG79" s="279">
        <f t="shared" si="0"/>
        <v>0.49799541370145034</v>
      </c>
      <c r="BH79" s="237"/>
    </row>
    <row r="80" spans="1:60" ht="17.45" customHeight="1" thickBot="1" x14ac:dyDescent="0.25">
      <c r="A80" s="293">
        <v>30</v>
      </c>
      <c r="B80" s="294">
        <v>0.29636697844657206</v>
      </c>
      <c r="C80" s="295">
        <v>0.30635227938128223</v>
      </c>
      <c r="D80" s="295">
        <v>0.31487259352864372</v>
      </c>
      <c r="E80" s="295">
        <v>0.32263432955411381</v>
      </c>
      <c r="F80" s="295">
        <v>0.32992206391230217</v>
      </c>
      <c r="G80" s="295">
        <v>0.33686170055358172</v>
      </c>
      <c r="H80" s="295">
        <v>0.34351351615989306</v>
      </c>
      <c r="I80" s="295">
        <v>0.34990884263066635</v>
      </c>
      <c r="J80" s="296">
        <v>0.35606572703420802</v>
      </c>
      <c r="K80" s="294">
        <v>0.3619960171905553</v>
      </c>
      <c r="L80" s="295">
        <v>0.36770870103877096</v>
      </c>
      <c r="M80" s="295">
        <v>0.37321151984098194</v>
      </c>
      <c r="N80" s="295">
        <v>0.37851175310812868</v>
      </c>
      <c r="O80" s="295">
        <v>0.38361659422630617</v>
      </c>
      <c r="P80" s="295">
        <v>0.38853332004360025</v>
      </c>
      <c r="Q80" s="295">
        <v>0.39326935607556468</v>
      </c>
      <c r="R80" s="295">
        <v>0.39783228933754072</v>
      </c>
      <c r="S80" s="296">
        <v>0.40222868662890521</v>
      </c>
      <c r="T80" s="294">
        <v>0.4064604697081115</v>
      </c>
      <c r="U80" s="295">
        <v>0.41052824538582589</v>
      </c>
      <c r="V80" s="295">
        <v>0.41443245191855993</v>
      </c>
      <c r="W80" s="295">
        <v>0.4181733612626376</v>
      </c>
      <c r="X80" s="295">
        <v>0.42175108218484869</v>
      </c>
      <c r="Y80" s="295">
        <v>0.42516556448690102</v>
      </c>
      <c r="Z80" s="295">
        <v>0.42841660433568163</v>
      </c>
      <c r="AA80" s="295">
        <v>0.43150385056861296</v>
      </c>
      <c r="AB80" s="296">
        <v>0.4344268117965393</v>
      </c>
      <c r="AC80" s="294">
        <v>0.43718486411911667</v>
      </c>
      <c r="AD80" s="295">
        <v>0.43977725927940847</v>
      </c>
      <c r="AE80" s="295">
        <v>0.44220313310440112</v>
      </c>
      <c r="AF80" s="295">
        <v>0.44446151410060897</v>
      </c>
      <c r="AG80" s="295">
        <v>0.44655133209588005</v>
      </c>
      <c r="AH80" s="295">
        <v>0.44847142683851204</v>
      </c>
      <c r="AI80" s="295">
        <v>0.45022055648237913</v>
      </c>
      <c r="AJ80" s="295">
        <v>0.45179740590179074</v>
      </c>
      <c r="AK80" s="295">
        <v>0.45320059479250446</v>
      </c>
      <c r="AL80" s="296">
        <v>0.4544286855258533</v>
      </c>
      <c r="AM80" s="294">
        <v>0.45834259592646587</v>
      </c>
      <c r="AN80" s="295">
        <v>0.4601455769454188</v>
      </c>
      <c r="AO80" s="295">
        <v>0.46188778226861477</v>
      </c>
      <c r="AP80" s="295">
        <v>0.46357161223255766</v>
      </c>
      <c r="AQ80" s="295">
        <v>0.46519933613681175</v>
      </c>
      <c r="AR80" s="295">
        <v>0.46677310155055646</v>
      </c>
      <c r="AS80" s="295">
        <v>0.46829494280772505</v>
      </c>
      <c r="AT80" s="295">
        <v>0.46976678877384215</v>
      </c>
      <c r="AU80" s="295">
        <v>0.47119046995800085</v>
      </c>
      <c r="AV80" s="296">
        <v>0.47256772503499705</v>
      </c>
      <c r="AW80" s="294">
        <v>0.473900206835283</v>
      </c>
      <c r="AX80" s="295">
        <v>0.47518948785396736</v>
      </c>
      <c r="AY80" s="295">
        <v>0.47643706532445523</v>
      </c>
      <c r="AZ80" s="295">
        <v>0.47764436589737985</v>
      </c>
      <c r="BA80" s="295">
        <v>0.47881274996112988</v>
      </c>
      <c r="BB80" s="295">
        <v>0.47994351563644522</v>
      </c>
      <c r="BC80" s="295">
        <v>0.48103790247418865</v>
      </c>
      <c r="BD80" s="295">
        <v>0.48209709488240432</v>
      </c>
      <c r="BE80" s="295">
        <v>0.48312222530614951</v>
      </c>
      <c r="BF80" s="296">
        <v>0.48411437718122657</v>
      </c>
      <c r="BG80" s="296">
        <f t="shared" si="0"/>
        <v>0.48411437718122657</v>
      </c>
      <c r="BH80" s="237"/>
    </row>
    <row r="81" spans="1:60" ht="17.45" customHeight="1" thickTop="1" thickBot="1" x14ac:dyDescent="0.25">
      <c r="A81" s="293">
        <f>A80+0.001</f>
        <v>30.001000000000001</v>
      </c>
      <c r="B81" s="294">
        <f>B80</f>
        <v>0.29636697844657206</v>
      </c>
      <c r="C81" s="295">
        <f t="shared" ref="C81:BF81" si="1">C80</f>
        <v>0.30635227938128223</v>
      </c>
      <c r="D81" s="295">
        <f t="shared" si="1"/>
        <v>0.31487259352864372</v>
      </c>
      <c r="E81" s="295">
        <f t="shared" si="1"/>
        <v>0.32263432955411381</v>
      </c>
      <c r="F81" s="295">
        <f t="shared" si="1"/>
        <v>0.32992206391230217</v>
      </c>
      <c r="G81" s="295">
        <f t="shared" si="1"/>
        <v>0.33686170055358172</v>
      </c>
      <c r="H81" s="295">
        <f t="shared" si="1"/>
        <v>0.34351351615989306</v>
      </c>
      <c r="I81" s="295">
        <f t="shared" si="1"/>
        <v>0.34990884263066635</v>
      </c>
      <c r="J81" s="296">
        <f t="shared" si="1"/>
        <v>0.35606572703420802</v>
      </c>
      <c r="K81" s="294">
        <f t="shared" si="1"/>
        <v>0.3619960171905553</v>
      </c>
      <c r="L81" s="295">
        <f t="shared" si="1"/>
        <v>0.36770870103877096</v>
      </c>
      <c r="M81" s="295">
        <f t="shared" si="1"/>
        <v>0.37321151984098194</v>
      </c>
      <c r="N81" s="295">
        <f t="shared" si="1"/>
        <v>0.37851175310812868</v>
      </c>
      <c r="O81" s="295">
        <f t="shared" si="1"/>
        <v>0.38361659422630617</v>
      </c>
      <c r="P81" s="295">
        <f t="shared" si="1"/>
        <v>0.38853332004360025</v>
      </c>
      <c r="Q81" s="295">
        <f t="shared" si="1"/>
        <v>0.39326935607556468</v>
      </c>
      <c r="R81" s="295">
        <f t="shared" si="1"/>
        <v>0.39783228933754072</v>
      </c>
      <c r="S81" s="296">
        <f t="shared" si="1"/>
        <v>0.40222868662890521</v>
      </c>
      <c r="T81" s="294">
        <f t="shared" si="1"/>
        <v>0.4064604697081115</v>
      </c>
      <c r="U81" s="295">
        <f t="shared" si="1"/>
        <v>0.41052824538582589</v>
      </c>
      <c r="V81" s="295">
        <f t="shared" si="1"/>
        <v>0.41443245191855993</v>
      </c>
      <c r="W81" s="295">
        <f t="shared" si="1"/>
        <v>0.4181733612626376</v>
      </c>
      <c r="X81" s="295">
        <f t="shared" si="1"/>
        <v>0.42175108218484869</v>
      </c>
      <c r="Y81" s="295">
        <f t="shared" si="1"/>
        <v>0.42516556448690102</v>
      </c>
      <c r="Z81" s="295">
        <f t="shared" si="1"/>
        <v>0.42841660433568163</v>
      </c>
      <c r="AA81" s="295">
        <f t="shared" si="1"/>
        <v>0.43150385056861296</v>
      </c>
      <c r="AB81" s="296">
        <f t="shared" si="1"/>
        <v>0.4344268117965393</v>
      </c>
      <c r="AC81" s="294">
        <f t="shared" si="1"/>
        <v>0.43718486411911667</v>
      </c>
      <c r="AD81" s="295">
        <f t="shared" si="1"/>
        <v>0.43977725927940847</v>
      </c>
      <c r="AE81" s="295">
        <f t="shared" si="1"/>
        <v>0.44220313310440112</v>
      </c>
      <c r="AF81" s="295">
        <f t="shared" si="1"/>
        <v>0.44446151410060897</v>
      </c>
      <c r="AG81" s="295">
        <f t="shared" si="1"/>
        <v>0.44655133209588005</v>
      </c>
      <c r="AH81" s="295">
        <f t="shared" si="1"/>
        <v>0.44847142683851204</v>
      </c>
      <c r="AI81" s="295">
        <f t="shared" si="1"/>
        <v>0.45022055648237913</v>
      </c>
      <c r="AJ81" s="295">
        <f t="shared" si="1"/>
        <v>0.45179740590179074</v>
      </c>
      <c r="AK81" s="295">
        <f t="shared" si="1"/>
        <v>0.45320059479250446</v>
      </c>
      <c r="AL81" s="296">
        <f t="shared" si="1"/>
        <v>0.4544286855258533</v>
      </c>
      <c r="AM81" s="294">
        <f t="shared" si="1"/>
        <v>0.45834259592646587</v>
      </c>
      <c r="AN81" s="295">
        <f t="shared" si="1"/>
        <v>0.4601455769454188</v>
      </c>
      <c r="AO81" s="295">
        <f t="shared" si="1"/>
        <v>0.46188778226861477</v>
      </c>
      <c r="AP81" s="295">
        <f t="shared" si="1"/>
        <v>0.46357161223255766</v>
      </c>
      <c r="AQ81" s="295">
        <f t="shared" si="1"/>
        <v>0.46519933613681175</v>
      </c>
      <c r="AR81" s="295">
        <f t="shared" si="1"/>
        <v>0.46677310155055646</v>
      </c>
      <c r="AS81" s="295">
        <f t="shared" si="1"/>
        <v>0.46829494280772505</v>
      </c>
      <c r="AT81" s="295">
        <f t="shared" si="1"/>
        <v>0.46976678877384215</v>
      </c>
      <c r="AU81" s="295">
        <f t="shared" si="1"/>
        <v>0.47119046995800085</v>
      </c>
      <c r="AV81" s="296">
        <f t="shared" si="1"/>
        <v>0.47256772503499705</v>
      </c>
      <c r="AW81" s="294">
        <f t="shared" si="1"/>
        <v>0.473900206835283</v>
      </c>
      <c r="AX81" s="295">
        <f t="shared" si="1"/>
        <v>0.47518948785396736</v>
      </c>
      <c r="AY81" s="295">
        <f t="shared" si="1"/>
        <v>0.47643706532445523</v>
      </c>
      <c r="AZ81" s="295">
        <f t="shared" si="1"/>
        <v>0.47764436589737985</v>
      </c>
      <c r="BA81" s="295">
        <f t="shared" si="1"/>
        <v>0.47881274996112988</v>
      </c>
      <c r="BB81" s="295">
        <f t="shared" si="1"/>
        <v>0.47994351563644522</v>
      </c>
      <c r="BC81" s="295">
        <f t="shared" si="1"/>
        <v>0.48103790247418865</v>
      </c>
      <c r="BD81" s="295">
        <f t="shared" si="1"/>
        <v>0.48209709488240432</v>
      </c>
      <c r="BE81" s="295">
        <f t="shared" si="1"/>
        <v>0.48312222530614951</v>
      </c>
      <c r="BF81" s="296">
        <f t="shared" si="1"/>
        <v>0.48411437718122657</v>
      </c>
      <c r="BG81" s="296">
        <f>BF80</f>
        <v>0.48411437718122657</v>
      </c>
      <c r="BH81" s="237"/>
    </row>
    <row r="82" spans="1:60" ht="17.45" customHeight="1"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7.45" customHeight="1" thickTop="1" thickBot="1" x14ac:dyDescent="0.25"/>
    <row r="84" spans="1:60" ht="17.45" customHeight="1" thickTop="1" x14ac:dyDescent="0.2">
      <c r="A84" s="693" t="s">
        <v>9</v>
      </c>
      <c r="B84" s="694"/>
      <c r="C84" s="694"/>
      <c r="D84" s="694"/>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7.45" customHeight="1" thickBot="1" x14ac:dyDescent="0.25">
      <c r="A85" s="297"/>
      <c r="B85" s="696" t="s">
        <v>28</v>
      </c>
      <c r="C85" s="697"/>
      <c r="D85" s="697"/>
      <c r="E85" s="697"/>
      <c r="F85" s="697"/>
      <c r="G85" s="697"/>
      <c r="H85" s="697"/>
      <c r="I85" s="697"/>
      <c r="J85" s="697"/>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9"/>
    </row>
    <row r="86" spans="1:60" ht="17.45" customHeight="1" thickTop="1" thickBot="1" x14ac:dyDescent="0.25">
      <c r="A86" s="300"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7.45" customHeight="1" thickTop="1" x14ac:dyDescent="0.2">
      <c r="A87" s="303">
        <v>4</v>
      </c>
      <c r="B87" s="304">
        <v>0.93769184651687654</v>
      </c>
      <c r="C87" s="304">
        <v>0.94535797778900654</v>
      </c>
      <c r="D87" s="304">
        <v>0.95250069851913932</v>
      </c>
      <c r="E87" s="304">
        <v>0.95712506691063681</v>
      </c>
      <c r="F87" s="304">
        <v>0.96060352053646281</v>
      </c>
      <c r="G87" s="304">
        <v>0.96355656384493082</v>
      </c>
      <c r="H87" s="304">
        <v>0.96533490011750878</v>
      </c>
      <c r="I87" s="304">
        <v>0.96697996540323161</v>
      </c>
      <c r="J87" s="305">
        <v>0.96850178838254197</v>
      </c>
      <c r="K87" s="304">
        <v>0.96992939368069653</v>
      </c>
      <c r="L87" s="304">
        <v>0.97129180592295128</v>
      </c>
      <c r="M87" s="304">
        <v>0.97261804973456256</v>
      </c>
      <c r="N87" s="304">
        <v>0.97364444264958128</v>
      </c>
      <c r="O87" s="304">
        <v>0.97422403109403355</v>
      </c>
      <c r="P87" s="304">
        <v>0.97456093303113978</v>
      </c>
      <c r="Q87" s="304">
        <v>0.97485926642411946</v>
      </c>
      <c r="R87" s="304">
        <v>0.97532314923619279</v>
      </c>
      <c r="S87" s="305">
        <v>0.97591909327783277</v>
      </c>
      <c r="T87" s="304">
        <v>0.97648005269017712</v>
      </c>
      <c r="U87" s="304">
        <v>0.97700980893244282</v>
      </c>
      <c r="V87" s="304">
        <v>0.9775121434638474</v>
      </c>
      <c r="W87" s="304">
        <v>0.97799083774360751</v>
      </c>
      <c r="X87" s="304">
        <v>0.9784496732309409</v>
      </c>
      <c r="Y87" s="304">
        <v>0.9788924313850641</v>
      </c>
      <c r="Z87" s="304">
        <v>0.97932289366519498</v>
      </c>
      <c r="AA87" s="304">
        <v>0.97974484153054997</v>
      </c>
      <c r="AB87" s="305">
        <v>0.98016205644034649</v>
      </c>
      <c r="AC87" s="304">
        <v>0.98050763546264308</v>
      </c>
      <c r="AD87" s="304">
        <v>0.98072700309187077</v>
      </c>
      <c r="AE87" s="304">
        <v>0.98084243192680631</v>
      </c>
      <c r="AF87" s="304">
        <v>0.9808761945662271</v>
      </c>
      <c r="AG87" s="304">
        <v>0.98085056360890954</v>
      </c>
      <c r="AH87" s="304">
        <v>0.9807878116536306</v>
      </c>
      <c r="AI87" s="304">
        <v>0.9807102112991668</v>
      </c>
      <c r="AJ87" s="304">
        <v>0.98064003514429576</v>
      </c>
      <c r="AK87" s="304">
        <v>0.98059955578779356</v>
      </c>
      <c r="AL87" s="305">
        <v>0.98061104582843728</v>
      </c>
      <c r="AM87" s="305">
        <f>AL87</f>
        <v>0.98061104582843728</v>
      </c>
      <c r="AN87" s="299"/>
    </row>
    <row r="88" spans="1:60" ht="17.45" customHeight="1" x14ac:dyDescent="0.2">
      <c r="A88" s="306">
        <v>5</v>
      </c>
      <c r="B88" s="307">
        <v>0.9429015188153641</v>
      </c>
      <c r="C88" s="307">
        <v>0.95063850066765621</v>
      </c>
      <c r="D88" s="307">
        <v>0.95776070427911786</v>
      </c>
      <c r="E88" s="307">
        <v>0.96306173743625911</v>
      </c>
      <c r="F88" s="307">
        <v>0.96846890350389025</v>
      </c>
      <c r="G88" s="307">
        <v>0.97201601013861638</v>
      </c>
      <c r="H88" s="307">
        <v>0.97430050015726222</v>
      </c>
      <c r="I88" s="307">
        <v>0.97627278611398938</v>
      </c>
      <c r="J88" s="308">
        <v>0.97805260635226998</v>
      </c>
      <c r="K88" s="307">
        <v>0.97954749722532453</v>
      </c>
      <c r="L88" s="307">
        <v>0.98146481095629046</v>
      </c>
      <c r="M88" s="307">
        <v>0.98319543440083534</v>
      </c>
      <c r="N88" s="307">
        <v>0.9844546256024419</v>
      </c>
      <c r="O88" s="307">
        <v>0.98527026716719912</v>
      </c>
      <c r="P88" s="307">
        <v>0.98544467055898866</v>
      </c>
      <c r="Q88" s="307">
        <v>0.98614396289614292</v>
      </c>
      <c r="R88" s="307">
        <v>0.98679993771606078</v>
      </c>
      <c r="S88" s="308">
        <v>0.98728371190979591</v>
      </c>
      <c r="T88" s="307">
        <v>0.98776534840854013</v>
      </c>
      <c r="U88" s="307">
        <v>0.98818748961358571</v>
      </c>
      <c r="V88" s="307">
        <v>0.98846933474033483</v>
      </c>
      <c r="W88" s="307">
        <v>0.98847280692077333</v>
      </c>
      <c r="X88" s="307">
        <v>0.98819232384182265</v>
      </c>
      <c r="Y88" s="307">
        <v>0.98788219198768656</v>
      </c>
      <c r="Z88" s="307">
        <v>0.9878263206912965</v>
      </c>
      <c r="AA88" s="307">
        <v>0.98807724981305556</v>
      </c>
      <c r="AB88" s="308">
        <v>0.98849316780876217</v>
      </c>
      <c r="AC88" s="307">
        <v>0.98890073464983996</v>
      </c>
      <c r="AD88" s="307">
        <v>0.989419512887171</v>
      </c>
      <c r="AE88" s="307">
        <v>0.99022923082105208</v>
      </c>
      <c r="AF88" s="307">
        <v>0.99129908018503476</v>
      </c>
      <c r="AG88" s="307">
        <v>0.99226244152056864</v>
      </c>
      <c r="AH88" s="307">
        <v>0.99289221286496887</v>
      </c>
      <c r="AI88" s="307">
        <v>0.99321364834599113</v>
      </c>
      <c r="AJ88" s="307">
        <v>0.99339630897497766</v>
      </c>
      <c r="AK88" s="307">
        <v>0.99355837014184822</v>
      </c>
      <c r="AL88" s="308">
        <v>0.99380498273155626</v>
      </c>
      <c r="AM88" s="308">
        <f t="shared" ref="AM88:AM123" si="2">AL88</f>
        <v>0.99380498273155626</v>
      </c>
      <c r="AN88" s="299"/>
    </row>
    <row r="89" spans="1:60" ht="17.45" customHeight="1" x14ac:dyDescent="0.2">
      <c r="A89" s="303">
        <v>6</v>
      </c>
      <c r="B89" s="304">
        <v>0.94775076837105343</v>
      </c>
      <c r="C89" s="304">
        <v>0.95550798005447413</v>
      </c>
      <c r="D89" s="304">
        <v>0.96298472385428913</v>
      </c>
      <c r="E89" s="304">
        <v>0.96978549306258044</v>
      </c>
      <c r="F89" s="304">
        <v>0.97569153394803021</v>
      </c>
      <c r="G89" s="304">
        <v>0.97990298874259651</v>
      </c>
      <c r="H89" s="304">
        <v>0.98267672534227424</v>
      </c>
      <c r="I89" s="304">
        <v>0.98495058314993444</v>
      </c>
      <c r="J89" s="305">
        <v>0.98710511145279178</v>
      </c>
      <c r="K89" s="304">
        <v>0.98910063764701317</v>
      </c>
      <c r="L89" s="304">
        <v>0.99089748912876585</v>
      </c>
      <c r="M89" s="304">
        <v>0.99245599329421619</v>
      </c>
      <c r="N89" s="304">
        <v>0.99381155359959261</v>
      </c>
      <c r="O89" s="304">
        <v>0.99500134384904237</v>
      </c>
      <c r="P89" s="304">
        <v>0.99598834696061278</v>
      </c>
      <c r="Q89" s="304">
        <v>0.99673554585235047</v>
      </c>
      <c r="R89" s="304">
        <v>0.9972059234423023</v>
      </c>
      <c r="S89" s="305">
        <v>0.99740063486139607</v>
      </c>
      <c r="T89" s="304">
        <v>0.9972909713676632</v>
      </c>
      <c r="U89" s="304">
        <v>0.99687356267009819</v>
      </c>
      <c r="V89" s="304">
        <v>0.99628681664020813</v>
      </c>
      <c r="W89" s="304">
        <v>0.99585508129346278</v>
      </c>
      <c r="X89" s="304">
        <v>0.99576885899706202</v>
      </c>
      <c r="Y89" s="304">
        <v>0.99587319177325329</v>
      </c>
      <c r="Z89" s="304">
        <v>0.99612544210220366</v>
      </c>
      <c r="AA89" s="304">
        <v>0.99648949555636723</v>
      </c>
      <c r="AB89" s="305">
        <v>0.99692128098483623</v>
      </c>
      <c r="AC89" s="304">
        <v>0.99734050122196005</v>
      </c>
      <c r="AD89" s="304">
        <v>0.9977763655308185</v>
      </c>
      <c r="AE89" s="304">
        <v>0.99830190221090587</v>
      </c>
      <c r="AF89" s="304">
        <v>0.99896766602022924</v>
      </c>
      <c r="AG89" s="304">
        <v>0.99982252196436394</v>
      </c>
      <c r="AH89" s="304">
        <v>1.0011284881462372</v>
      </c>
      <c r="AI89" s="304">
        <v>1.0026183510200806</v>
      </c>
      <c r="AJ89" s="304">
        <v>1.0039057180798809</v>
      </c>
      <c r="AK89" s="304">
        <v>1.0048817608726657</v>
      </c>
      <c r="AL89" s="305">
        <v>1.0055881531153954</v>
      </c>
      <c r="AM89" s="305">
        <f t="shared" si="2"/>
        <v>1.0055881531153954</v>
      </c>
      <c r="AN89" s="299"/>
    </row>
    <row r="90" spans="1:60" ht="17.45" customHeight="1" x14ac:dyDescent="0.2">
      <c r="A90" s="303">
        <v>7</v>
      </c>
      <c r="B90" s="304">
        <v>0.95081290985672073</v>
      </c>
      <c r="C90" s="304">
        <v>0.95926786944931741</v>
      </c>
      <c r="D90" s="304">
        <v>0.96828018431712082</v>
      </c>
      <c r="E90" s="304">
        <v>0.97548927530978635</v>
      </c>
      <c r="F90" s="304">
        <v>0.98117425429417493</v>
      </c>
      <c r="G90" s="304">
        <v>0.98573594701656231</v>
      </c>
      <c r="H90" s="304">
        <v>0.98871681245013532</v>
      </c>
      <c r="I90" s="304">
        <v>0.9908917094032712</v>
      </c>
      <c r="J90" s="305">
        <v>0.99294272912073467</v>
      </c>
      <c r="K90" s="304">
        <v>0.99507134545675502</v>
      </c>
      <c r="L90" s="304">
        <v>0.99703634225762294</v>
      </c>
      <c r="M90" s="304">
        <v>0.99872009505509041</v>
      </c>
      <c r="N90" s="304">
        <v>1.0001675385558038</v>
      </c>
      <c r="O90" s="304">
        <v>1.0013298202748262</v>
      </c>
      <c r="P90" s="304">
        <v>1.0022067929211698</v>
      </c>
      <c r="Q90" s="304">
        <v>1.0032160763125197</v>
      </c>
      <c r="R90" s="304">
        <v>1.0039406799828781</v>
      </c>
      <c r="S90" s="305">
        <v>1.0039440981825176</v>
      </c>
      <c r="T90" s="304">
        <v>1.003520539296437</v>
      </c>
      <c r="U90" s="304">
        <v>1.003388314730381</v>
      </c>
      <c r="V90" s="304">
        <v>1.0034589317404077</v>
      </c>
      <c r="W90" s="304">
        <v>1.0035968877949528</v>
      </c>
      <c r="X90" s="304">
        <v>1.0037914311176401</v>
      </c>
      <c r="Y90" s="304">
        <v>1.0040415350066778</v>
      </c>
      <c r="Z90" s="304">
        <v>1.0043488023096285</v>
      </c>
      <c r="AA90" s="304">
        <v>1.0047153889201976</v>
      </c>
      <c r="AB90" s="305">
        <v>1.0051441167234088</v>
      </c>
      <c r="AC90" s="304">
        <v>1.0055956481928301</v>
      </c>
      <c r="AD90" s="304">
        <v>1.0060594943181855</v>
      </c>
      <c r="AE90" s="304">
        <v>1.0065669802341857</v>
      </c>
      <c r="AF90" s="304">
        <v>1.0071365857060193</v>
      </c>
      <c r="AG90" s="304">
        <v>1.0077810364849797</v>
      </c>
      <c r="AH90" s="304">
        <v>1.008512606190797</v>
      </c>
      <c r="AI90" s="304">
        <v>1.0093509853994145</v>
      </c>
      <c r="AJ90" s="304">
        <v>1.0104737171557969</v>
      </c>
      <c r="AK90" s="304">
        <v>1.012015546866829</v>
      </c>
      <c r="AL90" s="305">
        <v>1.0131217518039195</v>
      </c>
      <c r="AM90" s="305">
        <f t="shared" si="2"/>
        <v>1.0131217518039195</v>
      </c>
      <c r="AN90" s="299"/>
    </row>
    <row r="91" spans="1:60" ht="17.45" customHeight="1" x14ac:dyDescent="0.2">
      <c r="A91" s="303">
        <v>8</v>
      </c>
      <c r="B91" s="304">
        <v>0.95305951383067899</v>
      </c>
      <c r="C91" s="304">
        <v>0.96342688708516089</v>
      </c>
      <c r="D91" s="304">
        <v>0.97289745739033251</v>
      </c>
      <c r="E91" s="304">
        <v>0.97985505100514758</v>
      </c>
      <c r="F91" s="304">
        <v>0.98547080189997216</v>
      </c>
      <c r="G91" s="304">
        <v>0.99007291650005957</v>
      </c>
      <c r="H91" s="304">
        <v>0.9932942162615257</v>
      </c>
      <c r="I91" s="304">
        <v>0.99561065969546492</v>
      </c>
      <c r="J91" s="305">
        <v>0.99790068591766246</v>
      </c>
      <c r="K91" s="304">
        <v>1.0001006478555317</v>
      </c>
      <c r="L91" s="304">
        <v>1.0021428782980097</v>
      </c>
      <c r="M91" s="304">
        <v>1.0039233524828846</v>
      </c>
      <c r="N91" s="304">
        <v>1.0054649753326212</v>
      </c>
      <c r="O91" s="304">
        <v>1.0068442424536552</v>
      </c>
      <c r="P91" s="304">
        <v>1.0080018253173819</v>
      </c>
      <c r="Q91" s="304">
        <v>1.0088991312273912</v>
      </c>
      <c r="R91" s="304">
        <v>1.0094998602961722</v>
      </c>
      <c r="S91" s="305">
        <v>1.0099107751743701</v>
      </c>
      <c r="T91" s="304">
        <v>1.0102724927566069</v>
      </c>
      <c r="U91" s="304">
        <v>1.0105976003273125</v>
      </c>
      <c r="V91" s="304">
        <v>1.0108980207127023</v>
      </c>
      <c r="W91" s="304">
        <v>1.0111850939732303</v>
      </c>
      <c r="X91" s="304">
        <v>1.0114698285358887</v>
      </c>
      <c r="Y91" s="304">
        <v>1.0117635093937587</v>
      </c>
      <c r="Z91" s="304">
        <v>1.0120790817920751</v>
      </c>
      <c r="AA91" s="304">
        <v>1.0124343139799734</v>
      </c>
      <c r="AB91" s="305">
        <v>1.0128593957793193</v>
      </c>
      <c r="AC91" s="304">
        <v>1.013346474837898</v>
      </c>
      <c r="AD91" s="304">
        <v>1.0138600302424874</v>
      </c>
      <c r="AE91" s="304">
        <v>1.0144049952176191</v>
      </c>
      <c r="AF91" s="304">
        <v>1.0149844078599797</v>
      </c>
      <c r="AG91" s="304">
        <v>1.0156003894557413</v>
      </c>
      <c r="AH91" s="304">
        <v>1.0162545827184946</v>
      </c>
      <c r="AI91" s="304">
        <v>1.0169483665273871</v>
      </c>
      <c r="AJ91" s="304">
        <v>1.0176829685224715</v>
      </c>
      <c r="AK91" s="304">
        <v>1.0184595273084411</v>
      </c>
      <c r="AL91" s="305">
        <v>1.019279128248114</v>
      </c>
      <c r="AM91" s="305">
        <f t="shared" si="2"/>
        <v>1.019279128248114</v>
      </c>
      <c r="AN91" s="299"/>
    </row>
    <row r="92" spans="1:60" ht="17.45" customHeight="1" x14ac:dyDescent="0.2">
      <c r="A92" s="303">
        <v>9</v>
      </c>
      <c r="B92" s="304">
        <v>0.95459305986350074</v>
      </c>
      <c r="C92" s="304">
        <v>0.96544063878936237</v>
      </c>
      <c r="D92" s="304">
        <v>0.97542606941204746</v>
      </c>
      <c r="E92" s="304">
        <v>0.98259459701601826</v>
      </c>
      <c r="F92" s="304">
        <v>0.98832988166145352</v>
      </c>
      <c r="G92" s="304">
        <v>0.99350958071494988</v>
      </c>
      <c r="H92" s="304">
        <v>0.99725158813144332</v>
      </c>
      <c r="I92" s="304">
        <v>0.99990209001160602</v>
      </c>
      <c r="J92" s="305">
        <v>1.002199184102829</v>
      </c>
      <c r="K92" s="304">
        <v>1.0043546637337484</v>
      </c>
      <c r="L92" s="304">
        <v>1.0064290938784366</v>
      </c>
      <c r="M92" s="304">
        <v>1.0082900953300409</v>
      </c>
      <c r="N92" s="304">
        <v>1.0099166615225705</v>
      </c>
      <c r="O92" s="304">
        <v>1.0114872298017394</v>
      </c>
      <c r="P92" s="304">
        <v>1.0129248188344719</v>
      </c>
      <c r="Q92" s="304">
        <v>1.0139193666570601</v>
      </c>
      <c r="R92" s="304">
        <v>1.0147398303510431</v>
      </c>
      <c r="S92" s="305">
        <v>1.0154678242297432</v>
      </c>
      <c r="T92" s="304">
        <v>1.0161186261011554</v>
      </c>
      <c r="U92" s="304">
        <v>1.0167004109941851</v>
      </c>
      <c r="V92" s="304">
        <v>1.0172250981416524</v>
      </c>
      <c r="W92" s="304">
        <v>1.0177098939250344</v>
      </c>
      <c r="X92" s="304">
        <v>1.0181569486992599</v>
      </c>
      <c r="Y92" s="304">
        <v>1.0185641803523955</v>
      </c>
      <c r="Z92" s="304">
        <v>1.0189484471204722</v>
      </c>
      <c r="AA92" s="304">
        <v>1.01933240125113</v>
      </c>
      <c r="AB92" s="305">
        <v>1.0197648389074083</v>
      </c>
      <c r="AC92" s="304">
        <v>1.020281276878084</v>
      </c>
      <c r="AD92" s="304">
        <v>1.0208199882898652</v>
      </c>
      <c r="AE92" s="304">
        <v>1.0213635911397856</v>
      </c>
      <c r="AF92" s="304">
        <v>1.0219062561954499</v>
      </c>
      <c r="AG92" s="304">
        <v>1.0224444147986649</v>
      </c>
      <c r="AH92" s="304">
        <v>1.0229705770727962</v>
      </c>
      <c r="AI92" s="304">
        <v>1.0234821178033826</v>
      </c>
      <c r="AJ92" s="304">
        <v>1.0239889016021391</v>
      </c>
      <c r="AK92" s="304">
        <v>1.0245101676306383</v>
      </c>
      <c r="AL92" s="305">
        <v>1.0250791409755384</v>
      </c>
      <c r="AM92" s="305">
        <f t="shared" si="2"/>
        <v>1.0250791409755384</v>
      </c>
      <c r="AN92" s="299"/>
    </row>
    <row r="93" spans="1:60" ht="17.45" customHeight="1" x14ac:dyDescent="0.2">
      <c r="A93" s="306">
        <v>10</v>
      </c>
      <c r="B93" s="307">
        <v>0.95534665099882499</v>
      </c>
      <c r="C93" s="307">
        <v>0.96657394563830212</v>
      </c>
      <c r="D93" s="307">
        <v>0.97680916457110933</v>
      </c>
      <c r="E93" s="307">
        <v>0.98425229743847864</v>
      </c>
      <c r="F93" s="307">
        <v>0.99022073204805805</v>
      </c>
      <c r="G93" s="307">
        <v>0.99570578274789201</v>
      </c>
      <c r="H93" s="307">
        <v>1</v>
      </c>
      <c r="I93" s="307">
        <v>1.0031591731479483</v>
      </c>
      <c r="J93" s="308">
        <v>1.00586005522368</v>
      </c>
      <c r="K93" s="307">
        <v>1.0081858160603379</v>
      </c>
      <c r="L93" s="307">
        <v>1.010219625491064</v>
      </c>
      <c r="M93" s="307">
        <v>1.0120446533490013</v>
      </c>
      <c r="N93" s="307">
        <v>1.013629722264731</v>
      </c>
      <c r="O93" s="307">
        <v>1.01494859618472</v>
      </c>
      <c r="P93" s="307">
        <v>1.0160918569159394</v>
      </c>
      <c r="Q93" s="307">
        <v>1.0171500862653602</v>
      </c>
      <c r="R93" s="307">
        <v>1.0182138660399529</v>
      </c>
      <c r="S93" s="308">
        <v>1.0192622902722828</v>
      </c>
      <c r="T93" s="307">
        <v>1.0202194397042441</v>
      </c>
      <c r="U93" s="307">
        <v>1.0210933762068022</v>
      </c>
      <c r="V93" s="307">
        <v>1.0218921616509227</v>
      </c>
      <c r="W93" s="307">
        <v>1.0226238579075706</v>
      </c>
      <c r="X93" s="307">
        <v>1.0232965268477119</v>
      </c>
      <c r="Y93" s="307">
        <v>1.0239182303423113</v>
      </c>
      <c r="Z93" s="307">
        <v>1.0244970302623351</v>
      </c>
      <c r="AA93" s="307">
        <v>1.0250409884787477</v>
      </c>
      <c r="AB93" s="308">
        <v>1.0255581668625147</v>
      </c>
      <c r="AC93" s="307">
        <v>1.0260402253291785</v>
      </c>
      <c r="AD93" s="307">
        <v>1.0264785896959741</v>
      </c>
      <c r="AE93" s="307">
        <v>1.0268809706864077</v>
      </c>
      <c r="AF93" s="307">
        <v>1.0272550790239858</v>
      </c>
      <c r="AG93" s="307">
        <v>1.0276086254322141</v>
      </c>
      <c r="AH93" s="307">
        <v>1.0279493206345991</v>
      </c>
      <c r="AI93" s="307">
        <v>1.0282848753546465</v>
      </c>
      <c r="AJ93" s="307">
        <v>1.0286230003158627</v>
      </c>
      <c r="AK93" s="307">
        <v>1.0289714062417536</v>
      </c>
      <c r="AL93" s="308">
        <v>1.0293378038558256</v>
      </c>
      <c r="AM93" s="308">
        <f t="shared" si="2"/>
        <v>1.0293378038558256</v>
      </c>
      <c r="AN93" s="299"/>
    </row>
    <row r="94" spans="1:60" ht="17.45" customHeight="1" x14ac:dyDescent="0.2">
      <c r="A94" s="303">
        <v>11</v>
      </c>
      <c r="B94" s="304">
        <v>0.95649331856730113</v>
      </c>
      <c r="C94" s="304">
        <v>0.96797980557751129</v>
      </c>
      <c r="D94" s="304">
        <v>0.97828945032144876</v>
      </c>
      <c r="E94" s="304">
        <v>0.98575323317237951</v>
      </c>
      <c r="F94" s="304">
        <v>0.99177218152588975</v>
      </c>
      <c r="G94" s="304">
        <v>0.99748010377454854</v>
      </c>
      <c r="H94" s="304">
        <v>1.0020703899550067</v>
      </c>
      <c r="I94" s="304">
        <v>1.0054040858825291</v>
      </c>
      <c r="J94" s="305">
        <v>1.0083595923141377</v>
      </c>
      <c r="K94" s="304">
        <v>1.0109400284228451</v>
      </c>
      <c r="L94" s="304">
        <v>1.013220638094072</v>
      </c>
      <c r="M94" s="304">
        <v>1.0152278479739396</v>
      </c>
      <c r="N94" s="304">
        <v>1.0167308887280033</v>
      </c>
      <c r="O94" s="304">
        <v>1.0178835135338824</v>
      </c>
      <c r="P94" s="304">
        <v>1.0188692925581397</v>
      </c>
      <c r="Q94" s="304">
        <v>1.0198402338256003</v>
      </c>
      <c r="R94" s="304">
        <v>1.0208668323632575</v>
      </c>
      <c r="S94" s="305">
        <v>1.0220250211913253</v>
      </c>
      <c r="T94" s="304">
        <v>1.0232505948918671</v>
      </c>
      <c r="U94" s="304">
        <v>1.0244192927714459</v>
      </c>
      <c r="V94" s="304">
        <v>1.0254556536802171</v>
      </c>
      <c r="W94" s="304">
        <v>1.0264062404730714</v>
      </c>
      <c r="X94" s="304">
        <v>1.0272905956997951</v>
      </c>
      <c r="Y94" s="304">
        <v>1.0281193821237258</v>
      </c>
      <c r="Z94" s="304">
        <v>1.0288973957461185</v>
      </c>
      <c r="AA94" s="304">
        <v>1.0296200602059737</v>
      </c>
      <c r="AB94" s="305">
        <v>1.0302537592763825</v>
      </c>
      <c r="AC94" s="304">
        <v>1.0307701519919443</v>
      </c>
      <c r="AD94" s="304">
        <v>1.0311923499770419</v>
      </c>
      <c r="AE94" s="304">
        <v>1.0315195927451317</v>
      </c>
      <c r="AF94" s="304">
        <v>1.0317939502655264</v>
      </c>
      <c r="AG94" s="304">
        <v>1.0320343414968491</v>
      </c>
      <c r="AH94" s="304">
        <v>1.0322534988059751</v>
      </c>
      <c r="AI94" s="304">
        <v>1.0324634888749904</v>
      </c>
      <c r="AJ94" s="304">
        <v>1.0326785391885545</v>
      </c>
      <c r="AK94" s="304">
        <v>1.0329202654130072</v>
      </c>
      <c r="AL94" s="305">
        <v>1.0332371174754644</v>
      </c>
      <c r="AM94" s="305">
        <f t="shared" si="2"/>
        <v>1.0332371174754644</v>
      </c>
      <c r="AN94" s="299"/>
    </row>
    <row r="95" spans="1:60" ht="17.45" customHeight="1" x14ac:dyDescent="0.2">
      <c r="A95" s="303">
        <v>12</v>
      </c>
      <c r="B95" s="304">
        <v>0.95766694804429431</v>
      </c>
      <c r="C95" s="304">
        <v>0.96931827209256449</v>
      </c>
      <c r="D95" s="304">
        <v>0.97977611571576384</v>
      </c>
      <c r="E95" s="304">
        <v>0.98708539720783106</v>
      </c>
      <c r="F95" s="304">
        <v>0.99316163191144058</v>
      </c>
      <c r="G95" s="304">
        <v>0.99903711214928403</v>
      </c>
      <c r="H95" s="304">
        <v>1.0039850447358192</v>
      </c>
      <c r="I95" s="304">
        <v>1.0074144076162863</v>
      </c>
      <c r="J95" s="305">
        <v>1.0104744262300662</v>
      </c>
      <c r="K95" s="304">
        <v>1.0132353396188631</v>
      </c>
      <c r="L95" s="304">
        <v>1.0156960070374554</v>
      </c>
      <c r="M95" s="304">
        <v>1.0178246309683316</v>
      </c>
      <c r="N95" s="304">
        <v>1.0193143503822766</v>
      </c>
      <c r="O95" s="304">
        <v>1.0203935065469851</v>
      </c>
      <c r="P95" s="304">
        <v>1.0214271960737769</v>
      </c>
      <c r="Q95" s="304">
        <v>1.0224664905217686</v>
      </c>
      <c r="R95" s="304">
        <v>1.0234854030213534</v>
      </c>
      <c r="S95" s="305">
        <v>1.0246817542756157</v>
      </c>
      <c r="T95" s="304">
        <v>1.0258991008222811</v>
      </c>
      <c r="U95" s="304">
        <v>1.0271524325470622</v>
      </c>
      <c r="V95" s="304">
        <v>1.0284502886732825</v>
      </c>
      <c r="W95" s="304">
        <v>1.0296690504471266</v>
      </c>
      <c r="X95" s="304">
        <v>1.0307418626839198</v>
      </c>
      <c r="Y95" s="304">
        <v>1.0317200717128061</v>
      </c>
      <c r="Z95" s="304">
        <v>1.032622178557127</v>
      </c>
      <c r="AA95" s="304">
        <v>1.0334421280361199</v>
      </c>
      <c r="AB95" s="305">
        <v>1.0341391807135447</v>
      </c>
      <c r="AC95" s="304">
        <v>1.0347008493528536</v>
      </c>
      <c r="AD95" s="304">
        <v>1.0351776267698249</v>
      </c>
      <c r="AE95" s="304">
        <v>1.0355772285272185</v>
      </c>
      <c r="AF95" s="304">
        <v>1.0359031254967626</v>
      </c>
      <c r="AG95" s="304">
        <v>1.0361478492717653</v>
      </c>
      <c r="AH95" s="304">
        <v>1.0363289351237317</v>
      </c>
      <c r="AI95" s="304">
        <v>1.0364757494613528</v>
      </c>
      <c r="AJ95" s="304">
        <v>1.0366198185184079</v>
      </c>
      <c r="AK95" s="304">
        <v>1.0368051730444332</v>
      </c>
      <c r="AL95" s="305">
        <v>1.0371080713822067</v>
      </c>
      <c r="AM95" s="305">
        <f t="shared" si="2"/>
        <v>1.0371080713822067</v>
      </c>
      <c r="AN95" s="299"/>
    </row>
    <row r="96" spans="1:60" ht="17.45" customHeight="1" x14ac:dyDescent="0.2">
      <c r="A96" s="303">
        <v>13</v>
      </c>
      <c r="B96" s="304">
        <v>0.95882087145639039</v>
      </c>
      <c r="C96" s="304">
        <v>0.97024044135245124</v>
      </c>
      <c r="D96" s="304">
        <v>0.98119321660875658</v>
      </c>
      <c r="E96" s="304">
        <v>0.98823194858182428</v>
      </c>
      <c r="F96" s="304">
        <v>0.99445951232036733</v>
      </c>
      <c r="G96" s="304">
        <v>1.0003821075492589</v>
      </c>
      <c r="H96" s="304">
        <v>1.0057458206378358</v>
      </c>
      <c r="I96" s="304">
        <v>1.0092866299468581</v>
      </c>
      <c r="J96" s="305">
        <v>1.0124089171138082</v>
      </c>
      <c r="K96" s="304">
        <v>1.0151928998995585</v>
      </c>
      <c r="L96" s="304">
        <v>1.0177464421935287</v>
      </c>
      <c r="M96" s="304">
        <v>1.0199755275785747</v>
      </c>
      <c r="N96" s="304">
        <v>1.0214958527933007</v>
      </c>
      <c r="O96" s="304">
        <v>1.0227297640883544</v>
      </c>
      <c r="P96" s="304">
        <v>1.0239476523453848</v>
      </c>
      <c r="Q96" s="304">
        <v>1.0249803852390269</v>
      </c>
      <c r="R96" s="304">
        <v>1.0260425552820416</v>
      </c>
      <c r="S96" s="305">
        <v>1.0272852616241501</v>
      </c>
      <c r="T96" s="304">
        <v>1.0285274121089087</v>
      </c>
      <c r="U96" s="304">
        <v>1.029770675370381</v>
      </c>
      <c r="V96" s="304">
        <v>1.0310151045020088</v>
      </c>
      <c r="W96" s="304">
        <v>1.0322609374551623</v>
      </c>
      <c r="X96" s="304">
        <v>1.0335111714952507</v>
      </c>
      <c r="Y96" s="304">
        <v>1.0346671819237168</v>
      </c>
      <c r="Z96" s="304">
        <v>1.0356764877618923</v>
      </c>
      <c r="AA96" s="304">
        <v>1.0365698187878445</v>
      </c>
      <c r="AB96" s="305">
        <v>1.0373219293280271</v>
      </c>
      <c r="AC96" s="304">
        <v>1.0379288762133567</v>
      </c>
      <c r="AD96" s="304">
        <v>1.0384414518907645</v>
      </c>
      <c r="AE96" s="304">
        <v>1.0388733914507327</v>
      </c>
      <c r="AF96" s="304">
        <v>1.0392415292110955</v>
      </c>
      <c r="AG96" s="304">
        <v>1.0395627856698622</v>
      </c>
      <c r="AH96" s="304">
        <v>1.0398512190931692</v>
      </c>
      <c r="AI96" s="304">
        <v>1.0400735419701894</v>
      </c>
      <c r="AJ96" s="304">
        <v>1.040232944474041</v>
      </c>
      <c r="AK96" s="304">
        <v>1.0404061471491048</v>
      </c>
      <c r="AL96" s="305">
        <v>1.0407058144137484</v>
      </c>
      <c r="AM96" s="305">
        <f t="shared" si="2"/>
        <v>1.0407058144137484</v>
      </c>
      <c r="AN96" s="299"/>
    </row>
    <row r="97" spans="1:40" ht="17.45" customHeight="1" x14ac:dyDescent="0.2">
      <c r="A97" s="303">
        <v>14</v>
      </c>
      <c r="B97" s="304">
        <v>0.95990842083017469</v>
      </c>
      <c r="C97" s="304">
        <v>0.97148243021850034</v>
      </c>
      <c r="D97" s="304">
        <v>0.98246480885512932</v>
      </c>
      <c r="E97" s="304">
        <v>0.98973050841892929</v>
      </c>
      <c r="F97" s="304">
        <v>0.9957362518683267</v>
      </c>
      <c r="G97" s="304">
        <v>1.0019645169597791</v>
      </c>
      <c r="H97" s="304">
        <v>1.0073545739564547</v>
      </c>
      <c r="I97" s="304">
        <v>1.0110084806729938</v>
      </c>
      <c r="J97" s="305">
        <v>1.014220301731946</v>
      </c>
      <c r="K97" s="304">
        <v>1.0170389815954444</v>
      </c>
      <c r="L97" s="304">
        <v>1.0195413857479534</v>
      </c>
      <c r="M97" s="304">
        <v>1.0218210630510645</v>
      </c>
      <c r="N97" s="304">
        <v>1.0235029491732042</v>
      </c>
      <c r="O97" s="304">
        <v>1.0250296818960436</v>
      </c>
      <c r="P97" s="304">
        <v>1.026300946381282</v>
      </c>
      <c r="Q97" s="304">
        <v>1.0273897440452093</v>
      </c>
      <c r="R97" s="304">
        <v>1.0285112664131235</v>
      </c>
      <c r="S97" s="305">
        <v>1.0298028221196716</v>
      </c>
      <c r="T97" s="304">
        <v>1.0310819765029722</v>
      </c>
      <c r="U97" s="304">
        <v>1.0323397931720819</v>
      </c>
      <c r="V97" s="304">
        <v>1.0335699847535562</v>
      </c>
      <c r="W97" s="304">
        <v>1.0347675316580354</v>
      </c>
      <c r="X97" s="304">
        <v>1.0359282401620482</v>
      </c>
      <c r="Y97" s="304">
        <v>1.0370491672550697</v>
      </c>
      <c r="Z97" s="304">
        <v>1.0381314674688238</v>
      </c>
      <c r="AA97" s="304">
        <v>1.0391050480116777</v>
      </c>
      <c r="AB97" s="305">
        <v>1.0399095032738548</v>
      </c>
      <c r="AC97" s="304">
        <v>1.0405630354255602</v>
      </c>
      <c r="AD97" s="304">
        <v>1.041110456629754</v>
      </c>
      <c r="AE97" s="304">
        <v>1.0415659433417703</v>
      </c>
      <c r="AF97" s="304">
        <v>1.041949401509352</v>
      </c>
      <c r="AG97" s="304">
        <v>1.0422823351219572</v>
      </c>
      <c r="AH97" s="304">
        <v>1.0425867622181855</v>
      </c>
      <c r="AI97" s="304">
        <v>1.0428847020589171</v>
      </c>
      <c r="AJ97" s="304">
        <v>1.0431973564377548</v>
      </c>
      <c r="AK97" s="304">
        <v>1.0434697800756179</v>
      </c>
      <c r="AL97" s="305">
        <v>1.043785495407785</v>
      </c>
      <c r="AM97" s="305">
        <f t="shared" si="2"/>
        <v>1.043785495407785</v>
      </c>
      <c r="AN97" s="299"/>
    </row>
    <row r="98" spans="1:40" ht="17.45" customHeight="1" x14ac:dyDescent="0.2">
      <c r="A98" s="306">
        <v>15</v>
      </c>
      <c r="B98" s="307">
        <v>0.96088292819223253</v>
      </c>
      <c r="C98" s="307">
        <v>0.97261973498380849</v>
      </c>
      <c r="D98" s="307">
        <v>0.98351494830958364</v>
      </c>
      <c r="E98" s="307">
        <v>0.99111085573300617</v>
      </c>
      <c r="F98" s="307">
        <v>0.99706227967097527</v>
      </c>
      <c r="G98" s="307">
        <v>1.003476415252309</v>
      </c>
      <c r="H98" s="307">
        <v>1.0088131609870741</v>
      </c>
      <c r="I98" s="307">
        <v>1.0125586117477954</v>
      </c>
      <c r="J98" s="308">
        <v>1.0158440668884201</v>
      </c>
      <c r="K98" s="307">
        <v>1.0187256568131966</v>
      </c>
      <c r="L98" s="307">
        <v>1.0212595119263732</v>
      </c>
      <c r="M98" s="307">
        <v>1.0235017626321976</v>
      </c>
      <c r="N98" s="307">
        <v>1.0254630740915163</v>
      </c>
      <c r="O98" s="307">
        <v>1.0271218354362808</v>
      </c>
      <c r="P98" s="307">
        <v>1.0285021527233282</v>
      </c>
      <c r="Q98" s="307">
        <v>1.0296781207839749</v>
      </c>
      <c r="R98" s="307">
        <v>1.0308645136824</v>
      </c>
      <c r="S98" s="308">
        <v>1.0322056726229674</v>
      </c>
      <c r="T98" s="307">
        <v>1.0335257586504338</v>
      </c>
      <c r="U98" s="307">
        <v>1.0348067618824621</v>
      </c>
      <c r="V98" s="307">
        <v>1.0360375106559978</v>
      </c>
      <c r="W98" s="307">
        <v>1.0372102460633637</v>
      </c>
      <c r="X98" s="307">
        <v>1.0383188839481488</v>
      </c>
      <c r="Y98" s="307">
        <v>1.0393581133791374</v>
      </c>
      <c r="Z98" s="307">
        <v>1.0403229243771273</v>
      </c>
      <c r="AA98" s="307">
        <v>1.0412083618131911</v>
      </c>
      <c r="AB98" s="308">
        <v>1.0420094007050529</v>
      </c>
      <c r="AC98" s="307">
        <v>1.0426974916350076</v>
      </c>
      <c r="AD98" s="307">
        <v>1.0432627223236213</v>
      </c>
      <c r="AE98" s="307">
        <v>1.0437279316380412</v>
      </c>
      <c r="AF98" s="307">
        <v>1.0441159584454165</v>
      </c>
      <c r="AG98" s="307">
        <v>1.0444496416128946</v>
      </c>
      <c r="AH98" s="307">
        <v>1.0447518200076238</v>
      </c>
      <c r="AI98" s="307">
        <v>1.0450453324967519</v>
      </c>
      <c r="AJ98" s="307">
        <v>1.0453530179474275</v>
      </c>
      <c r="AK98" s="307">
        <v>1.0456977152267979</v>
      </c>
      <c r="AL98" s="308">
        <v>1.0461022632020116</v>
      </c>
      <c r="AM98" s="308">
        <f t="shared" si="2"/>
        <v>1.0461022632020116</v>
      </c>
      <c r="AN98" s="299"/>
    </row>
    <row r="99" spans="1:40" ht="17.45" customHeight="1" x14ac:dyDescent="0.2">
      <c r="A99" s="303">
        <v>16</v>
      </c>
      <c r="B99" s="304">
        <v>0.96154334094902538</v>
      </c>
      <c r="C99" s="304">
        <v>0.97340062052123943</v>
      </c>
      <c r="D99" s="304">
        <v>0.9844640089839467</v>
      </c>
      <c r="E99" s="304">
        <v>0.99243765702587494</v>
      </c>
      <c r="F99" s="304">
        <v>0.99846735652887486</v>
      </c>
      <c r="G99" s="304">
        <v>1.0050116025466305</v>
      </c>
      <c r="H99" s="304">
        <v>1.0101202800998499</v>
      </c>
      <c r="I99" s="304">
        <v>1.0137992212508049</v>
      </c>
      <c r="J99" s="305">
        <v>1.0170831114566847</v>
      </c>
      <c r="K99" s="304">
        <v>1.0199870354794009</v>
      </c>
      <c r="L99" s="304">
        <v>1.0226020723754867</v>
      </c>
      <c r="M99" s="304">
        <v>1.025015110372111</v>
      </c>
      <c r="N99" s="304">
        <v>1.0271672542107328</v>
      </c>
      <c r="O99" s="304">
        <v>1.029008862490983</v>
      </c>
      <c r="P99" s="304">
        <v>1.0305364979772373</v>
      </c>
      <c r="Q99" s="304">
        <v>1.0318212432142304</v>
      </c>
      <c r="R99" s="304">
        <v>1.0330752743576719</v>
      </c>
      <c r="S99" s="305">
        <v>1.0344657882186477</v>
      </c>
      <c r="T99" s="304">
        <v>1.0358254399246298</v>
      </c>
      <c r="U99" s="304">
        <v>1.0371270873277061</v>
      </c>
      <c r="V99" s="304">
        <v>1.0383550018334151</v>
      </c>
      <c r="W99" s="304">
        <v>1.0394990251986755</v>
      </c>
      <c r="X99" s="304">
        <v>1.040551443269311</v>
      </c>
      <c r="Y99" s="304">
        <v>1.0415047463447644</v>
      </c>
      <c r="Z99" s="304">
        <v>1.0423478289105828</v>
      </c>
      <c r="AA99" s="304">
        <v>1.0431090759025117</v>
      </c>
      <c r="AB99" s="305">
        <v>1.0438566404199423</v>
      </c>
      <c r="AC99" s="304">
        <v>1.0445462787059496</v>
      </c>
      <c r="AD99" s="304">
        <v>1.0451055178190241</v>
      </c>
      <c r="AE99" s="304">
        <v>1.0455635731676907</v>
      </c>
      <c r="AF99" s="304">
        <v>1.0459442479435421</v>
      </c>
      <c r="AG99" s="304">
        <v>1.0462707525749708</v>
      </c>
      <c r="AH99" s="304">
        <v>1.0465662427320037</v>
      </c>
      <c r="AI99" s="304">
        <v>1.0468540987750616</v>
      </c>
      <c r="AJ99" s="304">
        <v>1.0471586585791199</v>
      </c>
      <c r="AK99" s="304">
        <v>1.0475101349050908</v>
      </c>
      <c r="AL99" s="305">
        <v>1.0479357480590032</v>
      </c>
      <c r="AM99" s="305">
        <f t="shared" si="2"/>
        <v>1.0479357480590032</v>
      </c>
      <c r="AN99" s="299"/>
    </row>
    <row r="100" spans="1:40" ht="17.45" customHeight="1" x14ac:dyDescent="0.2">
      <c r="A100" s="303">
        <v>17</v>
      </c>
      <c r="B100" s="304">
        <v>0.96183302580630148</v>
      </c>
      <c r="C100" s="304">
        <v>0.97384765313998534</v>
      </c>
      <c r="D100" s="304">
        <v>0.98539932799536656</v>
      </c>
      <c r="E100" s="304">
        <v>0.99371949036344009</v>
      </c>
      <c r="F100" s="304">
        <v>0.99986898046411876</v>
      </c>
      <c r="G100" s="304">
        <v>1.0065079819280021</v>
      </c>
      <c r="H100" s="304">
        <v>1.011285087006988</v>
      </c>
      <c r="I100" s="304">
        <v>1.0148276282512376</v>
      </c>
      <c r="J100" s="305">
        <v>1.018047737466341</v>
      </c>
      <c r="K100" s="304">
        <v>1.020990705963122</v>
      </c>
      <c r="L100" s="304">
        <v>1.0237385839259316</v>
      </c>
      <c r="M100" s="304">
        <v>1.0262695591771709</v>
      </c>
      <c r="N100" s="304">
        <v>1.0285855993912525</v>
      </c>
      <c r="O100" s="304">
        <v>1.0306439482961225</v>
      </c>
      <c r="P100" s="304">
        <v>1.0323681214001079</v>
      </c>
      <c r="Q100" s="304">
        <v>1.033789954892814</v>
      </c>
      <c r="R100" s="304">
        <v>1.0351165257067403</v>
      </c>
      <c r="S100" s="305">
        <v>1.0365549780329379</v>
      </c>
      <c r="T100" s="304">
        <v>1.0379469027535762</v>
      </c>
      <c r="U100" s="304">
        <v>1.0392545548165042</v>
      </c>
      <c r="V100" s="304">
        <v>1.0404570308646861</v>
      </c>
      <c r="W100" s="304">
        <v>1.0415399986038811</v>
      </c>
      <c r="X100" s="304">
        <v>1.0424892804973784</v>
      </c>
      <c r="Y100" s="304">
        <v>1.0433316341717094</v>
      </c>
      <c r="Z100" s="304">
        <v>1.0441158879879091</v>
      </c>
      <c r="AA100" s="304">
        <v>1.0448626357141271</v>
      </c>
      <c r="AB100" s="305">
        <v>1.0456166644915375</v>
      </c>
      <c r="AC100" s="304">
        <v>1.0463124407236473</v>
      </c>
      <c r="AD100" s="304">
        <v>1.0468651754187945</v>
      </c>
      <c r="AE100" s="304">
        <v>1.0473128187328054</v>
      </c>
      <c r="AF100" s="304">
        <v>1.0476823945820111</v>
      </c>
      <c r="AG100" s="304">
        <v>1.047998969549808</v>
      </c>
      <c r="AH100" s="304">
        <v>1.0482877278445917</v>
      </c>
      <c r="AI100" s="304">
        <v>1.0485758554144233</v>
      </c>
      <c r="AJ100" s="304">
        <v>1.0488984486210116</v>
      </c>
      <c r="AK100" s="304">
        <v>1.0493122760902949</v>
      </c>
      <c r="AL100" s="305">
        <v>1.0497258902235758</v>
      </c>
      <c r="AM100" s="305">
        <f t="shared" si="2"/>
        <v>1.0497258902235758</v>
      </c>
      <c r="AN100" s="299"/>
    </row>
    <row r="101" spans="1:40" ht="17.45" customHeight="1" x14ac:dyDescent="0.2">
      <c r="A101" s="303">
        <v>18</v>
      </c>
      <c r="B101" s="304">
        <v>0.96192194373957784</v>
      </c>
      <c r="C101" s="304">
        <v>0.97398571260098399</v>
      </c>
      <c r="D101" s="304">
        <v>0.98619540585652898</v>
      </c>
      <c r="E101" s="304">
        <v>0.99452746357986643</v>
      </c>
      <c r="F101" s="304">
        <v>1.0011691864246621</v>
      </c>
      <c r="G101" s="304">
        <v>1.0075958383424033</v>
      </c>
      <c r="H101" s="304">
        <v>1.0123251240169626</v>
      </c>
      <c r="I101" s="304">
        <v>1.0157241643824775</v>
      </c>
      <c r="J101" s="305">
        <v>1.018889114173825</v>
      </c>
      <c r="K101" s="304">
        <v>1.0218639953821429</v>
      </c>
      <c r="L101" s="304">
        <v>1.0246588135085222</v>
      </c>
      <c r="M101" s="304">
        <v>1.0272869101088773</v>
      </c>
      <c r="N101" s="304">
        <v>1.0297346781731558</v>
      </c>
      <c r="O101" s="304">
        <v>1.0319694396923795</v>
      </c>
      <c r="P101" s="304">
        <v>1.0339330199764982</v>
      </c>
      <c r="Q101" s="304">
        <v>1.0355477301659917</v>
      </c>
      <c r="R101" s="304">
        <v>1.0369612449974066</v>
      </c>
      <c r="S101" s="305">
        <v>1.0384437467572845</v>
      </c>
      <c r="T101" s="304">
        <v>1.0398498272302543</v>
      </c>
      <c r="U101" s="304">
        <v>1.0411294263800639</v>
      </c>
      <c r="V101" s="304">
        <v>1.0422558775583777</v>
      </c>
      <c r="W101" s="304">
        <v>1.0432513283459295</v>
      </c>
      <c r="X101" s="304">
        <v>1.0441603447872621</v>
      </c>
      <c r="Y101" s="304">
        <v>1.0449962476379595</v>
      </c>
      <c r="Z101" s="304">
        <v>1.0457758991085746</v>
      </c>
      <c r="AA101" s="304">
        <v>1.0465248245236802</v>
      </c>
      <c r="AB101" s="305">
        <v>1.0472926059859045</v>
      </c>
      <c r="AC101" s="304">
        <v>1.0479960648668822</v>
      </c>
      <c r="AD101" s="304">
        <v>1.0485432667830095</v>
      </c>
      <c r="AE101" s="304">
        <v>1.0489803179614057</v>
      </c>
      <c r="AF101" s="304">
        <v>1.0493391519773938</v>
      </c>
      <c r="AG101" s="304">
        <v>1.0496488007242275</v>
      </c>
      <c r="AH101" s="304">
        <v>1.0499397184422303</v>
      </c>
      <c r="AI101" s="304">
        <v>1.0502496861335686</v>
      </c>
      <c r="AJ101" s="304">
        <v>1.0506442487686511</v>
      </c>
      <c r="AK101" s="304">
        <v>1.0510616596692468</v>
      </c>
      <c r="AL101" s="305">
        <v>1.0514683035067889</v>
      </c>
      <c r="AM101" s="305">
        <f t="shared" si="2"/>
        <v>1.0514683035067889</v>
      </c>
      <c r="AN101" s="299"/>
    </row>
    <row r="102" spans="1:40" ht="17.45" customHeight="1" x14ac:dyDescent="0.2">
      <c r="A102" s="303">
        <v>19</v>
      </c>
      <c r="B102" s="304">
        <v>0.9619800557243714</v>
      </c>
      <c r="C102" s="304">
        <v>0.97465496842810229</v>
      </c>
      <c r="D102" s="304">
        <v>0.98672674308011876</v>
      </c>
      <c r="E102" s="304">
        <v>0.99525369035568811</v>
      </c>
      <c r="F102" s="304">
        <v>1.0022700093584602</v>
      </c>
      <c r="G102" s="304">
        <v>1.0086009023174616</v>
      </c>
      <c r="H102" s="304">
        <v>1.0132579334382481</v>
      </c>
      <c r="I102" s="304">
        <v>1.0165187477863169</v>
      </c>
      <c r="J102" s="305">
        <v>1.0196169116313716</v>
      </c>
      <c r="K102" s="304">
        <v>1.0225846248187893</v>
      </c>
      <c r="L102" s="304">
        <v>1.0254287312120054</v>
      </c>
      <c r="M102" s="304">
        <v>1.0281341731301321</v>
      </c>
      <c r="N102" s="304">
        <v>1.0306788272746827</v>
      </c>
      <c r="O102" s="304">
        <v>1.0330361531672714</v>
      </c>
      <c r="P102" s="304">
        <v>1.0351729336096529</v>
      </c>
      <c r="Q102" s="304">
        <v>1.0370356443399924</v>
      </c>
      <c r="R102" s="304">
        <v>1.0385824094974714</v>
      </c>
      <c r="S102" s="305">
        <v>1.0400964512765065</v>
      </c>
      <c r="T102" s="304">
        <v>1.0414697421865178</v>
      </c>
      <c r="U102" s="304">
        <v>1.042689653637273</v>
      </c>
      <c r="V102" s="304">
        <v>1.0437963925324851</v>
      </c>
      <c r="W102" s="304">
        <v>1.0448013590232328</v>
      </c>
      <c r="X102" s="304">
        <v>1.0457170559653264</v>
      </c>
      <c r="Y102" s="304">
        <v>1.0465582247282523</v>
      </c>
      <c r="Z102" s="304">
        <v>1.0473441047577943</v>
      </c>
      <c r="AA102" s="304">
        <v>1.0481034963838554</v>
      </c>
      <c r="AB102" s="305">
        <v>1.0488875979691079</v>
      </c>
      <c r="AC102" s="304">
        <v>1.0495994921068743</v>
      </c>
      <c r="AD102" s="304">
        <v>1.0501425258497716</v>
      </c>
      <c r="AE102" s="304">
        <v>1.0505708553136524</v>
      </c>
      <c r="AF102" s="304">
        <v>1.050922998219163</v>
      </c>
      <c r="AG102" s="304">
        <v>1.051234773674721</v>
      </c>
      <c r="AH102" s="304">
        <v>1.0515469205182155</v>
      </c>
      <c r="AI102" s="304">
        <v>1.0519188558397858</v>
      </c>
      <c r="AJ102" s="304">
        <v>1.0523717555845349</v>
      </c>
      <c r="AK102" s="304">
        <v>1.0527517279999572</v>
      </c>
      <c r="AL102" s="305">
        <v>1.0531586017197005</v>
      </c>
      <c r="AM102" s="305">
        <f t="shared" si="2"/>
        <v>1.0531586017197005</v>
      </c>
      <c r="AN102" s="299"/>
    </row>
    <row r="103" spans="1:40" ht="17.45" customHeight="1" x14ac:dyDescent="0.2">
      <c r="A103" s="306">
        <v>20</v>
      </c>
      <c r="B103" s="307">
        <v>0.96217732273619894</v>
      </c>
      <c r="C103" s="307">
        <v>0.97512486700638834</v>
      </c>
      <c r="D103" s="307">
        <v>0.9868678401788209</v>
      </c>
      <c r="E103" s="307">
        <v>0.99571852164744468</v>
      </c>
      <c r="F103" s="307">
        <v>1.0030734842134674</v>
      </c>
      <c r="G103" s="307">
        <v>1.009466196503221</v>
      </c>
      <c r="H103" s="307">
        <v>1.0141010575793186</v>
      </c>
      <c r="I103" s="307">
        <v>1.0172509662747506</v>
      </c>
      <c r="J103" s="308">
        <v>1.0203409678428579</v>
      </c>
      <c r="K103" s="307">
        <v>1.0233464678892292</v>
      </c>
      <c r="L103" s="307">
        <v>1.0262428720194547</v>
      </c>
      <c r="M103" s="307">
        <v>1.0290055858391229</v>
      </c>
      <c r="N103" s="307">
        <v>1.0316100149538237</v>
      </c>
      <c r="O103" s="307">
        <v>1.0340315649691458</v>
      </c>
      <c r="P103" s="307">
        <v>1.0362456414906793</v>
      </c>
      <c r="Q103" s="307">
        <v>1.0382276501240129</v>
      </c>
      <c r="R103" s="307">
        <v>1.0399529964747356</v>
      </c>
      <c r="S103" s="308">
        <v>1.0414686412135397</v>
      </c>
      <c r="T103" s="307">
        <v>1.0428448546135853</v>
      </c>
      <c r="U103" s="307">
        <v>1.0440922071246814</v>
      </c>
      <c r="V103" s="307">
        <v>1.0452217221559976</v>
      </c>
      <c r="W103" s="307">
        <v>1.0462452486171538</v>
      </c>
      <c r="X103" s="307">
        <v>1.0471761223926457</v>
      </c>
      <c r="Y103" s="307">
        <v>1.0480303834579907</v>
      </c>
      <c r="Z103" s="307">
        <v>1.0488291259287297</v>
      </c>
      <c r="AA103" s="307">
        <v>1.0496033376769018</v>
      </c>
      <c r="AB103" s="308">
        <v>1.0504047735072151</v>
      </c>
      <c r="AC103" s="307">
        <v>1.0511255998522719</v>
      </c>
      <c r="AD103" s="307">
        <v>1.0516662405565809</v>
      </c>
      <c r="AE103" s="307">
        <v>1.0520896587134048</v>
      </c>
      <c r="AF103" s="307">
        <v>1.0524431577879703</v>
      </c>
      <c r="AG103" s="307">
        <v>1.0527732565501511</v>
      </c>
      <c r="AH103" s="307">
        <v>1.0531383397055998</v>
      </c>
      <c r="AI103" s="307">
        <v>1.0536105976878298</v>
      </c>
      <c r="AJ103" s="307">
        <v>1.0540180671956993</v>
      </c>
      <c r="AK103" s="307">
        <v>1.0543824838677691</v>
      </c>
      <c r="AL103" s="308">
        <v>1.0547923986733709</v>
      </c>
      <c r="AM103" s="308">
        <f t="shared" si="2"/>
        <v>1.0547923986733709</v>
      </c>
      <c r="AN103" s="299"/>
    </row>
    <row r="104" spans="1:40" ht="17.45" customHeight="1" x14ac:dyDescent="0.2">
      <c r="A104" s="303">
        <v>21</v>
      </c>
      <c r="B104" s="304">
        <v>0.96247146892677438</v>
      </c>
      <c r="C104" s="304">
        <v>0.97525967698278182</v>
      </c>
      <c r="D104" s="304">
        <v>0.98670696257740964</v>
      </c>
      <c r="E104" s="304">
        <v>0.99588439866120826</v>
      </c>
      <c r="F104" s="304">
        <v>1.0035917110132275</v>
      </c>
      <c r="G104" s="304">
        <v>1.0100789795299596</v>
      </c>
      <c r="H104" s="304">
        <v>1.0148584098411446</v>
      </c>
      <c r="I104" s="304">
        <v>1.0180959950799475</v>
      </c>
      <c r="J104" s="305">
        <v>1.0212153866223979</v>
      </c>
      <c r="K104" s="304">
        <v>1.0242600532662158</v>
      </c>
      <c r="L104" s="304">
        <v>1.0271986375081361</v>
      </c>
      <c r="M104" s="304">
        <v>1.0300045530076289</v>
      </c>
      <c r="N104" s="304">
        <v>1.0326521758223401</v>
      </c>
      <c r="O104" s="304">
        <v>1.0351158766766719</v>
      </c>
      <c r="P104" s="304">
        <v>1.0373690457010778</v>
      </c>
      <c r="Q104" s="304">
        <v>1.0393802314908769</v>
      </c>
      <c r="R104" s="304">
        <v>1.0411161118060874</v>
      </c>
      <c r="S104" s="305">
        <v>1.0426872071578717</v>
      </c>
      <c r="T104" s="304">
        <v>1.0441041675094571</v>
      </c>
      <c r="U104" s="304">
        <v>1.045386729948625</v>
      </c>
      <c r="V104" s="304">
        <v>1.0465463602909566</v>
      </c>
      <c r="W104" s="304">
        <v>1.0475953802652485</v>
      </c>
      <c r="X104" s="304">
        <v>1.048547823194127</v>
      </c>
      <c r="Y104" s="304">
        <v>1.0494207540599141</v>
      </c>
      <c r="Z104" s="304">
        <v>1.0502366685070359</v>
      </c>
      <c r="AA104" s="304">
        <v>1.0510281205577165</v>
      </c>
      <c r="AB104" s="305">
        <v>1.0518472656662909</v>
      </c>
      <c r="AC104" s="304">
        <v>1.05257746791412</v>
      </c>
      <c r="AD104" s="304">
        <v>1.0531181200927275</v>
      </c>
      <c r="AE104" s="304">
        <v>1.0535427607814616</v>
      </c>
      <c r="AF104" s="304">
        <v>1.053910660485087</v>
      </c>
      <c r="AG104" s="304">
        <v>1.0542845988143439</v>
      </c>
      <c r="AH104" s="304">
        <v>1.0547512734959952</v>
      </c>
      <c r="AI104" s="304">
        <v>1.0552203424467774</v>
      </c>
      <c r="AJ104" s="304">
        <v>1.0555915121007193</v>
      </c>
      <c r="AK104" s="304">
        <v>1.0559510130855323</v>
      </c>
      <c r="AL104" s="305">
        <v>1.0563653081788582</v>
      </c>
      <c r="AM104" s="305">
        <f t="shared" si="2"/>
        <v>1.0563653081788582</v>
      </c>
      <c r="AN104" s="299"/>
    </row>
    <row r="105" spans="1:40" ht="17.45" customHeight="1" x14ac:dyDescent="0.2">
      <c r="A105" s="303">
        <v>22</v>
      </c>
      <c r="B105" s="304">
        <v>0.96271367955192355</v>
      </c>
      <c r="C105" s="304">
        <v>0.97539685655294694</v>
      </c>
      <c r="D105" s="304">
        <v>0.98643863330115844</v>
      </c>
      <c r="E105" s="304">
        <v>0.99588767386160826</v>
      </c>
      <c r="F105" s="304">
        <v>1.0039111600753667</v>
      </c>
      <c r="G105" s="304">
        <v>1.0105461338601827</v>
      </c>
      <c r="H105" s="304">
        <v>1.0155281497776454</v>
      </c>
      <c r="I105" s="304">
        <v>1.0189986739790262</v>
      </c>
      <c r="J105" s="305">
        <v>1.0220945303937872</v>
      </c>
      <c r="K105" s="304">
        <v>1.0251534754139846</v>
      </c>
      <c r="L105" s="304">
        <v>1.0281206619373777</v>
      </c>
      <c r="M105" s="304">
        <v>1.0309604621194466</v>
      </c>
      <c r="N105" s="304">
        <v>1.0336419257200196</v>
      </c>
      <c r="O105" s="304">
        <v>1.0361340768239933</v>
      </c>
      <c r="P105" s="304">
        <v>1.0384011820343513</v>
      </c>
      <c r="Q105" s="304">
        <v>1.0403880433581225</v>
      </c>
      <c r="R105" s="304">
        <v>1.0421416828731471</v>
      </c>
      <c r="S105" s="305">
        <v>1.0437703186169822</v>
      </c>
      <c r="T105" s="304">
        <v>1.0452523861239271</v>
      </c>
      <c r="U105" s="304">
        <v>1.0465797039684728</v>
      </c>
      <c r="V105" s="304">
        <v>1.0477773150734073</v>
      </c>
      <c r="W105" s="304">
        <v>1.0488586433349445</v>
      </c>
      <c r="X105" s="304">
        <v>1.0498384764939654</v>
      </c>
      <c r="Y105" s="304">
        <v>1.0507347439150814</v>
      </c>
      <c r="Z105" s="304">
        <v>1.0515710582594964</v>
      </c>
      <c r="AA105" s="304">
        <v>1.0523812606454446</v>
      </c>
      <c r="AB105" s="305">
        <v>1.0532182075124012</v>
      </c>
      <c r="AC105" s="304">
        <v>1.0539582958712357</v>
      </c>
      <c r="AD105" s="304">
        <v>1.0545023599453873</v>
      </c>
      <c r="AE105" s="304">
        <v>1.0549375635732507</v>
      </c>
      <c r="AF105" s="304">
        <v>1.0553398600353288</v>
      </c>
      <c r="AG105" s="304">
        <v>1.0557963570031363</v>
      </c>
      <c r="AH105" s="304">
        <v>1.0563294172794864</v>
      </c>
      <c r="AI105" s="304">
        <v>1.0567399768392627</v>
      </c>
      <c r="AJ105" s="304">
        <v>1.0570932205548567</v>
      </c>
      <c r="AK105" s="304">
        <v>1.0574535721102085</v>
      </c>
      <c r="AL105" s="305">
        <v>1.0578729440472214</v>
      </c>
      <c r="AM105" s="305">
        <f t="shared" si="2"/>
        <v>1.0578729440472214</v>
      </c>
      <c r="AN105" s="299"/>
    </row>
    <row r="106" spans="1:40" ht="17.45" customHeight="1" x14ac:dyDescent="0.2">
      <c r="A106" s="303">
        <v>23</v>
      </c>
      <c r="B106" s="304">
        <v>0.9629141072433316</v>
      </c>
      <c r="C106" s="304">
        <v>0.97548022976026705</v>
      </c>
      <c r="D106" s="304">
        <v>0.9860958461630428</v>
      </c>
      <c r="E106" s="304">
        <v>0.9957757035696615</v>
      </c>
      <c r="F106" s="304">
        <v>1.0040570013535701</v>
      </c>
      <c r="G106" s="304">
        <v>1.010918301352103</v>
      </c>
      <c r="H106" s="304">
        <v>1.0161191889267194</v>
      </c>
      <c r="I106" s="304">
        <v>1.0198890897625674</v>
      </c>
      <c r="J106" s="305">
        <v>1.0230087736351681</v>
      </c>
      <c r="K106" s="304">
        <v>1.0260448999524729</v>
      </c>
      <c r="L106" s="304">
        <v>1.0290170243226757</v>
      </c>
      <c r="M106" s="304">
        <v>1.0318727344084397</v>
      </c>
      <c r="N106" s="304">
        <v>1.0345700262103241</v>
      </c>
      <c r="O106" s="304">
        <v>1.0370668404382843</v>
      </c>
      <c r="P106" s="304">
        <v>1.0393105489969137</v>
      </c>
      <c r="Q106" s="304">
        <v>1.0412516974939412</v>
      </c>
      <c r="R106" s="304">
        <v>1.0430430540132292</v>
      </c>
      <c r="S106" s="305">
        <v>1.0447182369887911</v>
      </c>
      <c r="T106" s="304">
        <v>1.0462672271446101</v>
      </c>
      <c r="U106" s="304">
        <v>1.0476676768971098</v>
      </c>
      <c r="V106" s="304">
        <v>1.0489149298421803</v>
      </c>
      <c r="W106" s="304">
        <v>1.0500373753612195</v>
      </c>
      <c r="X106" s="304">
        <v>1.0510513960005494</v>
      </c>
      <c r="Y106" s="304">
        <v>1.0519759746859831</v>
      </c>
      <c r="Z106" s="304">
        <v>1.0528357977814911</v>
      </c>
      <c r="AA106" s="304">
        <v>1.0536659931781045</v>
      </c>
      <c r="AB106" s="305">
        <v>1.0545207321116119</v>
      </c>
      <c r="AC106" s="304">
        <v>1.0552714005613049</v>
      </c>
      <c r="AD106" s="304">
        <v>1.0558238862753719</v>
      </c>
      <c r="AE106" s="304">
        <v>1.0562838534745309</v>
      </c>
      <c r="AF106" s="304">
        <v>1.0567510631932873</v>
      </c>
      <c r="AG106" s="304">
        <v>1.0573218524639498</v>
      </c>
      <c r="AH106" s="304">
        <v>1.0577977792324011</v>
      </c>
      <c r="AI106" s="304">
        <v>1.0581755596827764</v>
      </c>
      <c r="AJ106" s="304">
        <v>1.0585216529125621</v>
      </c>
      <c r="AK106" s="304">
        <v>1.0588861124576521</v>
      </c>
      <c r="AL106" s="305">
        <v>1.0593109200895197</v>
      </c>
      <c r="AM106" s="305">
        <f t="shared" si="2"/>
        <v>1.0593109200895197</v>
      </c>
      <c r="AN106" s="299"/>
    </row>
    <row r="107" spans="1:40" ht="17.45" customHeight="1" x14ac:dyDescent="0.2">
      <c r="A107" s="303">
        <v>24</v>
      </c>
      <c r="B107" s="304">
        <v>0.96308290463268409</v>
      </c>
      <c r="C107" s="304">
        <v>0.97543796340640598</v>
      </c>
      <c r="D107" s="304">
        <v>0.98571044940287056</v>
      </c>
      <c r="E107" s="304">
        <v>0.99553389139773441</v>
      </c>
      <c r="F107" s="304">
        <v>1.0040750202075044</v>
      </c>
      <c r="G107" s="304">
        <v>1.0112190092429443</v>
      </c>
      <c r="H107" s="304">
        <v>1.0166404388262655</v>
      </c>
      <c r="I107" s="304">
        <v>1.0206952425960982</v>
      </c>
      <c r="J107" s="305">
        <v>1.0239745691188571</v>
      </c>
      <c r="K107" s="304">
        <v>1.0269439588254476</v>
      </c>
      <c r="L107" s="304">
        <v>1.0298918611910981</v>
      </c>
      <c r="M107" s="304">
        <v>1.0327410108616988</v>
      </c>
      <c r="N107" s="304">
        <v>1.0354316332603601</v>
      </c>
      <c r="O107" s="304">
        <v>1.0379038655310613</v>
      </c>
      <c r="P107" s="304">
        <v>1.0400801112729572</v>
      </c>
      <c r="Q107" s="304">
        <v>1.0420127253260287</v>
      </c>
      <c r="R107" s="304">
        <v>1.0438339832938028</v>
      </c>
      <c r="S107" s="305">
        <v>1.0455474082116463</v>
      </c>
      <c r="T107" s="304">
        <v>1.0471484377504807</v>
      </c>
      <c r="U107" s="304">
        <v>1.0486243254091092</v>
      </c>
      <c r="V107" s="304">
        <v>1.0499522230016283</v>
      </c>
      <c r="W107" s="304">
        <v>1.0511291327171643</v>
      </c>
      <c r="X107" s="304">
        <v>1.0521869257453673</v>
      </c>
      <c r="Y107" s="304">
        <v>1.0531464404968163</v>
      </c>
      <c r="Z107" s="304">
        <v>1.0540337159313262</v>
      </c>
      <c r="AA107" s="304">
        <v>1.0548854252633197</v>
      </c>
      <c r="AB107" s="305">
        <v>1.0557579725299886</v>
      </c>
      <c r="AC107" s="304">
        <v>1.0565202697679503</v>
      </c>
      <c r="AD107" s="304">
        <v>1.057088904740227</v>
      </c>
      <c r="AE107" s="304">
        <v>1.0575958119485891</v>
      </c>
      <c r="AF107" s="304">
        <v>1.0581756690140609</v>
      </c>
      <c r="AG107" s="304">
        <v>1.0587409426620598</v>
      </c>
      <c r="AH107" s="304">
        <v>1.0591678923147578</v>
      </c>
      <c r="AI107" s="304">
        <v>1.0595287914860916</v>
      </c>
      <c r="AJ107" s="304">
        <v>1.0598741265211542</v>
      </c>
      <c r="AK107" s="304">
        <v>1.0602444598220941</v>
      </c>
      <c r="AL107" s="305">
        <v>1.0606748501168122</v>
      </c>
      <c r="AM107" s="305">
        <f t="shared" si="2"/>
        <v>1.0606748501168122</v>
      </c>
      <c r="AN107" s="299"/>
    </row>
    <row r="108" spans="1:40" ht="17.45" customHeight="1" x14ac:dyDescent="0.2">
      <c r="A108" s="306">
        <v>25</v>
      </c>
      <c r="B108" s="307">
        <v>0.96323022435166594</v>
      </c>
      <c r="C108" s="307">
        <v>0.97514977271930081</v>
      </c>
      <c r="D108" s="307">
        <v>0.98531336200634767</v>
      </c>
      <c r="E108" s="307">
        <v>0.99521823624627226</v>
      </c>
      <c r="F108" s="307">
        <v>1.0040368819293852</v>
      </c>
      <c r="G108" s="307">
        <v>1.0114505164286729</v>
      </c>
      <c r="H108" s="307">
        <v>1.0171008110141813</v>
      </c>
      <c r="I108" s="307">
        <v>1.021439186693081</v>
      </c>
      <c r="J108" s="308">
        <v>1.0249288873244471</v>
      </c>
      <c r="K108" s="307">
        <v>1.0278573552280252</v>
      </c>
      <c r="L108" s="307">
        <v>1.0307473726279015</v>
      </c>
      <c r="M108" s="307">
        <v>1.0335650421387264</v>
      </c>
      <c r="N108" s="307">
        <v>1.0362240590295764</v>
      </c>
      <c r="O108" s="307">
        <v>1.0386379959709693</v>
      </c>
      <c r="P108" s="307">
        <v>1.040736502719001</v>
      </c>
      <c r="Q108" s="307">
        <v>1.042684858171814</v>
      </c>
      <c r="R108" s="307">
        <v>1.044529127595095</v>
      </c>
      <c r="S108" s="308">
        <v>1.0462734523420332</v>
      </c>
      <c r="T108" s="307">
        <v>1.0479160725183292</v>
      </c>
      <c r="U108" s="307">
        <v>1.0494496998417497</v>
      </c>
      <c r="V108" s="307">
        <v>1.0508604873906224</v>
      </c>
      <c r="W108" s="307">
        <v>1.0521251679616896</v>
      </c>
      <c r="X108" s="307">
        <v>1.0532415678640255</v>
      </c>
      <c r="Y108" s="307">
        <v>1.0542460939053846</v>
      </c>
      <c r="Z108" s="307">
        <v>1.0551668365407789</v>
      </c>
      <c r="AA108" s="307">
        <v>1.0560425220023713</v>
      </c>
      <c r="AB108" s="308">
        <v>1.0569330618335973</v>
      </c>
      <c r="AC108" s="307">
        <v>1.0577087078980461</v>
      </c>
      <c r="AD108" s="307">
        <v>1.0583061411754724</v>
      </c>
      <c r="AE108" s="307">
        <v>1.0588964273595345</v>
      </c>
      <c r="AF108" s="307">
        <v>1.0595479309144944</v>
      </c>
      <c r="AG108" s="307">
        <v>1.0600459012586763</v>
      </c>
      <c r="AH108" s="307">
        <v>1.0604455781230546</v>
      </c>
      <c r="AI108" s="307">
        <v>1.0607993280903223</v>
      </c>
      <c r="AJ108" s="307">
        <v>1.0611474559187224</v>
      </c>
      <c r="AK108" s="307">
        <v>1.0615243937888454</v>
      </c>
      <c r="AL108" s="308">
        <v>1.0619603479401576</v>
      </c>
      <c r="AM108" s="308">
        <f t="shared" si="2"/>
        <v>1.0619603479401576</v>
      </c>
      <c r="AN108" s="299"/>
    </row>
    <row r="109" spans="1:40" ht="17.45" customHeight="1" x14ac:dyDescent="0.2">
      <c r="A109" s="303">
        <v>26</v>
      </c>
      <c r="B109" s="304">
        <v>0.96336621903196251</v>
      </c>
      <c r="C109" s="304">
        <v>0.97471331753528134</v>
      </c>
      <c r="D109" s="304">
        <v>0.98493515343287241</v>
      </c>
      <c r="E109" s="304">
        <v>0.99487496057800551</v>
      </c>
      <c r="F109" s="304">
        <v>1.0039277689517261</v>
      </c>
      <c r="G109" s="304">
        <v>1.0115663087895794</v>
      </c>
      <c r="H109" s="304">
        <v>1.0175092170283662</v>
      </c>
      <c r="I109" s="304">
        <v>1.0221322558777834</v>
      </c>
      <c r="J109" s="305">
        <v>1.0258209352728425</v>
      </c>
      <c r="K109" s="304">
        <v>1.0287930779154735</v>
      </c>
      <c r="L109" s="304">
        <v>1.0315850416271175</v>
      </c>
      <c r="M109" s="304">
        <v>1.0343446327188832</v>
      </c>
      <c r="N109" s="304">
        <v>1.0369454378520182</v>
      </c>
      <c r="O109" s="304">
        <v>1.039260883713196</v>
      </c>
      <c r="P109" s="304">
        <v>1.0413254239235206</v>
      </c>
      <c r="Q109" s="304">
        <v>1.0432833745450654</v>
      </c>
      <c r="R109" s="304">
        <v>1.0451449283637386</v>
      </c>
      <c r="S109" s="305">
        <v>1.0469138350583744</v>
      </c>
      <c r="T109" s="304">
        <v>1.0485895906771261</v>
      </c>
      <c r="U109" s="304">
        <v>1.0501680806370497</v>
      </c>
      <c r="V109" s="304">
        <v>1.0516411440993552</v>
      </c>
      <c r="W109" s="304">
        <v>1.0529948730240084</v>
      </c>
      <c r="X109" s="304">
        <v>1.0542056553015025</v>
      </c>
      <c r="Y109" s="304">
        <v>1.0552715558046935</v>
      </c>
      <c r="Z109" s="304">
        <v>1.0562358513368904</v>
      </c>
      <c r="AA109" s="304">
        <v>1.0571400114091776</v>
      </c>
      <c r="AB109" s="305">
        <v>1.0580491330885033</v>
      </c>
      <c r="AC109" s="304">
        <v>1.0588412153361797</v>
      </c>
      <c r="AD109" s="304">
        <v>1.0594899640917181</v>
      </c>
      <c r="AE109" s="304">
        <v>1.0601979632884304</v>
      </c>
      <c r="AF109" s="304">
        <v>1.0607878565189615</v>
      </c>
      <c r="AG109" s="304">
        <v>1.0612479080834265</v>
      </c>
      <c r="AH109" s="304">
        <v>1.061633841280992</v>
      </c>
      <c r="AI109" s="304">
        <v>1.0619859186255722</v>
      </c>
      <c r="AJ109" s="304">
        <v>1.0623382973612274</v>
      </c>
      <c r="AK109" s="304">
        <v>1.0627217007303753</v>
      </c>
      <c r="AL109" s="305">
        <v>1.063163027370615</v>
      </c>
      <c r="AM109" s="305">
        <f t="shared" si="2"/>
        <v>1.063163027370615</v>
      </c>
      <c r="AN109" s="299"/>
    </row>
    <row r="110" spans="1:40" ht="17.45" customHeight="1" x14ac:dyDescent="0.2">
      <c r="A110" s="303">
        <v>27</v>
      </c>
      <c r="B110" s="304">
        <v>0.96350104130525893</v>
      </c>
      <c r="C110" s="304">
        <v>0.97436963196787463</v>
      </c>
      <c r="D110" s="304">
        <v>0.98460737978549506</v>
      </c>
      <c r="E110" s="304">
        <v>0.99454516114382951</v>
      </c>
      <c r="F110" s="304">
        <v>1.0037276373393358</v>
      </c>
      <c r="G110" s="304">
        <v>1.0115971895208553</v>
      </c>
      <c r="H110" s="304">
        <v>1.0178745684067174</v>
      </c>
      <c r="I110" s="304">
        <v>1.0227810422014305</v>
      </c>
      <c r="J110" s="305">
        <v>1.0266640044846362</v>
      </c>
      <c r="K110" s="304">
        <v>1.0297238934642745</v>
      </c>
      <c r="L110" s="304">
        <v>1.032406872169259</v>
      </c>
      <c r="M110" s="304">
        <v>1.0350796119299197</v>
      </c>
      <c r="N110" s="304">
        <v>1.0375934298385245</v>
      </c>
      <c r="O110" s="304">
        <v>1.0398028346018267</v>
      </c>
      <c r="P110" s="304">
        <v>1.0418627035018111</v>
      </c>
      <c r="Q110" s="304">
        <v>1.043826368544851</v>
      </c>
      <c r="R110" s="304">
        <v>1.0457012750855386</v>
      </c>
      <c r="S110" s="305">
        <v>1.0474899468203747</v>
      </c>
      <c r="T110" s="304">
        <v>1.0491920720816859</v>
      </c>
      <c r="U110" s="304">
        <v>1.0508052118096447</v>
      </c>
      <c r="V110" s="304">
        <v>1.0523247275963681</v>
      </c>
      <c r="W110" s="304">
        <v>1.0537429263417415</v>
      </c>
      <c r="X110" s="304">
        <v>1.0550468481439221</v>
      </c>
      <c r="Y110" s="304">
        <v>1.0562128285452739</v>
      </c>
      <c r="Z110" s="304">
        <v>1.0572386533455533</v>
      </c>
      <c r="AA110" s="304">
        <v>1.0581800891243938</v>
      </c>
      <c r="AB110" s="305">
        <v>1.0591093193607732</v>
      </c>
      <c r="AC110" s="304">
        <v>1.0599241362411342</v>
      </c>
      <c r="AD110" s="304">
        <v>1.060669766952864</v>
      </c>
      <c r="AE110" s="304">
        <v>1.0613731181657495</v>
      </c>
      <c r="AF110" s="304">
        <v>1.0619142043934238</v>
      </c>
      <c r="AG110" s="304">
        <v>1.062354700925277</v>
      </c>
      <c r="AH110" s="304">
        <v>1.0627344989392939</v>
      </c>
      <c r="AI110" s="304">
        <v>1.0630871274349192</v>
      </c>
      <c r="AJ110" s="304">
        <v>1.0634434273987157</v>
      </c>
      <c r="AK110" s="304">
        <v>1.0638322392890434</v>
      </c>
      <c r="AL110" s="305">
        <v>1.0642785022192436</v>
      </c>
      <c r="AM110" s="305">
        <f t="shared" si="2"/>
        <v>1.0642785022192436</v>
      </c>
      <c r="AN110" s="299"/>
    </row>
    <row r="111" spans="1:40" ht="17.45" customHeight="1" x14ac:dyDescent="0.2">
      <c r="A111" s="303">
        <v>28</v>
      </c>
      <c r="B111" s="304">
        <v>0.96364484380324056</v>
      </c>
      <c r="C111" s="304">
        <v>0.9741446421082498</v>
      </c>
      <c r="D111" s="304">
        <v>0.98436554982752122</v>
      </c>
      <c r="E111" s="304">
        <v>0.99427554176758814</v>
      </c>
      <c r="F111" s="304">
        <v>1.0035116603688987</v>
      </c>
      <c r="G111" s="304">
        <v>1.0116514181440408</v>
      </c>
      <c r="H111" s="304">
        <v>1.0182057766871346</v>
      </c>
      <c r="I111" s="304">
        <v>1.0233866871650701</v>
      </c>
      <c r="J111" s="305">
        <v>1.0274514333577847</v>
      </c>
      <c r="K111" s="304">
        <v>1.0306098649734383</v>
      </c>
      <c r="L111" s="304">
        <v>1.0332185352855374</v>
      </c>
      <c r="M111" s="304">
        <v>1.0357698187709892</v>
      </c>
      <c r="N111" s="304">
        <v>1.0381620441727952</v>
      </c>
      <c r="O111" s="304">
        <v>1.0403141274064067</v>
      </c>
      <c r="P111" s="304">
        <v>1.0423687573069176</v>
      </c>
      <c r="Q111" s="304">
        <v>1.0443377112213541</v>
      </c>
      <c r="R111" s="304">
        <v>1.0462247654342494</v>
      </c>
      <c r="S111" s="305">
        <v>1.0480306020371821</v>
      </c>
      <c r="T111" s="304">
        <v>1.049754388970018</v>
      </c>
      <c r="U111" s="304">
        <v>1.0513943182428855</v>
      </c>
      <c r="V111" s="304">
        <v>1.0529476800470392</v>
      </c>
      <c r="W111" s="304">
        <v>1.0544105611078547</v>
      </c>
      <c r="X111" s="304">
        <v>1.0557769319033625</v>
      </c>
      <c r="Y111" s="304">
        <v>1.0570362089867817</v>
      </c>
      <c r="Z111" s="304">
        <v>1.0581658312172122</v>
      </c>
      <c r="AA111" s="304">
        <v>1.0591633883971454</v>
      </c>
      <c r="AB111" s="305">
        <v>1.0601167537164722</v>
      </c>
      <c r="AC111" s="304">
        <v>1.0609702572833604</v>
      </c>
      <c r="AD111" s="304">
        <v>1.0617814130927909</v>
      </c>
      <c r="AE111" s="304">
        <v>1.0624241722311623</v>
      </c>
      <c r="AF111" s="304">
        <v>1.0629417665211922</v>
      </c>
      <c r="AG111" s="304">
        <v>1.0633727479605735</v>
      </c>
      <c r="AH111" s="304">
        <v>1.0637493737256423</v>
      </c>
      <c r="AI111" s="304">
        <v>1.0641020160239718</v>
      </c>
      <c r="AJ111" s="304">
        <v>1.0644601284013333</v>
      </c>
      <c r="AK111" s="304">
        <v>1.0648520837331161</v>
      </c>
      <c r="AL111" s="305">
        <v>1.0653023862971018</v>
      </c>
      <c r="AM111" s="305">
        <f t="shared" si="2"/>
        <v>1.0653023862971018</v>
      </c>
      <c r="AN111" s="299"/>
    </row>
    <row r="112" spans="1:40" ht="17.45" customHeight="1" x14ac:dyDescent="0.2">
      <c r="A112" s="303">
        <v>29</v>
      </c>
      <c r="B112" s="304">
        <v>0.96380777915759253</v>
      </c>
      <c r="C112" s="304">
        <v>0.97406714222696789</v>
      </c>
      <c r="D112" s="304">
        <v>0.98425581077275703</v>
      </c>
      <c r="E112" s="304">
        <v>0.99413037853753627</v>
      </c>
      <c r="F112" s="304">
        <v>1.0033711575496509</v>
      </c>
      <c r="G112" s="304">
        <v>1.0116473749227797</v>
      </c>
      <c r="H112" s="304">
        <v>1.0185117534075152</v>
      </c>
      <c r="I112" s="304">
        <v>1.0239381167755801</v>
      </c>
      <c r="J112" s="305">
        <v>1.0281519027857022</v>
      </c>
      <c r="K112" s="304">
        <v>1.0314092728367059</v>
      </c>
      <c r="L112" s="304">
        <v>1.0340231474144257</v>
      </c>
      <c r="M112" s="304">
        <v>1.0364150940039147</v>
      </c>
      <c r="N112" s="304">
        <v>1.038683163231062</v>
      </c>
      <c r="O112" s="304">
        <v>1.0408192717347764</v>
      </c>
      <c r="P112" s="304">
        <v>1.0428750686496655</v>
      </c>
      <c r="Q112" s="304">
        <v>1.0448538630134372</v>
      </c>
      <c r="R112" s="304">
        <v>1.0467554913236794</v>
      </c>
      <c r="S112" s="305">
        <v>1.0485787827542712</v>
      </c>
      <c r="T112" s="304">
        <v>1.0503221660901589</v>
      </c>
      <c r="U112" s="304">
        <v>1.051983855937582</v>
      </c>
      <c r="V112" s="304">
        <v>1.0535618971110012</v>
      </c>
      <c r="W112" s="304">
        <v>1.0550541226247485</v>
      </c>
      <c r="X112" s="304">
        <v>1.0564579870165465</v>
      </c>
      <c r="Y112" s="304">
        <v>1.0577700731984099</v>
      </c>
      <c r="Z112" s="304">
        <v>1.058984387230639</v>
      </c>
      <c r="AA112" s="304">
        <v>1.0600838068415253</v>
      </c>
      <c r="AB112" s="305">
        <v>1.0610745692216659</v>
      </c>
      <c r="AC112" s="304">
        <v>1.0619924801375158</v>
      </c>
      <c r="AD112" s="304">
        <v>1.0627586448873874</v>
      </c>
      <c r="AE112" s="304">
        <v>1.0633775751466605</v>
      </c>
      <c r="AF112" s="304">
        <v>1.0638842497054872</v>
      </c>
      <c r="AG112" s="304">
        <v>1.0643090453435831</v>
      </c>
      <c r="AH112" s="304">
        <v>1.0646815614089848</v>
      </c>
      <c r="AI112" s="304">
        <v>1.0650311515574329</v>
      </c>
      <c r="AJ112" s="304">
        <v>1.0653870102858329</v>
      </c>
      <c r="AK112" s="304">
        <v>1.0657779872992232</v>
      </c>
      <c r="AL112" s="305">
        <v>1.066230293415249</v>
      </c>
      <c r="AM112" s="305">
        <f t="shared" si="2"/>
        <v>1.066230293415249</v>
      </c>
      <c r="AN112" s="299"/>
    </row>
    <row r="113" spans="1:40" ht="17.45" customHeight="1" x14ac:dyDescent="0.2">
      <c r="A113" s="306">
        <v>30</v>
      </c>
      <c r="B113" s="307">
        <v>0.96399999999999997</v>
      </c>
      <c r="C113" s="307">
        <v>0.97417605676805685</v>
      </c>
      <c r="D113" s="307">
        <v>0.98435087811046462</v>
      </c>
      <c r="E113" s="307">
        <v>0.99421264407133136</v>
      </c>
      <c r="F113" s="307">
        <v>1.0034495346947641</v>
      </c>
      <c r="G113" s="307">
        <v>1.0117497300248703</v>
      </c>
      <c r="H113" s="307">
        <v>1.0188014101057579</v>
      </c>
      <c r="I113" s="307">
        <v>1.0243828943940161</v>
      </c>
      <c r="J113" s="308">
        <v>1.0286862386469537</v>
      </c>
      <c r="K113" s="307">
        <v>1.0320202273597576</v>
      </c>
      <c r="L113" s="307">
        <v>1.0346936450276145</v>
      </c>
      <c r="M113" s="307">
        <v>1.0370152761457108</v>
      </c>
      <c r="N113" s="307">
        <v>1.0392293267457964</v>
      </c>
      <c r="O113" s="307">
        <v>1.0413729136399938</v>
      </c>
      <c r="P113" s="307">
        <v>1.0434441874940474</v>
      </c>
      <c r="Q113" s="307">
        <v>1.0454412989737007</v>
      </c>
      <c r="R113" s="307">
        <v>1.0473623987446992</v>
      </c>
      <c r="S113" s="308">
        <v>1.0492056374727869</v>
      </c>
      <c r="T113" s="307">
        <v>1.0509691658237081</v>
      </c>
      <c r="U113" s="307">
        <v>1.0526511344632075</v>
      </c>
      <c r="V113" s="307">
        <v>1.0542496940570294</v>
      </c>
      <c r="W113" s="307">
        <v>1.055762995270918</v>
      </c>
      <c r="X113" s="307">
        <v>1.057189188770618</v>
      </c>
      <c r="Y113" s="307">
        <v>1.0585264252218742</v>
      </c>
      <c r="Z113" s="307">
        <v>1.0597728552904302</v>
      </c>
      <c r="AA113" s="307">
        <v>1.0609266296420308</v>
      </c>
      <c r="AB113" s="308">
        <v>1.0619858989424207</v>
      </c>
      <c r="AC113" s="307">
        <v>1.0629030173053353</v>
      </c>
      <c r="AD113" s="307">
        <v>1.0636510656533635</v>
      </c>
      <c r="AE113" s="307">
        <v>1.0642592848655315</v>
      </c>
      <c r="AF113" s="307">
        <v>1.0647569158208645</v>
      </c>
      <c r="AG113" s="307">
        <v>1.0651731993983873</v>
      </c>
      <c r="AH113" s="307">
        <v>1.0655373764771261</v>
      </c>
      <c r="AI113" s="307">
        <v>1.0658786879361055</v>
      </c>
      <c r="AJ113" s="307">
        <v>1.0662263746543519</v>
      </c>
      <c r="AK113" s="307">
        <v>1.0666096775108895</v>
      </c>
      <c r="AL113" s="308">
        <v>1.0670578373847444</v>
      </c>
      <c r="AM113" s="308">
        <f t="shared" si="2"/>
        <v>1.0670578373847444</v>
      </c>
      <c r="AN113" s="299"/>
    </row>
    <row r="114" spans="1:40" ht="17.45" customHeight="1" x14ac:dyDescent="0.2">
      <c r="A114" s="303">
        <v>31</v>
      </c>
      <c r="B114" s="304">
        <v>0.96418450048055004</v>
      </c>
      <c r="C114" s="304">
        <v>0.97449735604118759</v>
      </c>
      <c r="D114" s="304">
        <v>0.98470831618000565</v>
      </c>
      <c r="E114" s="304">
        <v>0.99460678203490271</v>
      </c>
      <c r="F114" s="304">
        <v>1.0038726282643393</v>
      </c>
      <c r="G114" s="304">
        <v>1.0121752357102114</v>
      </c>
      <c r="H114" s="304">
        <v>1.0190674489096041</v>
      </c>
      <c r="I114" s="304">
        <v>1.0247063025557539</v>
      </c>
      <c r="J114" s="305">
        <v>1.0290672836711265</v>
      </c>
      <c r="K114" s="304">
        <v>1.0324401068859714</v>
      </c>
      <c r="L114" s="304">
        <v>1.0351545335927825</v>
      </c>
      <c r="M114" s="304">
        <v>1.0375360257533806</v>
      </c>
      <c r="N114" s="304">
        <v>1.0397591178331198</v>
      </c>
      <c r="O114" s="304">
        <v>1.0419018497548072</v>
      </c>
      <c r="P114" s="304">
        <v>1.0439832672490594</v>
      </c>
      <c r="Q114" s="304">
        <v>1.0459943602924098</v>
      </c>
      <c r="R114" s="304">
        <v>1.047930929706419</v>
      </c>
      <c r="S114" s="305">
        <v>1.0497901675550858</v>
      </c>
      <c r="T114" s="304">
        <v>1.0515698125683484</v>
      </c>
      <c r="U114" s="304">
        <v>1.0532678863588232</v>
      </c>
      <c r="V114" s="304">
        <v>1.0548826210728413</v>
      </c>
      <c r="W114" s="304">
        <v>1.0564124950259213</v>
      </c>
      <c r="X114" s="304">
        <v>1.0578564110381425</v>
      </c>
      <c r="Y114" s="304">
        <v>1.0592142369712767</v>
      </c>
      <c r="Z114" s="304">
        <v>1.0604886830938003</v>
      </c>
      <c r="AA114" s="304">
        <v>1.0616947240515457</v>
      </c>
      <c r="AB114" s="305">
        <v>1.062772379701733</v>
      </c>
      <c r="AC114" s="304">
        <v>1.0636633945278104</v>
      </c>
      <c r="AD114" s="304">
        <v>1.06438345589699</v>
      </c>
      <c r="AE114" s="304">
        <v>1.0649644810818935</v>
      </c>
      <c r="AF114" s="304">
        <v>1.0654365146972988</v>
      </c>
      <c r="AG114" s="304">
        <v>1.0658295129625392</v>
      </c>
      <c r="AH114" s="304">
        <v>1.0661738862286665</v>
      </c>
      <c r="AI114" s="304">
        <v>1.0665014735384741</v>
      </c>
      <c r="AJ114" s="304">
        <v>1.0668492231927611</v>
      </c>
      <c r="AK114" s="304">
        <v>1.0672848261098928</v>
      </c>
      <c r="AL114" s="305">
        <v>1.0677396201076048</v>
      </c>
      <c r="AM114" s="305">
        <f t="shared" si="2"/>
        <v>1.0677396201076048</v>
      </c>
      <c r="AN114" s="299"/>
    </row>
    <row r="115" spans="1:40" ht="17.45" customHeight="1" x14ac:dyDescent="0.2">
      <c r="A115" s="303">
        <v>32</v>
      </c>
      <c r="B115" s="304">
        <v>0.96432292681587894</v>
      </c>
      <c r="C115" s="304">
        <v>0.97498995648879738</v>
      </c>
      <c r="D115" s="304">
        <v>0.98525044088383984</v>
      </c>
      <c r="E115" s="304">
        <v>0.99520644856337959</v>
      </c>
      <c r="F115" s="304">
        <v>1.0044934370397254</v>
      </c>
      <c r="G115" s="304">
        <v>1.0126887368314315</v>
      </c>
      <c r="H115" s="304">
        <v>1.0193005105838373</v>
      </c>
      <c r="I115" s="304">
        <v>1.0247876062042165</v>
      </c>
      <c r="J115" s="305">
        <v>1.0293639321104386</v>
      </c>
      <c r="K115" s="304">
        <v>1.0327770367769125</v>
      </c>
      <c r="L115" s="304">
        <v>1.0355141422658845</v>
      </c>
      <c r="M115" s="304">
        <v>1.037954525988638</v>
      </c>
      <c r="N115" s="304">
        <v>1.040248457847933</v>
      </c>
      <c r="O115" s="304">
        <v>1.0423480952354451</v>
      </c>
      <c r="P115" s="304">
        <v>1.0444112235300007</v>
      </c>
      <c r="Q115" s="304">
        <v>1.0464163137728457</v>
      </c>
      <c r="R115" s="304">
        <v>1.0483533211753997</v>
      </c>
      <c r="S115" s="305">
        <v>1.0502166119312255</v>
      </c>
      <c r="T115" s="304">
        <v>1.05200266736421</v>
      </c>
      <c r="U115" s="304">
        <v>1.0537092700061639</v>
      </c>
      <c r="V115" s="304">
        <v>1.0553353234835998</v>
      </c>
      <c r="W115" s="304">
        <v>1.0568811395272966</v>
      </c>
      <c r="X115" s="304">
        <v>1.0583494278625267</v>
      </c>
      <c r="Y115" s="304">
        <v>1.0597479949778585</v>
      </c>
      <c r="Z115" s="304">
        <v>1.061097999751196</v>
      </c>
      <c r="AA115" s="304">
        <v>1.0623300055864533</v>
      </c>
      <c r="AB115" s="305">
        <v>1.0633747561591183</v>
      </c>
      <c r="AC115" s="304">
        <v>1.0642309387162161</v>
      </c>
      <c r="AD115" s="304">
        <v>1.0649050222697436</v>
      </c>
      <c r="AE115" s="304">
        <v>1.0654402933317202</v>
      </c>
      <c r="AF115" s="304">
        <v>1.0658726138817531</v>
      </c>
      <c r="AG115" s="304">
        <v>1.0662373867955452</v>
      </c>
      <c r="AH115" s="304">
        <v>1.0665734788278032</v>
      </c>
      <c r="AI115" s="304">
        <v>1.0669309923495969</v>
      </c>
      <c r="AJ115" s="304">
        <v>1.0674005535526729</v>
      </c>
      <c r="AK115" s="304">
        <v>1.0678539132500648</v>
      </c>
      <c r="AL115" s="305">
        <v>1.0682529818453506</v>
      </c>
      <c r="AM115" s="305">
        <f t="shared" si="2"/>
        <v>1.0682529818453506</v>
      </c>
      <c r="AN115" s="299"/>
    </row>
    <row r="116" spans="1:40" ht="17.45" customHeight="1" x14ac:dyDescent="0.2">
      <c r="A116" s="303">
        <v>33</v>
      </c>
      <c r="B116" s="304">
        <v>0.9644234097374963</v>
      </c>
      <c r="C116" s="304">
        <v>0.97562702322845496</v>
      </c>
      <c r="D116" s="304">
        <v>0.98591883210770637</v>
      </c>
      <c r="E116" s="304">
        <v>0.99592351114117672</v>
      </c>
      <c r="F116" s="304">
        <v>1.0051827034784506</v>
      </c>
      <c r="G116" s="304">
        <v>1.0130903179952389</v>
      </c>
      <c r="H116" s="304">
        <v>1.0195064146219179</v>
      </c>
      <c r="I116" s="304">
        <v>1.0247169345504159</v>
      </c>
      <c r="J116" s="305">
        <v>1.0294937697619448</v>
      </c>
      <c r="K116" s="304">
        <v>1.0330259675140592</v>
      </c>
      <c r="L116" s="304">
        <v>1.0357903672832114</v>
      </c>
      <c r="M116" s="304">
        <v>1.0382878963236117</v>
      </c>
      <c r="N116" s="304">
        <v>1.0406883169567429</v>
      </c>
      <c r="O116" s="304">
        <v>1.0427717249792581</v>
      </c>
      <c r="P116" s="304">
        <v>1.0447963396796611</v>
      </c>
      <c r="Q116" s="304">
        <v>1.0467786955241554</v>
      </c>
      <c r="R116" s="304">
        <v>1.0487026998294571</v>
      </c>
      <c r="S116" s="305">
        <v>1.0505594793717454</v>
      </c>
      <c r="T116" s="304">
        <v>1.0523441918010912</v>
      </c>
      <c r="U116" s="304">
        <v>1.0540548465373187</v>
      </c>
      <c r="V116" s="304">
        <v>1.0556921941661941</v>
      </c>
      <c r="W116" s="304">
        <v>1.0572605851038661</v>
      </c>
      <c r="X116" s="304">
        <v>1.0587703980649137</v>
      </c>
      <c r="Y116" s="304">
        <v>1.0602441191613603</v>
      </c>
      <c r="Z116" s="304">
        <v>1.0616157781214355</v>
      </c>
      <c r="AA116" s="304">
        <v>1.0628035686621902</v>
      </c>
      <c r="AB116" s="305">
        <v>1.0638248231354204</v>
      </c>
      <c r="AC116" s="304">
        <v>1.0646453984130779</v>
      </c>
      <c r="AD116" s="304">
        <v>1.0652702484084686</v>
      </c>
      <c r="AE116" s="304">
        <v>1.0657585984643354</v>
      </c>
      <c r="AF116" s="304">
        <v>1.0661587059222914</v>
      </c>
      <c r="AG116" s="304">
        <v>1.0665201103543951</v>
      </c>
      <c r="AH116" s="304">
        <v>1.0669049106148361</v>
      </c>
      <c r="AI116" s="304">
        <v>1.0674138565840887</v>
      </c>
      <c r="AJ116" s="304">
        <v>1.0679019154216436</v>
      </c>
      <c r="AK116" s="304">
        <v>1.0682423332602053</v>
      </c>
      <c r="AL116" s="305">
        <v>1.068627643948296</v>
      </c>
      <c r="AM116" s="305">
        <f t="shared" si="2"/>
        <v>1.068627643948296</v>
      </c>
      <c r="AN116" s="299"/>
    </row>
    <row r="117" spans="1:40" ht="17.45" customHeight="1" x14ac:dyDescent="0.2">
      <c r="A117" s="303">
        <v>34</v>
      </c>
      <c r="B117" s="304">
        <v>0.96449407997691194</v>
      </c>
      <c r="C117" s="304">
        <v>0.97638707249324075</v>
      </c>
      <c r="D117" s="304">
        <v>0.98667637722123458</v>
      </c>
      <c r="E117" s="304">
        <v>0.99670314373053315</v>
      </c>
      <c r="F117" s="304">
        <v>1.0058571651957724</v>
      </c>
      <c r="G117" s="304">
        <v>1.0133781522817806</v>
      </c>
      <c r="H117" s="304">
        <v>1.019690980517308</v>
      </c>
      <c r="I117" s="304">
        <v>1.0247203099518734</v>
      </c>
      <c r="J117" s="305">
        <v>1.0293240772369627</v>
      </c>
      <c r="K117" s="304">
        <v>1.0331722459831276</v>
      </c>
      <c r="L117" s="304">
        <v>1.0359981964554994</v>
      </c>
      <c r="M117" s="304">
        <v>1.0385532562304309</v>
      </c>
      <c r="N117" s="304">
        <v>1.041053021764434</v>
      </c>
      <c r="O117" s="304">
        <v>1.0431948811538445</v>
      </c>
      <c r="P117" s="304">
        <v>1.0451688743324155</v>
      </c>
      <c r="Q117" s="304">
        <v>1.0471172930449439</v>
      </c>
      <c r="R117" s="304">
        <v>1.0490186910225501</v>
      </c>
      <c r="S117" s="305">
        <v>1.0508613073026778</v>
      </c>
      <c r="T117" s="304">
        <v>1.0526395031500739</v>
      </c>
      <c r="U117" s="304">
        <v>1.0543524934429629</v>
      </c>
      <c r="V117" s="304">
        <v>1.0560045513292933</v>
      </c>
      <c r="W117" s="304">
        <v>1.0576067738628745</v>
      </c>
      <c r="X117" s="304">
        <v>1.0591814754020259</v>
      </c>
      <c r="Y117" s="304">
        <v>1.0606704906167606</v>
      </c>
      <c r="Z117" s="304">
        <v>1.0619942947205094</v>
      </c>
      <c r="AA117" s="304">
        <v>1.0631541856471467</v>
      </c>
      <c r="AB117" s="305">
        <v>1.0641543754514844</v>
      </c>
      <c r="AC117" s="304">
        <v>1.0649404110191041</v>
      </c>
      <c r="AD117" s="304">
        <v>1.0655203204855546</v>
      </c>
      <c r="AE117" s="304">
        <v>1.0659742147333142</v>
      </c>
      <c r="AF117" s="304">
        <v>1.06637109614906</v>
      </c>
      <c r="AG117" s="304">
        <v>1.0667877646821529</v>
      </c>
      <c r="AH117" s="304">
        <v>1.0673335720751442</v>
      </c>
      <c r="AI117" s="304">
        <v>1.0678596778799065</v>
      </c>
      <c r="AJ117" s="304">
        <v>1.0682090767343113</v>
      </c>
      <c r="AK117" s="304">
        <v>1.0685106396036845</v>
      </c>
      <c r="AL117" s="305">
        <v>1.0688933277667563</v>
      </c>
      <c r="AM117" s="305">
        <f t="shared" si="2"/>
        <v>1.0688933277667563</v>
      </c>
      <c r="AN117" s="299"/>
    </row>
    <row r="118" spans="1:40" ht="17.45" customHeight="1" x14ac:dyDescent="0.2">
      <c r="A118" s="306">
        <v>35</v>
      </c>
      <c r="B118" s="307">
        <v>0.96454306826563529</v>
      </c>
      <c r="C118" s="307">
        <v>0.97725035804441229</v>
      </c>
      <c r="D118" s="307">
        <v>0.9874945265054198</v>
      </c>
      <c r="E118" s="307">
        <v>0.99750562278705779</v>
      </c>
      <c r="F118" s="307">
        <v>1.0064466337709532</v>
      </c>
      <c r="G118" s="307">
        <v>1.0136689308255216</v>
      </c>
      <c r="H118" s="307">
        <v>1.019860027763468</v>
      </c>
      <c r="I118" s="307">
        <v>1.0247395133720598</v>
      </c>
      <c r="J118" s="308">
        <v>1.0290579107065381</v>
      </c>
      <c r="K118" s="307">
        <v>1.0331785613907487</v>
      </c>
      <c r="L118" s="307">
        <v>1.0361497375438027</v>
      </c>
      <c r="M118" s="307">
        <v>1.038767725181224</v>
      </c>
      <c r="N118" s="307">
        <v>1.0413630134323011</v>
      </c>
      <c r="O118" s="307">
        <v>1.0435947308049101</v>
      </c>
      <c r="P118" s="307">
        <v>1.0455453073272705</v>
      </c>
      <c r="Q118" s="307">
        <v>1.04745259460497</v>
      </c>
      <c r="R118" s="307">
        <v>1.0493249275558891</v>
      </c>
      <c r="S118" s="308">
        <v>1.0511482025120553</v>
      </c>
      <c r="T118" s="307">
        <v>1.0529168760625363</v>
      </c>
      <c r="U118" s="307">
        <v>1.0546328469687329</v>
      </c>
      <c r="V118" s="307">
        <v>1.0563062424445819</v>
      </c>
      <c r="W118" s="307">
        <v>1.0579584615931807</v>
      </c>
      <c r="X118" s="307">
        <v>1.0595410518896191</v>
      </c>
      <c r="Y118" s="307">
        <v>1.0609824241461052</v>
      </c>
      <c r="Z118" s="307">
        <v>1.0622763157884709</v>
      </c>
      <c r="AA118" s="307">
        <v>1.0634150366179236</v>
      </c>
      <c r="AB118" s="308">
        <v>1.0643952079281536</v>
      </c>
      <c r="AC118" s="307">
        <v>1.0651488052743074</v>
      </c>
      <c r="AD118" s="307">
        <v>1.0656941926088694</v>
      </c>
      <c r="AE118" s="307">
        <v>1.0661406781617857</v>
      </c>
      <c r="AF118" s="307">
        <v>1.0665905948137453</v>
      </c>
      <c r="AG118" s="307">
        <v>1.0671685368968433</v>
      </c>
      <c r="AH118" s="307">
        <v>1.0677297098999408</v>
      </c>
      <c r="AI118" s="307">
        <v>1.0681072701581897</v>
      </c>
      <c r="AJ118" s="307">
        <v>1.0684011726724036</v>
      </c>
      <c r="AK118" s="307">
        <v>1.0686947492094061</v>
      </c>
      <c r="AL118" s="308">
        <v>1.0690797546510447</v>
      </c>
      <c r="AM118" s="308">
        <f t="shared" si="2"/>
        <v>1.0690797546510447</v>
      </c>
      <c r="AN118" s="299"/>
    </row>
    <row r="119" spans="1:40" ht="17.45" customHeight="1" x14ac:dyDescent="0.2">
      <c r="A119" s="303">
        <v>36</v>
      </c>
      <c r="B119" s="304">
        <v>0.96457850533517608</v>
      </c>
      <c r="C119" s="304">
        <v>0.97792740012251189</v>
      </c>
      <c r="D119" s="304">
        <v>0.98834793880089944</v>
      </c>
      <c r="E119" s="304">
        <v>0.9982957296316074</v>
      </c>
      <c r="F119" s="304">
        <v>1.0068691046906628</v>
      </c>
      <c r="G119" s="304">
        <v>1.0139772790542878</v>
      </c>
      <c r="H119" s="304">
        <v>1.0200193758538596</v>
      </c>
      <c r="I119" s="304">
        <v>1.0247603337574787</v>
      </c>
      <c r="J119" s="305">
        <v>1.028934018225979</v>
      </c>
      <c r="K119" s="304">
        <v>1.0329548979218346</v>
      </c>
      <c r="L119" s="304">
        <v>1.0362515359478319</v>
      </c>
      <c r="M119" s="304">
        <v>1.03894842264812</v>
      </c>
      <c r="N119" s="304">
        <v>1.0416361921342958</v>
      </c>
      <c r="O119" s="304">
        <v>1.043951269855766</v>
      </c>
      <c r="P119" s="304">
        <v>1.0459363460946609</v>
      </c>
      <c r="Q119" s="304">
        <v>1.047797852256479</v>
      </c>
      <c r="R119" s="304">
        <v>1.0496368491663768</v>
      </c>
      <c r="S119" s="305">
        <v>1.0514373919033688</v>
      </c>
      <c r="T119" s="304">
        <v>1.0531953144946073</v>
      </c>
      <c r="U119" s="304">
        <v>1.0549174782902919</v>
      </c>
      <c r="V119" s="304">
        <v>1.0566234708548128</v>
      </c>
      <c r="W119" s="304">
        <v>1.0582754197243744</v>
      </c>
      <c r="X119" s="304">
        <v>1.0598123211589447</v>
      </c>
      <c r="Y119" s="304">
        <v>1.0612241639209905</v>
      </c>
      <c r="Z119" s="304">
        <v>1.0624972594022863</v>
      </c>
      <c r="AA119" s="304">
        <v>1.0636183610576966</v>
      </c>
      <c r="AB119" s="305">
        <v>1.0645791153862723</v>
      </c>
      <c r="AC119" s="304">
        <v>1.0653036285790876</v>
      </c>
      <c r="AD119" s="304">
        <v>1.0658334101362326</v>
      </c>
      <c r="AE119" s="304">
        <v>1.0663223209881469</v>
      </c>
      <c r="AF119" s="304">
        <v>1.0669275879201898</v>
      </c>
      <c r="AG119" s="304">
        <v>1.0675191216987283</v>
      </c>
      <c r="AH119" s="304">
        <v>1.0679292676042438</v>
      </c>
      <c r="AI119" s="304">
        <v>1.0682442933731395</v>
      </c>
      <c r="AJ119" s="304">
        <v>1.0685248369196523</v>
      </c>
      <c r="AK119" s="304">
        <v>1.0688264972138455</v>
      </c>
      <c r="AL119" s="305">
        <v>1.069216645951476</v>
      </c>
      <c r="AM119" s="305">
        <f t="shared" si="2"/>
        <v>1.069216645951476</v>
      </c>
      <c r="AN119" s="299"/>
    </row>
    <row r="120" spans="1:40" ht="17.45" customHeight="1" x14ac:dyDescent="0.2">
      <c r="A120" s="303">
        <v>37</v>
      </c>
      <c r="B120" s="304">
        <v>0.96460852191704349</v>
      </c>
      <c r="C120" s="304">
        <v>0.97830493854938139</v>
      </c>
      <c r="D120" s="304">
        <v>0.98921210217120303</v>
      </c>
      <c r="E120" s="304">
        <v>0.99903254844888156</v>
      </c>
      <c r="F120" s="304">
        <v>1.0072218390840801</v>
      </c>
      <c r="G120" s="304">
        <v>1.0142912373563635</v>
      </c>
      <c r="H120" s="304">
        <v>1.0201748442819436</v>
      </c>
      <c r="I120" s="304">
        <v>1.0247822614466777</v>
      </c>
      <c r="J120" s="305">
        <v>1.0288764620180795</v>
      </c>
      <c r="K120" s="304">
        <v>1.0326980854219594</v>
      </c>
      <c r="L120" s="304">
        <v>1.036295711992806</v>
      </c>
      <c r="M120" s="304">
        <v>1.0391124681032475</v>
      </c>
      <c r="N120" s="304">
        <v>1.0418894521669291</v>
      </c>
      <c r="O120" s="304">
        <v>1.0442805870824685</v>
      </c>
      <c r="P120" s="304">
        <v>1.0463278944182615</v>
      </c>
      <c r="Q120" s="304">
        <v>1.0481626598965552</v>
      </c>
      <c r="R120" s="304">
        <v>1.0499654942780632</v>
      </c>
      <c r="S120" s="305">
        <v>1.051741166039948</v>
      </c>
      <c r="T120" s="304">
        <v>1.0534889872380955</v>
      </c>
      <c r="U120" s="304">
        <v>1.0552248963069095</v>
      </c>
      <c r="V120" s="304">
        <v>1.0569219152874108</v>
      </c>
      <c r="W120" s="304">
        <v>1.0585311188406621</v>
      </c>
      <c r="X120" s="304">
        <v>1.0600404205079084</v>
      </c>
      <c r="Y120" s="304">
        <v>1.061432870402754</v>
      </c>
      <c r="Z120" s="304">
        <v>1.0626904151206586</v>
      </c>
      <c r="AA120" s="304">
        <v>1.0637961113983905</v>
      </c>
      <c r="AB120" s="305">
        <v>1.0647378926466848</v>
      </c>
      <c r="AC120" s="304">
        <v>1.065439190810527</v>
      </c>
      <c r="AD120" s="304">
        <v>1.0659898121564981</v>
      </c>
      <c r="AE120" s="304">
        <v>1.0666195620161874</v>
      </c>
      <c r="AF120" s="304">
        <v>1.0672367479173128</v>
      </c>
      <c r="AG120" s="304">
        <v>1.0676798879353222</v>
      </c>
      <c r="AH120" s="304">
        <v>1.0680275591569035</v>
      </c>
      <c r="AI120" s="304">
        <v>1.0683274931281754</v>
      </c>
      <c r="AJ120" s="304">
        <v>1.0686177950657427</v>
      </c>
      <c r="AK120" s="304">
        <v>1.0689366045913169</v>
      </c>
      <c r="AL120" s="305">
        <v>1.0693337230183644</v>
      </c>
      <c r="AM120" s="305">
        <f t="shared" si="2"/>
        <v>1.0693337230183644</v>
      </c>
      <c r="AN120" s="299"/>
    </row>
    <row r="121" spans="1:40" ht="17.45" customHeight="1" x14ac:dyDescent="0.2">
      <c r="A121" s="303">
        <v>38</v>
      </c>
      <c r="B121" s="304">
        <v>0.96464124874274793</v>
      </c>
      <c r="C121" s="304">
        <v>0.97854888542664453</v>
      </c>
      <c r="D121" s="304">
        <v>0.99006225891773592</v>
      </c>
      <c r="E121" s="304">
        <v>0.99963807431505192</v>
      </c>
      <c r="F121" s="304">
        <v>1.0075854154286676</v>
      </c>
      <c r="G121" s="304">
        <v>1.0146068772197909</v>
      </c>
      <c r="H121" s="304">
        <v>1.0203322525411815</v>
      </c>
      <c r="I121" s="304">
        <v>1.0248123916059193</v>
      </c>
      <c r="J121" s="305">
        <v>1.0288608746004706</v>
      </c>
      <c r="K121" s="304">
        <v>1.0326218861473229</v>
      </c>
      <c r="L121" s="304">
        <v>1.0362241429766701</v>
      </c>
      <c r="M121" s="304">
        <v>1.0392769810187354</v>
      </c>
      <c r="N121" s="304">
        <v>1.0421386983828604</v>
      </c>
      <c r="O121" s="304">
        <v>1.0445971381115324</v>
      </c>
      <c r="P121" s="304">
        <v>1.0467048871536648</v>
      </c>
      <c r="Q121" s="304">
        <v>1.048554652701597</v>
      </c>
      <c r="R121" s="304">
        <v>1.0503194669502542</v>
      </c>
      <c r="S121" s="305">
        <v>1.0520691554653037</v>
      </c>
      <c r="T121" s="304">
        <v>1.0538111310694593</v>
      </c>
      <c r="U121" s="304">
        <v>1.0555291631657973</v>
      </c>
      <c r="V121" s="304">
        <v>1.0571874989759531</v>
      </c>
      <c r="W121" s="304">
        <v>1.0587722297602391</v>
      </c>
      <c r="X121" s="304">
        <v>1.0602642332394498</v>
      </c>
      <c r="Y121" s="304">
        <v>1.0616430740902874</v>
      </c>
      <c r="Z121" s="304">
        <v>1.0628882107761652</v>
      </c>
      <c r="AA121" s="304">
        <v>1.0639800843632472</v>
      </c>
      <c r="AB121" s="305">
        <v>1.0649033345302352</v>
      </c>
      <c r="AC121" s="304">
        <v>1.0655945602052601</v>
      </c>
      <c r="AD121" s="304">
        <v>1.06625329605584</v>
      </c>
      <c r="AE121" s="304">
        <v>1.0668931457624977</v>
      </c>
      <c r="AF121" s="304">
        <v>1.0673719559261159</v>
      </c>
      <c r="AG121" s="304">
        <v>1.067759768188955</v>
      </c>
      <c r="AH121" s="304">
        <v>1.0680941888507762</v>
      </c>
      <c r="AI121" s="304">
        <v>1.0684039413901822</v>
      </c>
      <c r="AJ121" s="304">
        <v>1.0687152591456175</v>
      </c>
      <c r="AK121" s="304">
        <v>1.0690555111739732</v>
      </c>
      <c r="AL121" s="305">
        <v>1.0694607072020246</v>
      </c>
      <c r="AM121" s="305">
        <f t="shared" si="2"/>
        <v>1.0694607072020246</v>
      </c>
      <c r="AN121" s="299"/>
    </row>
    <row r="122" spans="1:40" ht="17.45" customHeight="1" x14ac:dyDescent="0.2">
      <c r="A122" s="303">
        <v>39</v>
      </c>
      <c r="B122" s="304">
        <v>0.96468481654379812</v>
      </c>
      <c r="C122" s="304">
        <v>0.97877287366956112</v>
      </c>
      <c r="D122" s="304">
        <v>0.99087293655421438</v>
      </c>
      <c r="E122" s="304">
        <v>1.0001243548019865</v>
      </c>
      <c r="F122" s="304">
        <v>1.0079749138293492</v>
      </c>
      <c r="G122" s="304">
        <v>1.0149210347360844</v>
      </c>
      <c r="H122" s="304">
        <v>1.0204974201250341</v>
      </c>
      <c r="I122" s="304">
        <v>1.0248677774734265</v>
      </c>
      <c r="J122" s="305">
        <v>1.0288953123191562</v>
      </c>
      <c r="K122" s="304">
        <v>1.0326540997455835</v>
      </c>
      <c r="L122" s="304">
        <v>1.0361846688138967</v>
      </c>
      <c r="M122" s="304">
        <v>1.0394590808667126</v>
      </c>
      <c r="N122" s="304">
        <v>1.0423977632424311</v>
      </c>
      <c r="O122" s="304">
        <v>1.0449127429496046</v>
      </c>
      <c r="P122" s="304">
        <v>1.0470743104011655</v>
      </c>
      <c r="Q122" s="304">
        <v>1.0489670071407804</v>
      </c>
      <c r="R122" s="304">
        <v>1.0507060081814328</v>
      </c>
      <c r="S122" s="305">
        <v>1.0524305682624493</v>
      </c>
      <c r="T122" s="304">
        <v>1.054146517119984</v>
      </c>
      <c r="U122" s="304">
        <v>1.0558321926751457</v>
      </c>
      <c r="V122" s="304">
        <v>1.0574704957984897</v>
      </c>
      <c r="W122" s="304">
        <v>1.0590403979965048</v>
      </c>
      <c r="X122" s="304">
        <v>1.0605202339863578</v>
      </c>
      <c r="Y122" s="304">
        <v>1.0618881953411714</v>
      </c>
      <c r="Z122" s="304">
        <v>1.0631225217939289</v>
      </c>
      <c r="AA122" s="304">
        <v>1.0642018365757764</v>
      </c>
      <c r="AB122" s="305">
        <v>1.0651072358577673</v>
      </c>
      <c r="AC122" s="304">
        <v>1.0658376269101515</v>
      </c>
      <c r="AD122" s="304">
        <v>1.0665034634720463</v>
      </c>
      <c r="AE122" s="304">
        <v>1.067030738842156</v>
      </c>
      <c r="AF122" s="304">
        <v>1.06747093784561</v>
      </c>
      <c r="AG122" s="304">
        <v>1.0678509603099382</v>
      </c>
      <c r="AH122" s="304">
        <v>1.0681936336856308</v>
      </c>
      <c r="AI122" s="304">
        <v>1.0685206757209382</v>
      </c>
      <c r="AJ122" s="304">
        <v>1.068853529340172</v>
      </c>
      <c r="AK122" s="304">
        <v>1.0692140177748728</v>
      </c>
      <c r="AL122" s="305">
        <v>1.0696273198527704</v>
      </c>
      <c r="AM122" s="305">
        <f t="shared" si="2"/>
        <v>1.0696273198527704</v>
      </c>
      <c r="AN122" s="299"/>
    </row>
    <row r="123" spans="1:40" ht="17.45" customHeight="1" thickBot="1" x14ac:dyDescent="0.25">
      <c r="A123" s="309">
        <v>40</v>
      </c>
      <c r="B123" s="310">
        <v>0.96474735605170403</v>
      </c>
      <c r="C123" s="310">
        <v>0.97908045788052722</v>
      </c>
      <c r="D123" s="310">
        <v>0.99161777032690701</v>
      </c>
      <c r="E123" s="310">
        <v>1.0006447573306751</v>
      </c>
      <c r="F123" s="310">
        <v>1.0083822296730929</v>
      </c>
      <c r="G123" s="310">
        <v>1.0152277172394522</v>
      </c>
      <c r="H123" s="310">
        <v>1.0206761665269628</v>
      </c>
      <c r="I123" s="310">
        <v>1.0249941326581147</v>
      </c>
      <c r="J123" s="311">
        <v>1.0290254267533323</v>
      </c>
      <c r="K123" s="310">
        <v>1.0327977098422085</v>
      </c>
      <c r="L123" s="310">
        <v>1.036338642954336</v>
      </c>
      <c r="M123" s="310">
        <v>1.039675887119307</v>
      </c>
      <c r="N123" s="310">
        <v>1.0426735655076338</v>
      </c>
      <c r="O123" s="310">
        <v>1.0452336067982411</v>
      </c>
      <c r="P123" s="310">
        <v>1.047440380283341</v>
      </c>
      <c r="Q123" s="310">
        <v>1.0493782552551458</v>
      </c>
      <c r="R123" s="310">
        <v>1.0511316010058676</v>
      </c>
      <c r="S123" s="311">
        <v>1.0528274397114781</v>
      </c>
      <c r="T123" s="310">
        <v>1.0545218553587665</v>
      </c>
      <c r="U123" s="310">
        <v>1.0561928099561713</v>
      </c>
      <c r="V123" s="310">
        <v>1.057818265512132</v>
      </c>
      <c r="W123" s="310">
        <v>1.0593761840350866</v>
      </c>
      <c r="X123" s="310">
        <v>1.0608445275334739</v>
      </c>
      <c r="Y123" s="310">
        <v>1.062201258015733</v>
      </c>
      <c r="Z123" s="310">
        <v>1.0634243374903021</v>
      </c>
      <c r="AA123" s="310">
        <v>1.0644917279656201</v>
      </c>
      <c r="AB123" s="311">
        <v>1.0653813914501258</v>
      </c>
      <c r="AC123" s="310">
        <v>1.0661092451101197</v>
      </c>
      <c r="AD123" s="310">
        <v>1.0667197087024707</v>
      </c>
      <c r="AE123" s="310">
        <v>1.0672334981214679</v>
      </c>
      <c r="AF123" s="310">
        <v>1.067671329261402</v>
      </c>
      <c r="AG123" s="310">
        <v>1.0680539180165627</v>
      </c>
      <c r="AH123" s="310">
        <v>1.0684019802812399</v>
      </c>
      <c r="AI123" s="310">
        <v>1.0687362319497238</v>
      </c>
      <c r="AJ123" s="310">
        <v>1.0690773889163045</v>
      </c>
      <c r="AK123" s="310">
        <v>1.069446167075272</v>
      </c>
      <c r="AL123" s="311">
        <v>1.0698632823209158</v>
      </c>
      <c r="AM123" s="311">
        <f t="shared" si="2"/>
        <v>1.0698632823209158</v>
      </c>
      <c r="AN123" s="299"/>
    </row>
    <row r="124" spans="1:40" ht="17.45" customHeight="1" thickTop="1" thickBot="1" x14ac:dyDescent="0.25">
      <c r="A124" s="309">
        <f>A123+0.001</f>
        <v>40.000999999999998</v>
      </c>
      <c r="B124" s="310">
        <f>B123</f>
        <v>0.96474735605170403</v>
      </c>
      <c r="C124" s="310">
        <f t="shared" ref="C124:AL124" si="3">C123</f>
        <v>0.97908045788052722</v>
      </c>
      <c r="D124" s="310">
        <f t="shared" si="3"/>
        <v>0.99161777032690701</v>
      </c>
      <c r="E124" s="310">
        <f t="shared" si="3"/>
        <v>1.0006447573306751</v>
      </c>
      <c r="F124" s="310">
        <f t="shared" si="3"/>
        <v>1.0083822296730929</v>
      </c>
      <c r="G124" s="310">
        <f t="shared" si="3"/>
        <v>1.0152277172394522</v>
      </c>
      <c r="H124" s="310">
        <f t="shared" si="3"/>
        <v>1.0206761665269628</v>
      </c>
      <c r="I124" s="310">
        <f t="shared" si="3"/>
        <v>1.0249941326581147</v>
      </c>
      <c r="J124" s="311">
        <f t="shared" si="3"/>
        <v>1.0290254267533323</v>
      </c>
      <c r="K124" s="310">
        <f t="shared" si="3"/>
        <v>1.0327977098422085</v>
      </c>
      <c r="L124" s="310">
        <f t="shared" si="3"/>
        <v>1.036338642954336</v>
      </c>
      <c r="M124" s="310">
        <f t="shared" si="3"/>
        <v>1.039675887119307</v>
      </c>
      <c r="N124" s="310">
        <f t="shared" si="3"/>
        <v>1.0426735655076338</v>
      </c>
      <c r="O124" s="310">
        <f t="shared" si="3"/>
        <v>1.0452336067982411</v>
      </c>
      <c r="P124" s="310">
        <f t="shared" si="3"/>
        <v>1.047440380283341</v>
      </c>
      <c r="Q124" s="310">
        <f t="shared" si="3"/>
        <v>1.0493782552551458</v>
      </c>
      <c r="R124" s="310">
        <f t="shared" si="3"/>
        <v>1.0511316010058676</v>
      </c>
      <c r="S124" s="311">
        <f t="shared" si="3"/>
        <v>1.0528274397114781</v>
      </c>
      <c r="T124" s="310">
        <f t="shared" si="3"/>
        <v>1.0545218553587665</v>
      </c>
      <c r="U124" s="310">
        <f t="shared" si="3"/>
        <v>1.0561928099561713</v>
      </c>
      <c r="V124" s="310">
        <f t="shared" si="3"/>
        <v>1.057818265512132</v>
      </c>
      <c r="W124" s="310">
        <f t="shared" si="3"/>
        <v>1.0593761840350866</v>
      </c>
      <c r="X124" s="310">
        <f t="shared" si="3"/>
        <v>1.0608445275334739</v>
      </c>
      <c r="Y124" s="310">
        <f t="shared" si="3"/>
        <v>1.062201258015733</v>
      </c>
      <c r="Z124" s="310">
        <f t="shared" si="3"/>
        <v>1.0634243374903021</v>
      </c>
      <c r="AA124" s="310">
        <f t="shared" si="3"/>
        <v>1.0644917279656201</v>
      </c>
      <c r="AB124" s="311">
        <f t="shared" si="3"/>
        <v>1.0653813914501258</v>
      </c>
      <c r="AC124" s="310">
        <f t="shared" si="3"/>
        <v>1.0661092451101197</v>
      </c>
      <c r="AD124" s="310">
        <f t="shared" si="3"/>
        <v>1.0667197087024707</v>
      </c>
      <c r="AE124" s="310">
        <f t="shared" si="3"/>
        <v>1.0672334981214679</v>
      </c>
      <c r="AF124" s="310">
        <f t="shared" si="3"/>
        <v>1.067671329261402</v>
      </c>
      <c r="AG124" s="310">
        <f t="shared" si="3"/>
        <v>1.0680539180165627</v>
      </c>
      <c r="AH124" s="310">
        <f t="shared" si="3"/>
        <v>1.0684019802812399</v>
      </c>
      <c r="AI124" s="310">
        <f t="shared" si="3"/>
        <v>1.0687362319497238</v>
      </c>
      <c r="AJ124" s="310">
        <f t="shared" si="3"/>
        <v>1.0690773889163045</v>
      </c>
      <c r="AK124" s="310">
        <f t="shared" si="3"/>
        <v>1.069446167075272</v>
      </c>
      <c r="AL124" s="311">
        <f t="shared" si="3"/>
        <v>1.0698632823209158</v>
      </c>
      <c r="AM124" s="311">
        <f>AL123</f>
        <v>1.0698632823209158</v>
      </c>
      <c r="AN124" s="299"/>
    </row>
    <row r="125" spans="1:40" ht="17.45" customHeight="1"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7.45" customHeight="1" thickTop="1" x14ac:dyDescent="0.2"/>
    <row r="127" spans="1:40" ht="17.45" customHeight="1" thickBot="1" x14ac:dyDescent="0.25"/>
    <row r="128" spans="1:40" ht="17.45" customHeight="1" thickTop="1" thickBot="1" x14ac:dyDescent="0.25">
      <c r="A128" s="698" t="s">
        <v>57</v>
      </c>
      <c r="B128" s="699"/>
      <c r="C128" s="699"/>
      <c r="D128" s="699"/>
      <c r="E128" s="699"/>
      <c r="F128" s="699"/>
      <c r="G128" s="699"/>
      <c r="H128" s="315"/>
      <c r="I128" s="316"/>
    </row>
    <row r="129" spans="1:9" ht="17.45" customHeight="1" thickTop="1" thickBot="1" x14ac:dyDescent="0.25">
      <c r="A129" s="263" t="s">
        <v>49</v>
      </c>
      <c r="B129" s="264" t="s">
        <v>50</v>
      </c>
      <c r="C129" s="264" t="s">
        <v>51</v>
      </c>
      <c r="D129" s="264" t="s">
        <v>52</v>
      </c>
      <c r="E129" s="264" t="s">
        <v>53</v>
      </c>
      <c r="F129" s="264" t="s">
        <v>54</v>
      </c>
      <c r="G129" s="264" t="s">
        <v>55</v>
      </c>
      <c r="H129" s="267" t="s">
        <v>56</v>
      </c>
      <c r="I129" s="271"/>
    </row>
    <row r="130" spans="1:9" ht="17.45" customHeight="1" thickTop="1" x14ac:dyDescent="0.2">
      <c r="A130" s="273">
        <v>0</v>
      </c>
      <c r="B130" s="274">
        <v>1.0494543623270036</v>
      </c>
      <c r="C130" s="275">
        <v>1.0273270984496778</v>
      </c>
      <c r="D130" s="275">
        <v>1.0154629945380171</v>
      </c>
      <c r="E130" s="275">
        <v>1.0125962214269066</v>
      </c>
      <c r="F130" s="275">
        <v>1.009899076587784</v>
      </c>
      <c r="G130" s="275">
        <v>1.0072784536019219</v>
      </c>
      <c r="H130" s="276">
        <v>1.0049359237930875</v>
      </c>
      <c r="I130" s="237"/>
    </row>
    <row r="131" spans="1:9" ht="17.45" customHeight="1" x14ac:dyDescent="0.2">
      <c r="A131" s="273">
        <v>0.1</v>
      </c>
      <c r="B131" s="277">
        <v>1.0397396800484295</v>
      </c>
      <c r="C131" s="278">
        <v>1.0219231464992991</v>
      </c>
      <c r="D131" s="278">
        <v>1.0124068710519272</v>
      </c>
      <c r="E131" s="278">
        <v>1.0101406744912045</v>
      </c>
      <c r="F131" s="278">
        <v>1.007991693443419</v>
      </c>
      <c r="G131" s="278">
        <v>1.0058807631026991</v>
      </c>
      <c r="H131" s="279">
        <v>1.0040200760005646</v>
      </c>
      <c r="I131" s="237"/>
    </row>
    <row r="132" spans="1:9" ht="17.45" customHeight="1" x14ac:dyDescent="0.2">
      <c r="A132" s="273">
        <v>0.2</v>
      </c>
      <c r="B132" s="277">
        <v>1.030114925502934</v>
      </c>
      <c r="C132" s="278">
        <v>1.0165260499645015</v>
      </c>
      <c r="D132" s="278">
        <v>1.0093407905004923</v>
      </c>
      <c r="E132" s="278">
        <v>1.0076742318000922</v>
      </c>
      <c r="F132" s="278">
        <v>1.0060737811839113</v>
      </c>
      <c r="G132" s="278">
        <v>1.0044739413267514</v>
      </c>
      <c r="H132" s="279">
        <v>1.0030973623221431</v>
      </c>
      <c r="I132" s="237"/>
    </row>
    <row r="133" spans="1:9" ht="17.45" customHeight="1" x14ac:dyDescent="0.2">
      <c r="A133" s="273">
        <v>0.3</v>
      </c>
      <c r="B133" s="277">
        <v>1.020579266239497</v>
      </c>
      <c r="C133" s="278">
        <v>1.0111360287538469</v>
      </c>
      <c r="D133" s="278">
        <v>1.0062648373806837</v>
      </c>
      <c r="E133" s="278">
        <v>1.0051969280423174</v>
      </c>
      <c r="F133" s="278">
        <v>1.0041453360109343</v>
      </c>
      <c r="G133" s="278">
        <v>1.0030579599324956</v>
      </c>
      <c r="H133" s="279">
        <v>1.0021677456123625</v>
      </c>
      <c r="I133" s="237"/>
    </row>
    <row r="134" spans="1:9" ht="17.45" customHeight="1" x14ac:dyDescent="0.2">
      <c r="A134" s="273">
        <v>0.4</v>
      </c>
      <c r="B134" s="277">
        <v>1.0111318775130038</v>
      </c>
      <c r="C134" s="278">
        <v>1.0057533015885878</v>
      </c>
      <c r="D134" s="278">
        <v>1.0031790975910884</v>
      </c>
      <c r="E134" s="278">
        <v>1.0027087991562873</v>
      </c>
      <c r="F134" s="278">
        <v>1.002206355000302</v>
      </c>
      <c r="G134" s="278">
        <v>1.0016327910054572</v>
      </c>
      <c r="H134" s="279">
        <v>1.0012311887694045</v>
      </c>
      <c r="I134" s="237"/>
    </row>
    <row r="135" spans="1:9" ht="17.45" customHeight="1" x14ac:dyDescent="0.2">
      <c r="A135" s="273">
        <v>0.5</v>
      </c>
      <c r="B135" s="277">
        <v>1.0017719422129148</v>
      </c>
      <c r="C135" s="278">
        <v>1.0003780859684346</v>
      </c>
      <c r="D135" s="278">
        <v>1.0000836584268691</v>
      </c>
      <c r="E135" s="278">
        <v>1.0002098823355023</v>
      </c>
      <c r="F135" s="278">
        <v>1.0002568361119943</v>
      </c>
      <c r="G135" s="278">
        <v>1.0001984070675194</v>
      </c>
      <c r="H135" s="279">
        <v>1.0002876547401434</v>
      </c>
      <c r="I135" s="237"/>
    </row>
    <row r="136" spans="1:9" ht="17.45" customHeight="1" x14ac:dyDescent="0.2">
      <c r="A136" s="273">
        <v>0.6</v>
      </c>
      <c r="B136" s="277">
        <v>0.99249865079259081</v>
      </c>
      <c r="C136" s="278">
        <v>0.99501059813775206</v>
      </c>
      <c r="D136" s="278">
        <v>0.99697860857433929</v>
      </c>
      <c r="E136" s="278">
        <v>0.9977002160337507</v>
      </c>
      <c r="F136" s="278">
        <v>0.99829677820011165</v>
      </c>
      <c r="G136" s="278">
        <v>0.99875478108622684</v>
      </c>
      <c r="H136" s="279">
        <v>0.99933710652526875</v>
      </c>
      <c r="I136" s="237"/>
    </row>
    <row r="137" spans="1:9" ht="17.45" customHeight="1" x14ac:dyDescent="0.2">
      <c r="A137" s="273">
        <v>0.7</v>
      </c>
      <c r="B137" s="277">
        <v>0.98331120119927606</v>
      </c>
      <c r="C137" s="278">
        <v>0.98965105305219736</v>
      </c>
      <c r="D137" s="278">
        <v>0.99386403810514423</v>
      </c>
      <c r="E137" s="278">
        <v>0.99517983997005266</v>
      </c>
      <c r="F137" s="278">
        <v>0.99632618102275938</v>
      </c>
      <c r="G137" s="278">
        <v>0.99730188648413609</v>
      </c>
      <c r="H137" s="279">
        <v>0.99837950718448931</v>
      </c>
      <c r="I137" s="237"/>
    </row>
    <row r="138" spans="1:9" ht="17.45" customHeight="1" x14ac:dyDescent="0.2">
      <c r="A138" s="273">
        <v>0.8</v>
      </c>
      <c r="B138" s="277">
        <v>0.9742087988047281</v>
      </c>
      <c r="C138" s="278">
        <v>0.98429966434580474</v>
      </c>
      <c r="D138" s="278">
        <v>0.99074003847005232</v>
      </c>
      <c r="E138" s="278">
        <v>0.99264879513335569</v>
      </c>
      <c r="F138" s="278">
        <v>0.99434504525185785</v>
      </c>
      <c r="G138" s="278">
        <v>0.99583969714821496</v>
      </c>
      <c r="H138" s="279">
        <v>0.99741481984181346</v>
      </c>
      <c r="I138" s="237"/>
    </row>
    <row r="139" spans="1:9" ht="17.45" customHeight="1" x14ac:dyDescent="0.2">
      <c r="A139" s="273">
        <v>0.9</v>
      </c>
      <c r="B139" s="277">
        <v>0.96519065633648959</v>
      </c>
      <c r="C139" s="278">
        <v>0.97895664429853735</v>
      </c>
      <c r="D139" s="278">
        <v>0.98760670249235427</v>
      </c>
      <c r="E139" s="278">
        <v>0.9901071237869713</v>
      </c>
      <c r="F139" s="278">
        <v>0.99235337248286948</v>
      </c>
      <c r="G139" s="278">
        <v>0.99436818743928734</v>
      </c>
      <c r="H139" s="279">
        <v>0.99644300769090621</v>
      </c>
      <c r="I139" s="237"/>
    </row>
    <row r="140" spans="1:9" ht="17.45" customHeight="1" x14ac:dyDescent="0.2">
      <c r="A140" s="273">
        <v>1</v>
      </c>
      <c r="B140" s="277">
        <v>0.95625599380979664</v>
      </c>
      <c r="C140" s="278">
        <v>0.97362220380430209</v>
      </c>
      <c r="D140" s="278">
        <v>0.98446412436086816</v>
      </c>
      <c r="E140" s="278">
        <v>0.98755486947275306</v>
      </c>
      <c r="F140" s="278">
        <v>0.99035116524444644</v>
      </c>
      <c r="G140" s="278">
        <v>0.99288733220152259</v>
      </c>
      <c r="H140" s="279">
        <v>0.99546403400052408</v>
      </c>
      <c r="I140" s="237"/>
    </row>
    <row r="141" spans="1:9" ht="17.45" customHeight="1" x14ac:dyDescent="0.2">
      <c r="A141" s="273">
        <v>1.1000000000000001</v>
      </c>
      <c r="B141" s="277">
        <v>0.94740403846011778</v>
      </c>
      <c r="C141" s="278">
        <v>0.96829655233945144</v>
      </c>
      <c r="D141" s="278">
        <v>0.98131239962254857</v>
      </c>
      <c r="E141" s="278">
        <v>0.98499207701500691</v>
      </c>
      <c r="F141" s="278">
        <v>0.98833842700798458</v>
      </c>
      <c r="G141" s="278">
        <v>0.99139710677196602</v>
      </c>
      <c r="H141" s="279">
        <v>0.99447786212003042</v>
      </c>
      <c r="I141" s="237"/>
    </row>
    <row r="142" spans="1:9" ht="17.45" customHeight="1" x14ac:dyDescent="0.2">
      <c r="A142" s="273">
        <v>1.2</v>
      </c>
      <c r="B142" s="277">
        <v>0.93863402467631663</v>
      </c>
      <c r="C142" s="278">
        <v>0.96297989793176852</v>
      </c>
      <c r="D142" s="278">
        <v>0.97815162517470366</v>
      </c>
      <c r="E142" s="278">
        <v>0.98241879252413444</v>
      </c>
      <c r="F142" s="278">
        <v>0.98631516219708859</v>
      </c>
      <c r="G142" s="278">
        <v>0.98989748699010882</v>
      </c>
      <c r="H142" s="279">
        <v>0.9934844554849851</v>
      </c>
      <c r="I142" s="237"/>
    </row>
    <row r="143" spans="1:9" ht="17.45" customHeight="1" x14ac:dyDescent="0.2">
      <c r="A143" s="273">
        <v>1.3</v>
      </c>
      <c r="B143" s="277">
        <v>0.92994519393443387</v>
      </c>
      <c r="C143" s="278">
        <v>0.95767244712995458</v>
      </c>
      <c r="D143" s="278">
        <v>0.97498189925681322</v>
      </c>
      <c r="E143" s="278">
        <v>0.97983506339999915</v>
      </c>
      <c r="F143" s="278">
        <v>0.98428137619693978</v>
      </c>
      <c r="G143" s="278">
        <v>0.9883884492074978</v>
      </c>
      <c r="H143" s="279">
        <v>0.99248377762281503</v>
      </c>
      <c r="I143" s="237"/>
    </row>
    <row r="144" spans="1:9" ht="17.45" customHeight="1" x14ac:dyDescent="0.2">
      <c r="A144" s="273">
        <v>1.4</v>
      </c>
      <c r="B144" s="277">
        <v>0.92133679473208241</v>
      </c>
      <c r="C144" s="278">
        <v>0.95237440497362202</v>
      </c>
      <c r="D144" s="278">
        <v>0.97180332144195258</v>
      </c>
      <c r="E144" s="278">
        <v>0.97724093833501657</v>
      </c>
      <c r="F144" s="278">
        <v>0.98223707536355831</v>
      </c>
      <c r="G144" s="278">
        <v>0.98686997029737888</v>
      </c>
      <c r="H144" s="279">
        <v>0.99147579215856241</v>
      </c>
      <c r="I144" s="237"/>
    </row>
    <row r="145" spans="1:9" ht="17.45" customHeight="1" x14ac:dyDescent="0.2">
      <c r="A145" s="273">
        <v>1.5</v>
      </c>
      <c r="B145" s="277">
        <v>0.9128080825234488</v>
      </c>
      <c r="C145" s="278">
        <v>0.94708597496380098</v>
      </c>
      <c r="D145" s="278">
        <v>0.96861599262781994</v>
      </c>
      <c r="E145" s="278">
        <v>0.9746364673169603</v>
      </c>
      <c r="F145" s="278">
        <v>0.98018226703296552</v>
      </c>
      <c r="G145" s="278">
        <v>0.98534202766437373</v>
      </c>
      <c r="H145" s="279">
        <v>0.99046046282071043</v>
      </c>
      <c r="I145" s="237"/>
    </row>
    <row r="146" spans="1:9" ht="17.45" customHeight="1" x14ac:dyDescent="0.2">
      <c r="A146" s="273">
        <v>1.6</v>
      </c>
      <c r="B146" s="277">
        <v>0.90435831965489766</v>
      </c>
      <c r="C146" s="278">
        <v>0.94180735903397306</v>
      </c>
      <c r="D146" s="278">
        <v>0.9654200150273663</v>
      </c>
      <c r="E146" s="278">
        <v>0.97202170163148205</v>
      </c>
      <c r="F146" s="278">
        <v>0.97811695953023148</v>
      </c>
      <c r="G146" s="278">
        <v>0.98380459925418984</v>
      </c>
      <c r="H146" s="279">
        <v>0.98943775344708862</v>
      </c>
      <c r="I146" s="237"/>
    </row>
    <row r="147" spans="1:9" ht="17.45" customHeight="1" x14ac:dyDescent="0.2">
      <c r="A147" s="273">
        <v>1.7</v>
      </c>
      <c r="B147" s="277">
        <v>0.89598677530117088</v>
      </c>
      <c r="C147" s="278">
        <v>0.93653875752163374</v>
      </c>
      <c r="D147" s="278">
        <v>0.96221549215903168</v>
      </c>
      <c r="E147" s="278">
        <v>0.96939669386433946</v>
      </c>
      <c r="F147" s="278">
        <v>0.97604116217840964</v>
      </c>
      <c r="G147" s="278">
        <v>0.98225766356335631</v>
      </c>
      <c r="H147" s="279">
        <v>0.98840762799085469</v>
      </c>
      <c r="I147" s="237"/>
    </row>
    <row r="148" spans="1:9" ht="17.45" customHeight="1" x14ac:dyDescent="0.2">
      <c r="A148" s="273">
        <v>1.8</v>
      </c>
      <c r="B148" s="277">
        <v>0.8876927254021787</v>
      </c>
      <c r="C148" s="278">
        <v>0.93128036914039269</v>
      </c>
      <c r="D148" s="278">
        <v>0.95900252883658321</v>
      </c>
      <c r="E148" s="278">
        <v>0.96676149790333132</v>
      </c>
      <c r="F148" s="278">
        <v>0.97395488530735119</v>
      </c>
      <c r="G148" s="278">
        <v>0.98070119964898983</v>
      </c>
      <c r="H148" s="279">
        <v>0.9873700505265568</v>
      </c>
      <c r="I148" s="237"/>
    </row>
    <row r="149" spans="1:9" ht="17.45" customHeight="1" x14ac:dyDescent="0.2">
      <c r="A149" s="273">
        <v>1.9</v>
      </c>
      <c r="B149" s="277">
        <v>0.8794754526003753</v>
      </c>
      <c r="C149" s="278">
        <v>0.92603239095262302</v>
      </c>
      <c r="D149" s="278">
        <v>0.95578123115856017</v>
      </c>
      <c r="E149" s="278">
        <v>0.96411616893993057</v>
      </c>
      <c r="F149" s="278">
        <v>0.9718581402623957</v>
      </c>
      <c r="G149" s="278">
        <v>0.97913518713858061</v>
      </c>
      <c r="H149" s="279">
        <v>0.98632498525627266</v>
      </c>
      <c r="I149" s="237"/>
    </row>
    <row r="150" spans="1:9" ht="17.45" customHeight="1" x14ac:dyDescent="0.2">
      <c r="A150" s="273">
        <v>2</v>
      </c>
      <c r="B150" s="277">
        <v>0.87133424617871313</v>
      </c>
      <c r="C150" s="278">
        <v>0.9207950183426602</v>
      </c>
      <c r="D150" s="278">
        <v>0.95255170649732357</v>
      </c>
      <c r="E150" s="278">
        <v>0.96146076347061793</v>
      </c>
      <c r="F150" s="278">
        <v>0.96975093941293455</v>
      </c>
      <c r="G150" s="278">
        <v>0.97755960623980276</v>
      </c>
      <c r="H150" s="279">
        <v>0.98527239651582721</v>
      </c>
      <c r="I150" s="237"/>
    </row>
    <row r="151" spans="1:9" ht="17.45" customHeight="1" x14ac:dyDescent="0.2">
      <c r="A151" s="273">
        <v>2.1</v>
      </c>
      <c r="B151" s="277">
        <v>0.86326840199917421</v>
      </c>
      <c r="C151" s="278">
        <v>0.91556844499056245</v>
      </c>
      <c r="D151" s="278">
        <v>0.94931406348771341</v>
      </c>
      <c r="E151" s="278">
        <v>0.95879533929790628</v>
      </c>
      <c r="F151" s="278">
        <v>0.9676332961608396</v>
      </c>
      <c r="G151" s="278">
        <v>0.97597443775034332</v>
      </c>
      <c r="H151" s="279">
        <v>0.98421224878108837</v>
      </c>
      <c r="I151" s="237"/>
    </row>
    <row r="152" spans="1:9" ht="17.45" customHeight="1" x14ac:dyDescent="0.2">
      <c r="A152" s="273">
        <v>2.2000000000000002</v>
      </c>
      <c r="B152" s="277">
        <v>0.85527722244186688</v>
      </c>
      <c r="C152" s="278">
        <v>0.91035286284643613</v>
      </c>
      <c r="D152" s="278">
        <v>0.94606841201531378</v>
      </c>
      <c r="E152" s="278">
        <v>0.95611995553105766</v>
      </c>
      <c r="F152" s="278">
        <v>0.96550522494875524</v>
      </c>
      <c r="G152" s="278">
        <v>0.97437966306774604</v>
      </c>
      <c r="H152" s="279">
        <v>0.98314450667434039</v>
      </c>
      <c r="I152" s="237"/>
    </row>
    <row r="153" spans="1:9" ht="17.45" customHeight="1" x14ac:dyDescent="0.2">
      <c r="A153" s="273">
        <v>2.2999999999999998</v>
      </c>
      <c r="B153" s="277">
        <v>0.84736001634469016</v>
      </c>
      <c r="C153" s="278">
        <v>0.9051484621053334</v>
      </c>
      <c r="D153" s="278">
        <v>0.9428148632043265</v>
      </c>
      <c r="E153" s="278">
        <v>0.95343467258648351</v>
      </c>
      <c r="F153" s="278">
        <v>0.96336674126824795</v>
      </c>
      <c r="G153" s="278">
        <v>0.97277526419927074</v>
      </c>
      <c r="H153" s="279">
        <v>0.98206913497073522</v>
      </c>
      <c r="I153" s="237"/>
    </row>
    <row r="154" spans="1:9" ht="17.45" customHeight="1" x14ac:dyDescent="0.2">
      <c r="A154" s="273">
        <v>2.4</v>
      </c>
      <c r="B154" s="277">
        <v>0.83951609894355295</v>
      </c>
      <c r="C154" s="278">
        <v>0.89995543118272447</v>
      </c>
      <c r="D154" s="278">
        <v>0.93955352940505632</v>
      </c>
      <c r="E154" s="278">
        <v>0.95073955218782957</v>
      </c>
      <c r="F154" s="278">
        <v>0.96121786166780965</v>
      </c>
      <c r="G154" s="278">
        <v>0.97116122377176273</v>
      </c>
      <c r="H154" s="279">
        <v>0.98098609860482211</v>
      </c>
      <c r="I154" s="237"/>
    </row>
    <row r="155" spans="1:9" ht="17.45" customHeight="1" x14ac:dyDescent="0.2">
      <c r="A155" s="273">
        <v>2.5</v>
      </c>
      <c r="B155" s="277">
        <v>0.83174479181314964</v>
      </c>
      <c r="C155" s="278">
        <v>0.8947739566905567</v>
      </c>
      <c r="D155" s="278">
        <v>0.93628452418101016</v>
      </c>
      <c r="E155" s="278">
        <v>0.94803465736574133</v>
      </c>
      <c r="F155" s="278">
        <v>0.95905860376070917</v>
      </c>
      <c r="G155" s="278">
        <v>0.9695375250415309</v>
      </c>
      <c r="H155" s="279">
        <v>0.97989536267715194</v>
      </c>
      <c r="I155" s="237"/>
    </row>
    <row r="156" spans="1:9" ht="17.45" customHeight="1" x14ac:dyDescent="0.2">
      <c r="A156" s="273">
        <v>2.6</v>
      </c>
      <c r="B156" s="277">
        <v>0.82404542280828219</v>
      </c>
      <c r="C156" s="278">
        <v>0.88960422341389822</v>
      </c>
      <c r="D156" s="278">
        <v>0.93300796229560778</v>
      </c>
      <c r="E156" s="278">
        <v>0.94532005245730366</v>
      </c>
      <c r="F156" s="278">
        <v>0.95688898623268737</v>
      </c>
      <c r="G156" s="278">
        <v>0.96790415190423063</v>
      </c>
      <c r="H156" s="279">
        <v>0.97879689246096246</v>
      </c>
      <c r="I156" s="237"/>
    </row>
    <row r="157" spans="1:9" ht="17.45" customHeight="1" x14ac:dyDescent="0.2">
      <c r="A157" s="273">
        <v>2.7</v>
      </c>
      <c r="B157" s="277">
        <v>0.81641732600572547</v>
      </c>
      <c r="C157" s="278">
        <v>0.88444641428817405</v>
      </c>
      <c r="D157" s="278">
        <v>0.92972395969851218</v>
      </c>
      <c r="E157" s="278">
        <v>0.94259580310515312</v>
      </c>
      <c r="F157" s="278">
        <v>0.95470902884949205</v>
      </c>
      <c r="G157" s="278">
        <v>0.96626108890474993</v>
      </c>
      <c r="H157" s="279">
        <v>0.97769065340893646</v>
      </c>
      <c r="I157" s="237"/>
    </row>
    <row r="158" spans="1:9" ht="17.45" customHeight="1" x14ac:dyDescent="0.2">
      <c r="A158" s="273">
        <v>2.8</v>
      </c>
      <c r="B158" s="277">
        <v>0.80885984164663194</v>
      </c>
      <c r="C158" s="278">
        <v>0.87930071037700053</v>
      </c>
      <c r="D158" s="278">
        <v>0.9264326335115789</v>
      </c>
      <c r="E158" s="278">
        <v>0.93986197625626389</v>
      </c>
      <c r="F158" s="278">
        <v>0.95251875246424877</v>
      </c>
      <c r="G158" s="278">
        <v>0.9646083212470955</v>
      </c>
      <c r="H158" s="279">
        <v>0.97657661116003858</v>
      </c>
      <c r="I158" s="237"/>
    </row>
    <row r="159" spans="1:9" ht="17.45" customHeight="1" x14ac:dyDescent="0.2">
      <c r="A159" s="273">
        <v>2.9</v>
      </c>
      <c r="B159" s="277">
        <v>0.80137231607946835</v>
      </c>
      <c r="C159" s="278">
        <v>0.8741672908506195</v>
      </c>
      <c r="D159" s="278">
        <v>0.92313410201442625</v>
      </c>
      <c r="E159" s="278">
        <v>0.93711864016039725</v>
      </c>
      <c r="F159" s="278">
        <v>0.95031817902465876</v>
      </c>
      <c r="G159" s="278">
        <v>0.9629458348042742</v>
      </c>
      <c r="H159" s="279">
        <v>0.97545473154642737</v>
      </c>
      <c r="I159" s="237"/>
    </row>
    <row r="160" spans="1:9" ht="17.45" customHeight="1" x14ac:dyDescent="0.2">
      <c r="A160" s="273">
        <v>3</v>
      </c>
      <c r="B160" s="277">
        <v>0.79395410170348069</v>
      </c>
      <c r="C160" s="278">
        <v>0.86904633296493661</v>
      </c>
      <c r="D160" s="278">
        <v>0.91982848462962952</v>
      </c>
      <c r="E160" s="278">
        <v>0.93436586436821734</v>
      </c>
      <c r="F160" s="278">
        <v>0.94810733158002602</v>
      </c>
      <c r="G160" s="278">
        <v>0.96127361612816864</v>
      </c>
      <c r="H160" s="279">
        <v>0.97432498060044381</v>
      </c>
      <c r="I160" s="237"/>
    </row>
    <row r="161" spans="1:9" ht="17.45" customHeight="1" x14ac:dyDescent="0.2">
      <c r="A161" s="273">
        <v>3.1</v>
      </c>
      <c r="B161" s="277">
        <v>0.78660455691268316</v>
      </c>
      <c r="C161" s="278">
        <v>0.86393801204116827</v>
      </c>
      <c r="D161" s="278">
        <v>0.91651590190754539</v>
      </c>
      <c r="E161" s="278">
        <v>0.93160371972906786</v>
      </c>
      <c r="F161" s="278">
        <v>0.94588623428810248</v>
      </c>
      <c r="G161" s="278">
        <v>0.95959165245940403</v>
      </c>
      <c r="H161" s="279">
        <v>0.97318732456167278</v>
      </c>
      <c r="I161" s="237"/>
    </row>
    <row r="162" spans="1:9" ht="17.45" customHeight="1" x14ac:dyDescent="0.2">
      <c r="A162" s="273">
        <v>3.2</v>
      </c>
      <c r="B162" s="277">
        <v>0.77932304604036551</v>
      </c>
      <c r="C162" s="278">
        <v>0.85884250144609997</v>
      </c>
      <c r="D162" s="278">
        <v>0.91319647551076466</v>
      </c>
      <c r="E162" s="278">
        <v>0.92883227838840898</v>
      </c>
      <c r="F162" s="278">
        <v>0.94365491242175092</v>
      </c>
      <c r="G162" s="278">
        <v>0.957899931737202</v>
      </c>
      <c r="H162" s="279">
        <v>0.97204172988408155</v>
      </c>
      <c r="I162" s="237"/>
    </row>
    <row r="163" spans="1:9" ht="17.45" customHeight="1" x14ac:dyDescent="0.2">
      <c r="A163" s="273">
        <v>3.3</v>
      </c>
      <c r="B163" s="277">
        <v>0.77210893930411317</v>
      </c>
      <c r="C163" s="278">
        <v>0.85375997257295677</v>
      </c>
      <c r="D163" s="278">
        <v>0.9098703281981998</v>
      </c>
      <c r="E163" s="278">
        <v>0.92605161378491019</v>
      </c>
      <c r="F163" s="278">
        <v>0.94141339237541877</v>
      </c>
      <c r="G163" s="278">
        <v>0.95619844260921649</v>
      </c>
      <c r="H163" s="279">
        <v>0.97088816324323191</v>
      </c>
      <c r="I163" s="237"/>
    </row>
    <row r="164" spans="1:9" ht="17.45" customHeight="1" x14ac:dyDescent="0.2">
      <c r="A164" s="273">
        <v>3.4</v>
      </c>
      <c r="B164" s="277">
        <v>0.76496161275133701</v>
      </c>
      <c r="C164" s="278">
        <v>0.84869059482289166</v>
      </c>
      <c r="D164" s="278">
        <v>0.90653758380881122</v>
      </c>
      <c r="E164" s="278">
        <v>0.92326180064719798</v>
      </c>
      <c r="F164" s="278">
        <v>0.93916170167142032</v>
      </c>
      <c r="G164" s="278">
        <v>0.95448717444135478</v>
      </c>
      <c r="H164" s="279">
        <v>0.96972659154356466</v>
      </c>
      <c r="I164" s="237"/>
    </row>
    <row r="165" spans="1:9" ht="17.45" customHeight="1" x14ac:dyDescent="0.2">
      <c r="A165" s="273">
        <v>3.5</v>
      </c>
      <c r="B165" s="277">
        <v>0.75788044820530853</v>
      </c>
      <c r="C165" s="278">
        <v>0.84363453558709411</v>
      </c>
      <c r="D165" s="278">
        <v>0.90319836724497327</v>
      </c>
      <c r="E165" s="278">
        <v>0.92046291499025701</v>
      </c>
      <c r="F165" s="278">
        <v>0.93689986896601996</v>
      </c>
      <c r="G165" s="278">
        <v>0.95276611732757199</v>
      </c>
      <c r="H165" s="279">
        <v>0.96855698192575879</v>
      </c>
      <c r="I165" s="237"/>
    </row>
    <row r="166" spans="1:9" ht="17.45" customHeight="1" x14ac:dyDescent="0.2">
      <c r="A166" s="273">
        <v>3.6</v>
      </c>
      <c r="B166" s="277">
        <v>0.75086483321169173</v>
      </c>
      <c r="C166" s="278">
        <v>0.83859196022951388</v>
      </c>
      <c r="D166" s="278">
        <v>0.89985280445548799</v>
      </c>
      <c r="E166" s="278">
        <v>0.91765503411147953</v>
      </c>
      <c r="F166" s="278">
        <v>0.93462792405531403</v>
      </c>
      <c r="G166" s="278">
        <v>0.95103526209964206</v>
      </c>
      <c r="H166" s="279">
        <v>0.96737930177416109</v>
      </c>
      <c r="I166" s="237"/>
    </row>
    <row r="167" spans="1:9" ht="17.45" customHeight="1" x14ac:dyDescent="0.2">
      <c r="A167" s="273">
        <v>3.7</v>
      </c>
      <c r="B167" s="277">
        <v>0.74391416098557228</v>
      </c>
      <c r="C167" s="278">
        <v>0.83356303207021198</v>
      </c>
      <c r="D167" s="278">
        <v>0.89650102241824559</v>
      </c>
      <c r="E167" s="278">
        <v>0.91483823658636521</v>
      </c>
      <c r="F167" s="278">
        <v>0.93234589788090705</v>
      </c>
      <c r="G167" s="278">
        <v>0.94929460033689828</v>
      </c>
      <c r="H167" s="279">
        <v>0.96619351872429016</v>
      </c>
      <c r="I167" s="237"/>
    </row>
    <row r="168" spans="1:9" ht="17.45" customHeight="1" x14ac:dyDescent="0.2">
      <c r="A168" s="273">
        <v>3.8</v>
      </c>
      <c r="B168" s="277">
        <v>0.73702783035897657</v>
      </c>
      <c r="C168" s="278">
        <v>0.82854791236933267</v>
      </c>
      <c r="D168" s="278">
        <v>0.89314314912254245</v>
      </c>
      <c r="E168" s="278">
        <v>0.91201260226386816</v>
      </c>
      <c r="F168" s="278">
        <v>0.93005382253537594</v>
      </c>
      <c r="G168" s="278">
        <v>0.94754412437594238</v>
      </c>
      <c r="H168" s="279">
        <v>0.96499960067040869</v>
      </c>
      <c r="I168" s="237"/>
    </row>
    <row r="169" spans="1:9" ht="17.45" customHeight="1" x14ac:dyDescent="0.2">
      <c r="A169" s="273">
        <v>3.9</v>
      </c>
      <c r="B169" s="277">
        <v>0.73020524572887591</v>
      </c>
      <c r="C169" s="278">
        <v>0.82354676031169904</v>
      </c>
      <c r="D169" s="278">
        <v>0.88977931355105411</v>
      </c>
      <c r="E169" s="278">
        <v>0.90917821226138762</v>
      </c>
      <c r="F169" s="278">
        <v>0.92775173126751886</v>
      </c>
      <c r="G169" s="278">
        <v>0.94578382732031741</v>
      </c>
      <c r="H169" s="279">
        <v>0.96379751577316752</v>
      </c>
      <c r="I169" s="237"/>
    </row>
    <row r="170" spans="1:9" ht="17.45" customHeight="1" x14ac:dyDescent="0.2">
      <c r="A170" s="273">
        <v>4</v>
      </c>
      <c r="B170" s="277">
        <v>0.72273320325799995</v>
      </c>
      <c r="C170" s="278">
        <v>0.81777150270200005</v>
      </c>
      <c r="D170" s="278">
        <v>0.88579202260899992</v>
      </c>
      <c r="E170" s="278">
        <v>0.90584758564400003</v>
      </c>
      <c r="F170" s="278">
        <v>0.92501388432099996</v>
      </c>
      <c r="G170" s="278">
        <v>0.94367899132700006</v>
      </c>
      <c r="H170" s="279">
        <v>0.96239875623900006</v>
      </c>
      <c r="I170" s="237"/>
    </row>
    <row r="171" spans="1:9" ht="17.45" customHeight="1" x14ac:dyDescent="0.2">
      <c r="A171" s="273">
        <v>4.0999999999999996</v>
      </c>
      <c r="B171" s="277">
        <v>0.71613758888599999</v>
      </c>
      <c r="C171" s="278">
        <v>0.81286015101020004</v>
      </c>
      <c r="D171" s="278">
        <v>0.88246025954671992</v>
      </c>
      <c r="E171" s="278">
        <v>0.90302932070943998</v>
      </c>
      <c r="F171" s="278">
        <v>0.92272453158096002</v>
      </c>
      <c r="G171" s="278">
        <v>0.94192643668496012</v>
      </c>
      <c r="H171" s="279">
        <v>0.96119730106536005</v>
      </c>
      <c r="I171" s="237"/>
    </row>
    <row r="172" spans="1:9" ht="17.45" customHeight="1" x14ac:dyDescent="0.2">
      <c r="A172" s="273">
        <v>4.2</v>
      </c>
      <c r="B172" s="277">
        <v>0.70959579821919994</v>
      </c>
      <c r="C172" s="278">
        <v>0.80796749653080002</v>
      </c>
      <c r="D172" s="278">
        <v>0.87912731974507996</v>
      </c>
      <c r="E172" s="278">
        <v>0.90020620160695997</v>
      </c>
      <c r="F172" s="278">
        <v>0.92042757884123994</v>
      </c>
      <c r="G172" s="278">
        <v>0.94016538752204015</v>
      </c>
      <c r="H172" s="279">
        <v>0.95998790255484012</v>
      </c>
      <c r="I172" s="237"/>
    </row>
    <row r="173" spans="1:9" ht="17.45" customHeight="1" x14ac:dyDescent="0.2">
      <c r="A173" s="273">
        <v>4.3</v>
      </c>
      <c r="B173" s="277">
        <v>0.70310783125760001</v>
      </c>
      <c r="C173" s="278">
        <v>0.8030935392638</v>
      </c>
      <c r="D173" s="278">
        <v>0.87579320320407994</v>
      </c>
      <c r="E173" s="278">
        <v>0.89737822833656</v>
      </c>
      <c r="F173" s="278">
        <v>0.91812302610184005</v>
      </c>
      <c r="G173" s="278">
        <v>0.93839584383824015</v>
      </c>
      <c r="H173" s="279">
        <v>0.95877056070744016</v>
      </c>
      <c r="I173" s="237"/>
    </row>
    <row r="174" spans="1:9" ht="17.45" customHeight="1" x14ac:dyDescent="0.2">
      <c r="A174" s="273">
        <v>4.4000000000000004</v>
      </c>
      <c r="B174" s="277">
        <v>0.69667368800119989</v>
      </c>
      <c r="C174" s="278">
        <v>0.79823827920919999</v>
      </c>
      <c r="D174" s="278">
        <v>0.87245790992371997</v>
      </c>
      <c r="E174" s="278">
        <v>0.89454540089823997</v>
      </c>
      <c r="F174" s="278">
        <v>0.91581087336276001</v>
      </c>
      <c r="G174" s="278">
        <v>0.93661780563356012</v>
      </c>
      <c r="H174" s="279">
        <v>0.95754527552316004</v>
      </c>
      <c r="I174" s="237"/>
    </row>
    <row r="175" spans="1:9" ht="17.45" customHeight="1" x14ac:dyDescent="0.2">
      <c r="A175" s="273">
        <v>4.5</v>
      </c>
      <c r="B175" s="277">
        <v>0.69029336844999989</v>
      </c>
      <c r="C175" s="278">
        <v>0.79340171636700008</v>
      </c>
      <c r="D175" s="278">
        <v>0.86912143990399993</v>
      </c>
      <c r="E175" s="278">
        <v>0.89170771929199999</v>
      </c>
      <c r="F175" s="278">
        <v>0.91349112062399995</v>
      </c>
      <c r="G175" s="278">
        <v>0.93483127290800017</v>
      </c>
      <c r="H175" s="279">
        <v>0.95631204700200012</v>
      </c>
      <c r="I175" s="237"/>
    </row>
    <row r="176" spans="1:9" ht="17.45" customHeight="1" x14ac:dyDescent="0.2">
      <c r="A176" s="273">
        <v>4.5999999999999996</v>
      </c>
      <c r="B176" s="277">
        <v>0.68396687260400002</v>
      </c>
      <c r="C176" s="278">
        <v>0.78858385073720005</v>
      </c>
      <c r="D176" s="278">
        <v>0.86578379314491993</v>
      </c>
      <c r="E176" s="278">
        <v>0.88886518351784005</v>
      </c>
      <c r="F176" s="278">
        <v>0.91116376788555997</v>
      </c>
      <c r="G176" s="278">
        <v>0.93303624566156018</v>
      </c>
      <c r="H176" s="279">
        <v>0.95507087514396005</v>
      </c>
      <c r="I176" s="237"/>
    </row>
    <row r="177" spans="1:9" ht="17.45" customHeight="1" x14ac:dyDescent="0.2">
      <c r="A177" s="273">
        <v>4.7</v>
      </c>
      <c r="B177" s="277">
        <v>0.67769420046319995</v>
      </c>
      <c r="C177" s="278">
        <v>0.78378468231980003</v>
      </c>
      <c r="D177" s="278">
        <v>0.86244496964647988</v>
      </c>
      <c r="E177" s="278">
        <v>0.88601779357575994</v>
      </c>
      <c r="F177" s="278">
        <v>0.90882881514743996</v>
      </c>
      <c r="G177" s="278">
        <v>0.93123272389424017</v>
      </c>
      <c r="H177" s="279">
        <v>0.95382175994904006</v>
      </c>
      <c r="I177" s="237"/>
    </row>
    <row r="178" spans="1:9" ht="17.45" customHeight="1" x14ac:dyDescent="0.2">
      <c r="A178" s="273">
        <v>4.8</v>
      </c>
      <c r="B178" s="277">
        <v>0.6714753520276</v>
      </c>
      <c r="C178" s="278">
        <v>0.7790042111148</v>
      </c>
      <c r="D178" s="278">
        <v>0.85910496940867986</v>
      </c>
      <c r="E178" s="278">
        <v>0.88316554946575998</v>
      </c>
      <c r="F178" s="278">
        <v>0.90648626240964003</v>
      </c>
      <c r="G178" s="278">
        <v>0.92942070760604012</v>
      </c>
      <c r="H178" s="279">
        <v>0.95256470141724003</v>
      </c>
      <c r="I178" s="237"/>
    </row>
    <row r="179" spans="1:9" ht="17.45" customHeight="1" x14ac:dyDescent="0.2">
      <c r="A179" s="273">
        <v>4.9000000000000004</v>
      </c>
      <c r="B179" s="277">
        <v>0.66531032729719985</v>
      </c>
      <c r="C179" s="278">
        <v>0.77424243712220009</v>
      </c>
      <c r="D179" s="278">
        <v>0.8557637924315199</v>
      </c>
      <c r="E179" s="278">
        <v>0.88030845118783996</v>
      </c>
      <c r="F179" s="278">
        <v>0.90413610967215996</v>
      </c>
      <c r="G179" s="278">
        <v>0.92760019679696004</v>
      </c>
      <c r="H179" s="279">
        <v>0.95129969954856008</v>
      </c>
      <c r="I179" s="237"/>
    </row>
    <row r="180" spans="1:9" ht="17.45" customHeight="1" x14ac:dyDescent="0.2">
      <c r="A180" s="273">
        <v>5</v>
      </c>
      <c r="B180" s="277">
        <v>0.65919912627199995</v>
      </c>
      <c r="C180" s="278">
        <v>0.76949936034199995</v>
      </c>
      <c r="D180" s="278">
        <v>0.85242143871499998</v>
      </c>
      <c r="E180" s="278">
        <v>0.87744649874199998</v>
      </c>
      <c r="F180" s="278">
        <v>0.90177835693499997</v>
      </c>
      <c r="G180" s="278">
        <v>0.92577119146700015</v>
      </c>
      <c r="H180" s="279">
        <v>0.9500267543430001</v>
      </c>
      <c r="I180" s="237"/>
    </row>
    <row r="181" spans="1:9" ht="17.45" customHeight="1" x14ac:dyDescent="0.2">
      <c r="A181" s="273">
        <v>5.0999999999999996</v>
      </c>
      <c r="B181" s="277">
        <v>0.65314174895199995</v>
      </c>
      <c r="C181" s="278">
        <v>0.76477498077420003</v>
      </c>
      <c r="D181" s="278">
        <v>0.84907790825912</v>
      </c>
      <c r="E181" s="278">
        <v>0.87457969212824005</v>
      </c>
      <c r="F181" s="278">
        <v>0.89941300419815995</v>
      </c>
      <c r="G181" s="278">
        <v>0.92393369161616012</v>
      </c>
      <c r="H181" s="279">
        <v>0.94874586580056008</v>
      </c>
      <c r="I181" s="237"/>
    </row>
    <row r="182" spans="1:9" ht="17.45" customHeight="1" x14ac:dyDescent="0.2">
      <c r="A182" s="273">
        <v>5.2</v>
      </c>
      <c r="B182" s="277">
        <v>0.64713819533719996</v>
      </c>
      <c r="C182" s="278">
        <v>0.7600692984188</v>
      </c>
      <c r="D182" s="278">
        <v>0.84573320106387995</v>
      </c>
      <c r="E182" s="278">
        <v>0.87170803134655994</v>
      </c>
      <c r="F182" s="278">
        <v>0.89704005146164001</v>
      </c>
      <c r="G182" s="278">
        <v>0.92208769724444006</v>
      </c>
      <c r="H182" s="279">
        <v>0.94745703392124014</v>
      </c>
      <c r="I182" s="237"/>
    </row>
    <row r="183" spans="1:9" ht="17.45" customHeight="1" x14ac:dyDescent="0.2">
      <c r="A183" s="273">
        <v>5.3</v>
      </c>
      <c r="B183" s="277">
        <v>0.64118846542759989</v>
      </c>
      <c r="C183" s="278">
        <v>0.75538231327579997</v>
      </c>
      <c r="D183" s="278">
        <v>0.84238731712927994</v>
      </c>
      <c r="E183" s="278">
        <v>0.86883151639695999</v>
      </c>
      <c r="F183" s="278">
        <v>0.89465949872544004</v>
      </c>
      <c r="G183" s="278">
        <v>0.92023320835184008</v>
      </c>
      <c r="H183" s="279">
        <v>0.94616025870504006</v>
      </c>
      <c r="I183" s="237"/>
    </row>
    <row r="184" spans="1:9" ht="17.45" customHeight="1" x14ac:dyDescent="0.2">
      <c r="A184" s="273">
        <v>5.4</v>
      </c>
      <c r="B184" s="277">
        <v>0.63529255922319994</v>
      </c>
      <c r="C184" s="278">
        <v>0.75071402534520004</v>
      </c>
      <c r="D184" s="278">
        <v>0.83904025645531988</v>
      </c>
      <c r="E184" s="278">
        <v>0.86595014727943997</v>
      </c>
      <c r="F184" s="278">
        <v>0.89227134598955993</v>
      </c>
      <c r="G184" s="278">
        <v>0.91837022493836007</v>
      </c>
      <c r="H184" s="279">
        <v>0.94485554015196005</v>
      </c>
      <c r="I184" s="237"/>
    </row>
    <row r="185" spans="1:9" ht="17.45" customHeight="1" x14ac:dyDescent="0.2">
      <c r="A185" s="273">
        <v>5.5</v>
      </c>
      <c r="B185" s="277">
        <v>0.62945047672400001</v>
      </c>
      <c r="C185" s="278">
        <v>0.74606443462700001</v>
      </c>
      <c r="D185" s="278">
        <v>0.83569201904199997</v>
      </c>
      <c r="E185" s="278">
        <v>0.863063923994</v>
      </c>
      <c r="F185" s="278">
        <v>0.88987559325400001</v>
      </c>
      <c r="G185" s="278">
        <v>0.91649874700400014</v>
      </c>
      <c r="H185" s="279">
        <v>0.94354287826200012</v>
      </c>
      <c r="I185" s="237"/>
    </row>
    <row r="186" spans="1:9" ht="17.45" customHeight="1" x14ac:dyDescent="0.2">
      <c r="A186" s="273">
        <v>5.6</v>
      </c>
      <c r="B186" s="277">
        <v>0.62366221792999998</v>
      </c>
      <c r="C186" s="278">
        <v>0.74143354112120008</v>
      </c>
      <c r="D186" s="278">
        <v>0.83234260488931988</v>
      </c>
      <c r="E186" s="278">
        <v>0.86017284654063997</v>
      </c>
      <c r="F186" s="278">
        <v>0.88747224051876006</v>
      </c>
      <c r="G186" s="278">
        <v>0.91461877454876017</v>
      </c>
      <c r="H186" s="279">
        <v>0.94222227303516015</v>
      </c>
      <c r="I186" s="237"/>
    </row>
    <row r="187" spans="1:9" ht="17.45" customHeight="1" x14ac:dyDescent="0.2">
      <c r="A187" s="273">
        <v>5.7</v>
      </c>
      <c r="B187" s="277">
        <v>0.61792778284119998</v>
      </c>
      <c r="C187" s="278">
        <v>0.73682134482780004</v>
      </c>
      <c r="D187" s="278">
        <v>0.82899201399727995</v>
      </c>
      <c r="E187" s="278">
        <v>0.85727691491935998</v>
      </c>
      <c r="F187" s="278">
        <v>0.88506128778383997</v>
      </c>
      <c r="G187" s="278">
        <v>0.91273030757264006</v>
      </c>
      <c r="H187" s="279">
        <v>0.94089372447144004</v>
      </c>
      <c r="I187" s="237"/>
    </row>
    <row r="188" spans="1:9" ht="17.45" customHeight="1" x14ac:dyDescent="0.2">
      <c r="A188" s="273">
        <v>5.8</v>
      </c>
      <c r="B188" s="277">
        <v>0.61224717145759999</v>
      </c>
      <c r="C188" s="278">
        <v>0.7322278457468</v>
      </c>
      <c r="D188" s="278">
        <v>0.82564024636587996</v>
      </c>
      <c r="E188" s="278">
        <v>0.85437612913015992</v>
      </c>
      <c r="F188" s="278">
        <v>0.88264273504923996</v>
      </c>
      <c r="G188" s="278">
        <v>0.91083334607564015</v>
      </c>
      <c r="H188" s="279">
        <v>0.93955723257084012</v>
      </c>
      <c r="I188" s="237"/>
    </row>
    <row r="189" spans="1:9" ht="17.45" customHeight="1" x14ac:dyDescent="0.2">
      <c r="A189" s="273">
        <v>5.9</v>
      </c>
      <c r="B189" s="277">
        <v>0.60662038377919991</v>
      </c>
      <c r="C189" s="278">
        <v>0.72765304387820007</v>
      </c>
      <c r="D189" s="278">
        <v>0.8222873019951199</v>
      </c>
      <c r="E189" s="278">
        <v>0.85147048917303991</v>
      </c>
      <c r="F189" s="278">
        <v>0.88021658231495992</v>
      </c>
      <c r="G189" s="278">
        <v>0.90892789005776009</v>
      </c>
      <c r="H189" s="279">
        <v>0.93821279733336005</v>
      </c>
      <c r="I189" s="237"/>
    </row>
    <row r="190" spans="1:9" ht="17.45" customHeight="1" x14ac:dyDescent="0.2">
      <c r="A190" s="273">
        <v>6</v>
      </c>
      <c r="B190" s="277">
        <v>0.60104741980599996</v>
      </c>
      <c r="C190" s="278">
        <v>0.72309693922200002</v>
      </c>
      <c r="D190" s="278">
        <v>0.818933180885</v>
      </c>
      <c r="E190" s="278">
        <v>0.84855999504799995</v>
      </c>
      <c r="F190" s="278">
        <v>0.87778282958099996</v>
      </c>
      <c r="G190" s="278">
        <v>0.90701393951900011</v>
      </c>
      <c r="H190" s="279">
        <v>0.93686041875900006</v>
      </c>
      <c r="I190" s="237"/>
    </row>
    <row r="191" spans="1:9" ht="17.45" customHeight="1" x14ac:dyDescent="0.2">
      <c r="A191" s="273">
        <v>6.1</v>
      </c>
      <c r="B191" s="277">
        <v>0.59552827953799992</v>
      </c>
      <c r="C191" s="278">
        <v>0.71855953177820009</v>
      </c>
      <c r="D191" s="278">
        <v>0.81557788303551992</v>
      </c>
      <c r="E191" s="278">
        <v>0.84564464675504003</v>
      </c>
      <c r="F191" s="278">
        <v>0.87534147684735997</v>
      </c>
      <c r="G191" s="278">
        <v>0.9050914944593601</v>
      </c>
      <c r="H191" s="279">
        <v>0.93550009684776014</v>
      </c>
      <c r="I191" s="237"/>
    </row>
    <row r="192" spans="1:9" ht="17.45" customHeight="1" x14ac:dyDescent="0.2">
      <c r="A192" s="273">
        <v>6.2</v>
      </c>
      <c r="B192" s="277">
        <v>0.59006296297519989</v>
      </c>
      <c r="C192" s="278">
        <v>0.71404082154680004</v>
      </c>
      <c r="D192" s="278">
        <v>0.81222140844667989</v>
      </c>
      <c r="E192" s="278">
        <v>0.84272444429415994</v>
      </c>
      <c r="F192" s="278">
        <v>0.87289252411403995</v>
      </c>
      <c r="G192" s="278">
        <v>0.90316055487884006</v>
      </c>
      <c r="H192" s="279">
        <v>0.93413183159964008</v>
      </c>
      <c r="I192" s="237"/>
    </row>
    <row r="193" spans="1:9" ht="17.45" customHeight="1" x14ac:dyDescent="0.2">
      <c r="A193" s="273">
        <v>6.3</v>
      </c>
      <c r="B193" s="277">
        <v>0.58465147011759999</v>
      </c>
      <c r="C193" s="278">
        <v>0.7095408085278001</v>
      </c>
      <c r="D193" s="278">
        <v>0.80886375711847991</v>
      </c>
      <c r="E193" s="278">
        <v>0.83979938766536</v>
      </c>
      <c r="F193" s="278">
        <v>0.87043597138104001</v>
      </c>
      <c r="G193" s="278">
        <v>0.9012211207774401</v>
      </c>
      <c r="H193" s="279">
        <v>0.9327556230146401</v>
      </c>
      <c r="I193" s="237"/>
    </row>
    <row r="194" spans="1:9" ht="17.45" customHeight="1" x14ac:dyDescent="0.2">
      <c r="A194" s="273">
        <v>6.4</v>
      </c>
      <c r="B194" s="281">
        <v>0.57929380096519989</v>
      </c>
      <c r="C194" s="282">
        <v>0.70505949272120005</v>
      </c>
      <c r="D194" s="282">
        <v>0.80550492905091997</v>
      </c>
      <c r="E194" s="282">
        <v>0.83686947686863999</v>
      </c>
      <c r="F194" s="282">
        <v>0.86797181864836004</v>
      </c>
      <c r="G194" s="282">
        <v>0.89927319215516011</v>
      </c>
      <c r="H194" s="283">
        <v>0.93137147109276008</v>
      </c>
      <c r="I194" s="237"/>
    </row>
    <row r="195" spans="1:9" ht="17.45" customHeight="1" x14ac:dyDescent="0.2">
      <c r="A195" s="273">
        <v>6.5</v>
      </c>
      <c r="B195" s="284">
        <v>0.57398995551799992</v>
      </c>
      <c r="C195" s="285">
        <v>0.700596874127</v>
      </c>
      <c r="D195" s="285">
        <v>0.80214492424399997</v>
      </c>
      <c r="E195" s="285">
        <v>0.83393471190399993</v>
      </c>
      <c r="F195" s="285">
        <v>0.86550006591599993</v>
      </c>
      <c r="G195" s="285">
        <v>0.89731676901200008</v>
      </c>
      <c r="H195" s="286">
        <v>0.92997937583400003</v>
      </c>
      <c r="I195" s="237"/>
    </row>
    <row r="196" spans="1:9" ht="17.45" customHeight="1" x14ac:dyDescent="0.2">
      <c r="A196" s="273">
        <v>6.6</v>
      </c>
      <c r="B196" s="277">
        <v>0.56873993377599996</v>
      </c>
      <c r="C196" s="278">
        <v>0.69615295274520006</v>
      </c>
      <c r="D196" s="278">
        <v>0.7987837426977199</v>
      </c>
      <c r="E196" s="278">
        <v>0.83099509277144001</v>
      </c>
      <c r="F196" s="278">
        <v>0.86302071318396001</v>
      </c>
      <c r="G196" s="278">
        <v>0.89535185134796014</v>
      </c>
      <c r="H196" s="279">
        <v>0.92857933723836006</v>
      </c>
      <c r="I196" s="237"/>
    </row>
    <row r="197" spans="1:9" ht="17.45" customHeight="1" x14ac:dyDescent="0.2">
      <c r="A197" s="273">
        <v>6.7</v>
      </c>
      <c r="B197" s="277">
        <v>0.56354373573919991</v>
      </c>
      <c r="C197" s="278">
        <v>0.6917277285758</v>
      </c>
      <c r="D197" s="278">
        <v>0.79542138441207988</v>
      </c>
      <c r="E197" s="278">
        <v>0.82805061947095993</v>
      </c>
      <c r="F197" s="278">
        <v>0.86053376045223995</v>
      </c>
      <c r="G197" s="278">
        <v>0.89337843916304016</v>
      </c>
      <c r="H197" s="279">
        <v>0.92717135530584005</v>
      </c>
      <c r="I197" s="237"/>
    </row>
    <row r="198" spans="1:9" ht="17.45" customHeight="1" x14ac:dyDescent="0.2">
      <c r="A198" s="273">
        <v>6.8</v>
      </c>
      <c r="B198" s="277">
        <v>0.55840136140759988</v>
      </c>
      <c r="C198" s="278">
        <v>0.68732120161880006</v>
      </c>
      <c r="D198" s="278">
        <v>0.7920578493870799</v>
      </c>
      <c r="E198" s="278">
        <v>0.82510129200255999</v>
      </c>
      <c r="F198" s="278">
        <v>0.85803920772083997</v>
      </c>
      <c r="G198" s="278">
        <v>0.89139653245724015</v>
      </c>
      <c r="H198" s="279">
        <v>0.92575543003644012</v>
      </c>
      <c r="I198" s="237"/>
    </row>
    <row r="199" spans="1:9" ht="17.45" customHeight="1" x14ac:dyDescent="0.2">
      <c r="A199" s="273">
        <v>6.9</v>
      </c>
      <c r="B199" s="290">
        <v>0.55331281078119998</v>
      </c>
      <c r="C199" s="291">
        <v>0.6829333718742</v>
      </c>
      <c r="D199" s="291">
        <v>0.78869313762271998</v>
      </c>
      <c r="E199" s="291">
        <v>0.82214711036623989</v>
      </c>
      <c r="F199" s="291">
        <v>0.85553705498975996</v>
      </c>
      <c r="G199" s="291">
        <v>0.88940613123056012</v>
      </c>
      <c r="H199" s="292">
        <v>0.92433156143016004</v>
      </c>
      <c r="I199" s="237"/>
    </row>
    <row r="200" spans="1:9" ht="17.45" customHeight="1" x14ac:dyDescent="0.2">
      <c r="A200" s="273">
        <v>7</v>
      </c>
      <c r="B200" s="287">
        <v>0.54827808385999999</v>
      </c>
      <c r="C200" s="288">
        <v>0.67856423934200005</v>
      </c>
      <c r="D200" s="288">
        <v>0.78532724911899998</v>
      </c>
      <c r="E200" s="288">
        <v>0.81918807456199993</v>
      </c>
      <c r="F200" s="288">
        <v>0.85302730225900003</v>
      </c>
      <c r="G200" s="288">
        <v>0.88740723548300016</v>
      </c>
      <c r="H200" s="289">
        <v>0.92289974948700004</v>
      </c>
      <c r="I200" s="237"/>
    </row>
    <row r="201" spans="1:9" ht="17.45" customHeight="1" x14ac:dyDescent="0.2">
      <c r="A201" s="273">
        <v>7.1</v>
      </c>
      <c r="B201" s="277">
        <v>0.5432971806439999</v>
      </c>
      <c r="C201" s="278">
        <v>0.6742138040222001</v>
      </c>
      <c r="D201" s="278">
        <v>0.78196018387591992</v>
      </c>
      <c r="E201" s="278">
        <v>0.81622418458983992</v>
      </c>
      <c r="F201" s="278">
        <v>0.85050994952855996</v>
      </c>
      <c r="G201" s="278">
        <v>0.88539984521456017</v>
      </c>
      <c r="H201" s="279">
        <v>0.92145999420696012</v>
      </c>
      <c r="I201" s="237"/>
    </row>
    <row r="202" spans="1:9" ht="17.45" customHeight="1" x14ac:dyDescent="0.2">
      <c r="A202" s="273">
        <v>7.2</v>
      </c>
      <c r="B202" s="277">
        <v>0.53837010113319994</v>
      </c>
      <c r="C202" s="278">
        <v>0.66988206591480004</v>
      </c>
      <c r="D202" s="278">
        <v>0.77859194189347991</v>
      </c>
      <c r="E202" s="278">
        <v>0.81325544044975995</v>
      </c>
      <c r="F202" s="278">
        <v>0.84798499679843997</v>
      </c>
      <c r="G202" s="278">
        <v>0.88338396042524014</v>
      </c>
      <c r="H202" s="279">
        <v>0.92001229559004005</v>
      </c>
      <c r="I202" s="237"/>
    </row>
    <row r="203" spans="1:9" ht="17.45" customHeight="1" x14ac:dyDescent="0.2">
      <c r="A203" s="273">
        <v>7.3</v>
      </c>
      <c r="B203" s="277">
        <v>0.5334968453276</v>
      </c>
      <c r="C203" s="278">
        <v>0.66556902501980009</v>
      </c>
      <c r="D203" s="278">
        <v>0.77522252317167994</v>
      </c>
      <c r="E203" s="278">
        <v>0.81028184214175991</v>
      </c>
      <c r="F203" s="278">
        <v>0.84545244406863995</v>
      </c>
      <c r="G203" s="278">
        <v>0.88135958111504009</v>
      </c>
      <c r="H203" s="279">
        <v>0.91855665363624006</v>
      </c>
      <c r="I203" s="237"/>
    </row>
    <row r="204" spans="1:9" ht="17.45" customHeight="1" x14ac:dyDescent="0.2">
      <c r="A204" s="273">
        <v>7.4</v>
      </c>
      <c r="B204" s="281">
        <v>0.52867741322719997</v>
      </c>
      <c r="C204" s="282">
        <v>0.66127468133720002</v>
      </c>
      <c r="D204" s="282">
        <v>0.77185192771051991</v>
      </c>
      <c r="E204" s="282">
        <v>0.80730338966583992</v>
      </c>
      <c r="F204" s="282">
        <v>0.84291229133916001</v>
      </c>
      <c r="G204" s="282">
        <v>0.87932670728396012</v>
      </c>
      <c r="H204" s="283">
        <v>0.91709306834556004</v>
      </c>
      <c r="I204" s="237"/>
    </row>
    <row r="205" spans="1:9" ht="17.45" customHeight="1" x14ac:dyDescent="0.2">
      <c r="A205" s="273">
        <v>7.5</v>
      </c>
      <c r="B205" s="284">
        <v>0.52391180483199995</v>
      </c>
      <c r="C205" s="285">
        <v>0.65699903486700006</v>
      </c>
      <c r="D205" s="285">
        <v>0.76848015550999993</v>
      </c>
      <c r="E205" s="285">
        <v>0.80432008302199998</v>
      </c>
      <c r="F205" s="285">
        <v>0.84036453861000004</v>
      </c>
      <c r="G205" s="285">
        <v>0.87728533893200011</v>
      </c>
      <c r="H205" s="286">
        <v>0.91562153971800009</v>
      </c>
      <c r="I205" s="237"/>
    </row>
    <row r="206" spans="1:9" ht="17.45" customHeight="1" x14ac:dyDescent="0.2">
      <c r="A206" s="273">
        <v>7.6</v>
      </c>
      <c r="B206" s="277">
        <v>0.51920002014199995</v>
      </c>
      <c r="C206" s="278">
        <v>0.65274208560920011</v>
      </c>
      <c r="D206" s="278">
        <v>0.76510720657011988</v>
      </c>
      <c r="E206" s="278">
        <v>0.80133192221023997</v>
      </c>
      <c r="F206" s="278">
        <v>0.83780918588116005</v>
      </c>
      <c r="G206" s="278">
        <v>0.87523547605916008</v>
      </c>
      <c r="H206" s="279">
        <v>0.91414206775356011</v>
      </c>
      <c r="I206" s="237"/>
    </row>
    <row r="207" spans="1:9" ht="17.45" customHeight="1" x14ac:dyDescent="0.2">
      <c r="A207" s="273">
        <v>7.7</v>
      </c>
      <c r="B207" s="277">
        <v>0.51454205915719997</v>
      </c>
      <c r="C207" s="278">
        <v>0.64850383356380004</v>
      </c>
      <c r="D207" s="278">
        <v>0.76173308089087999</v>
      </c>
      <c r="E207" s="278">
        <v>0.79833890723056</v>
      </c>
      <c r="F207" s="278">
        <v>0.83524623315264002</v>
      </c>
      <c r="G207" s="278">
        <v>0.87317711866544012</v>
      </c>
      <c r="H207" s="279">
        <v>0.91265465245224009</v>
      </c>
      <c r="I207" s="237"/>
    </row>
    <row r="208" spans="1:9" ht="17.45" customHeight="1" x14ac:dyDescent="0.2">
      <c r="A208" s="273">
        <v>7.8</v>
      </c>
      <c r="B208" s="277">
        <v>0.50993792187760001</v>
      </c>
      <c r="C208" s="278">
        <v>0.64428427873080008</v>
      </c>
      <c r="D208" s="278">
        <v>0.75835777847227992</v>
      </c>
      <c r="E208" s="278">
        <v>0.79534103808295997</v>
      </c>
      <c r="F208" s="278">
        <v>0.83267568042443996</v>
      </c>
      <c r="G208" s="278">
        <v>0.87111026675084013</v>
      </c>
      <c r="H208" s="279">
        <v>0.91115929381404004</v>
      </c>
      <c r="I208" s="237"/>
    </row>
    <row r="209" spans="1:9" ht="17.45" customHeight="1" x14ac:dyDescent="0.2">
      <c r="A209" s="273">
        <v>7.9</v>
      </c>
      <c r="B209" s="290">
        <v>0.50538760830319995</v>
      </c>
      <c r="C209" s="291">
        <v>0.6400834211102</v>
      </c>
      <c r="D209" s="291">
        <v>0.7549812993143199</v>
      </c>
      <c r="E209" s="291">
        <v>0.79233831476743999</v>
      </c>
      <c r="F209" s="291">
        <v>0.83009752769655998</v>
      </c>
      <c r="G209" s="291">
        <v>0.86903492031536012</v>
      </c>
      <c r="H209" s="292">
        <v>0.90965599183896007</v>
      </c>
      <c r="I209" s="237"/>
    </row>
    <row r="210" spans="1:9" ht="17.45" customHeight="1" x14ac:dyDescent="0.2">
      <c r="A210" s="273">
        <v>8</v>
      </c>
      <c r="B210" s="287">
        <v>0.50089111843399992</v>
      </c>
      <c r="C210" s="288">
        <v>0.63590126070200004</v>
      </c>
      <c r="D210" s="288">
        <v>0.75160364341699992</v>
      </c>
      <c r="E210" s="288">
        <v>0.78933073728399994</v>
      </c>
      <c r="F210" s="288">
        <v>0.82751177496899997</v>
      </c>
      <c r="G210" s="288">
        <v>0.86695107935900007</v>
      </c>
      <c r="H210" s="289">
        <v>0.90814474652700006</v>
      </c>
      <c r="I210" s="237"/>
    </row>
    <row r="211" spans="1:9" ht="17.45" customHeight="1" x14ac:dyDescent="0.2">
      <c r="A211" s="273">
        <v>8.1</v>
      </c>
      <c r="B211" s="277">
        <v>0.49644845227000001</v>
      </c>
      <c r="C211" s="278">
        <v>0.63173779750619996</v>
      </c>
      <c r="D211" s="278">
        <v>0.74822481078031999</v>
      </c>
      <c r="E211" s="278">
        <v>0.78631830563263994</v>
      </c>
      <c r="F211" s="278">
        <v>0.82491842224176004</v>
      </c>
      <c r="G211" s="278">
        <v>0.86485874388176009</v>
      </c>
      <c r="H211" s="279">
        <v>0.90662555787816013</v>
      </c>
      <c r="I211" s="237"/>
    </row>
    <row r="212" spans="1:9" ht="17.45" customHeight="1" x14ac:dyDescent="0.2">
      <c r="A212" s="273">
        <v>8.1999999999999993</v>
      </c>
      <c r="B212" s="277">
        <v>0.4920596098112</v>
      </c>
      <c r="C212" s="278">
        <v>0.62759303152279999</v>
      </c>
      <c r="D212" s="278">
        <v>0.74484480140427989</v>
      </c>
      <c r="E212" s="278">
        <v>0.78330101981335998</v>
      </c>
      <c r="F212" s="278">
        <v>0.82231746951483997</v>
      </c>
      <c r="G212" s="278">
        <v>0.86275791388364009</v>
      </c>
      <c r="H212" s="279">
        <v>0.90509842589244016</v>
      </c>
      <c r="I212" s="237"/>
    </row>
    <row r="213" spans="1:9" ht="17.45" customHeight="1" x14ac:dyDescent="0.2">
      <c r="A213" s="273">
        <v>8.3000000000000007</v>
      </c>
      <c r="B213" s="277">
        <v>0.48772459105759991</v>
      </c>
      <c r="C213" s="278">
        <v>0.62346696275180002</v>
      </c>
      <c r="D213" s="278">
        <v>0.74146361528887983</v>
      </c>
      <c r="E213" s="278">
        <v>0.78027887982615995</v>
      </c>
      <c r="F213" s="278">
        <v>0.81970891678823998</v>
      </c>
      <c r="G213" s="278">
        <v>0.86064858936464006</v>
      </c>
      <c r="H213" s="279">
        <v>0.90356335056984005</v>
      </c>
      <c r="I213" s="237"/>
    </row>
    <row r="214" spans="1:9" ht="17.45" customHeight="1" x14ac:dyDescent="0.2">
      <c r="A214" s="273">
        <v>8.4</v>
      </c>
      <c r="B214" s="281">
        <v>0.48344339600919994</v>
      </c>
      <c r="C214" s="282">
        <v>0.61935959119319994</v>
      </c>
      <c r="D214" s="282">
        <v>0.73808125243411993</v>
      </c>
      <c r="E214" s="282">
        <v>0.77725188567103998</v>
      </c>
      <c r="F214" s="282">
        <v>0.81709276406195996</v>
      </c>
      <c r="G214" s="282">
        <v>0.85853077032476011</v>
      </c>
      <c r="H214" s="283">
        <v>0.90202033191036013</v>
      </c>
      <c r="I214" s="237"/>
    </row>
    <row r="215" spans="1:9" ht="17.45" customHeight="1" x14ac:dyDescent="0.2">
      <c r="A215" s="273">
        <v>8.5</v>
      </c>
      <c r="B215" s="284">
        <v>0.47921602466599988</v>
      </c>
      <c r="C215" s="285">
        <v>0.61527091684700008</v>
      </c>
      <c r="D215" s="285">
        <v>0.73469771283999996</v>
      </c>
      <c r="E215" s="285">
        <v>0.77422003734799993</v>
      </c>
      <c r="F215" s="285">
        <v>0.81446901133600003</v>
      </c>
      <c r="G215" s="285">
        <v>0.85640445676400012</v>
      </c>
      <c r="H215" s="286">
        <v>0.90046936991400006</v>
      </c>
      <c r="I215" s="237"/>
    </row>
    <row r="216" spans="1:9" ht="17.45" customHeight="1" x14ac:dyDescent="0.2">
      <c r="A216" s="273">
        <v>8.6</v>
      </c>
      <c r="B216" s="277">
        <v>0.47504247702799995</v>
      </c>
      <c r="C216" s="278">
        <v>0.61120093971320011</v>
      </c>
      <c r="D216" s="278">
        <v>0.73131299650651993</v>
      </c>
      <c r="E216" s="278">
        <v>0.77118333485703994</v>
      </c>
      <c r="F216" s="278">
        <v>0.81183765861035995</v>
      </c>
      <c r="G216" s="278">
        <v>0.85426964868236011</v>
      </c>
      <c r="H216" s="279">
        <v>0.89891046458076007</v>
      </c>
      <c r="I216" s="237"/>
    </row>
    <row r="217" spans="1:9" ht="17.45" customHeight="1" x14ac:dyDescent="0.2">
      <c r="A217" s="273">
        <v>8.6999999999999993</v>
      </c>
      <c r="B217" s="277">
        <v>0.47092275309519993</v>
      </c>
      <c r="C217" s="278">
        <v>0.60714965979180002</v>
      </c>
      <c r="D217" s="278">
        <v>0.72792710343367995</v>
      </c>
      <c r="E217" s="278">
        <v>0.76814177819815999</v>
      </c>
      <c r="F217" s="278">
        <v>0.80919870588504006</v>
      </c>
      <c r="G217" s="278">
        <v>0.85212634607984017</v>
      </c>
      <c r="H217" s="279">
        <v>0.89734361591064005</v>
      </c>
      <c r="I217" s="237"/>
    </row>
    <row r="218" spans="1:9" ht="17.45" customHeight="1" x14ac:dyDescent="0.2">
      <c r="A218" s="273">
        <v>8.8000000000000007</v>
      </c>
      <c r="B218" s="277">
        <v>0.46685685286759993</v>
      </c>
      <c r="C218" s="278">
        <v>0.60311707708280005</v>
      </c>
      <c r="D218" s="278">
        <v>0.7245400336214799</v>
      </c>
      <c r="E218" s="278">
        <v>0.76509536737135997</v>
      </c>
      <c r="F218" s="278">
        <v>0.80655215316003992</v>
      </c>
      <c r="G218" s="278">
        <v>0.84997454895644009</v>
      </c>
      <c r="H218" s="279">
        <v>0.8957688239036401</v>
      </c>
      <c r="I218" s="237"/>
    </row>
    <row r="219" spans="1:9" ht="17.45" customHeight="1" x14ac:dyDescent="0.2">
      <c r="A219" s="273">
        <v>8.9</v>
      </c>
      <c r="B219" s="290">
        <v>0.46284477634519994</v>
      </c>
      <c r="C219" s="291">
        <v>0.59910319158619996</v>
      </c>
      <c r="D219" s="291">
        <v>0.72115178706992</v>
      </c>
      <c r="E219" s="291">
        <v>0.76204410237664</v>
      </c>
      <c r="F219" s="291">
        <v>0.80389800043535997</v>
      </c>
      <c r="G219" s="291">
        <v>0.84781425731216009</v>
      </c>
      <c r="H219" s="292">
        <v>0.89418608855976012</v>
      </c>
      <c r="I219" s="237"/>
    </row>
    <row r="220" spans="1:9" ht="17.45" customHeight="1" x14ac:dyDescent="0.2">
      <c r="A220" s="273">
        <v>9</v>
      </c>
      <c r="B220" s="287">
        <v>0.45888652352799986</v>
      </c>
      <c r="C220" s="288">
        <v>0.59510800330200009</v>
      </c>
      <c r="D220" s="288">
        <v>0.71776236377899993</v>
      </c>
      <c r="E220" s="288">
        <v>0.75898798321399996</v>
      </c>
      <c r="F220" s="288">
        <v>0.80123624771099999</v>
      </c>
      <c r="G220" s="288">
        <v>0.84564547114700006</v>
      </c>
      <c r="H220" s="289">
        <v>0.8925954098790001</v>
      </c>
      <c r="I220" s="237"/>
    </row>
    <row r="221" spans="1:9" ht="17.45" customHeight="1" x14ac:dyDescent="0.2">
      <c r="A221" s="273">
        <v>9.1</v>
      </c>
      <c r="B221" s="277">
        <v>0.4549820944159999</v>
      </c>
      <c r="C221" s="278">
        <v>0.59113151223020011</v>
      </c>
      <c r="D221" s="278">
        <v>0.71437176374871991</v>
      </c>
      <c r="E221" s="278">
        <v>0.75592700988343997</v>
      </c>
      <c r="F221" s="278">
        <v>0.79856689498695999</v>
      </c>
      <c r="G221" s="278">
        <v>0.84346819046096011</v>
      </c>
      <c r="H221" s="279">
        <v>0.89099678786136005</v>
      </c>
      <c r="I221" s="237"/>
    </row>
    <row r="222" spans="1:9" ht="17.45" customHeight="1" x14ac:dyDescent="0.2">
      <c r="A222" s="273">
        <v>9.1999999999999993</v>
      </c>
      <c r="B222" s="277">
        <v>0.45113148900919997</v>
      </c>
      <c r="C222" s="278">
        <v>0.58717371837080012</v>
      </c>
      <c r="D222" s="278">
        <v>0.71097998697908005</v>
      </c>
      <c r="E222" s="278">
        <v>0.75286118238496003</v>
      </c>
      <c r="F222" s="278">
        <v>0.79588994226323995</v>
      </c>
      <c r="G222" s="278">
        <v>0.84128241525404013</v>
      </c>
      <c r="H222" s="279">
        <v>0.88939022250684008</v>
      </c>
      <c r="I222" s="237"/>
    </row>
    <row r="223" spans="1:9" ht="17.45" customHeight="1" x14ac:dyDescent="0.2">
      <c r="A223" s="273">
        <v>9.3000000000000007</v>
      </c>
      <c r="B223" s="277">
        <v>0.44733470730759994</v>
      </c>
      <c r="C223" s="278">
        <v>0.58323462172379992</v>
      </c>
      <c r="D223" s="278">
        <v>0.7075870334700799</v>
      </c>
      <c r="E223" s="278">
        <v>0.7497905007185599</v>
      </c>
      <c r="F223" s="278">
        <v>0.79320538953983999</v>
      </c>
      <c r="G223" s="278">
        <v>0.83908814552624011</v>
      </c>
      <c r="H223" s="279">
        <v>0.88777571381544007</v>
      </c>
      <c r="I223" s="237"/>
    </row>
    <row r="224" spans="1:9" ht="17.45" customHeight="1" x14ac:dyDescent="0.2">
      <c r="A224" s="273">
        <v>9.4</v>
      </c>
      <c r="B224" s="281">
        <v>0.44359174931119993</v>
      </c>
      <c r="C224" s="282">
        <v>0.57931422228920004</v>
      </c>
      <c r="D224" s="282">
        <v>0.7041929032217199</v>
      </c>
      <c r="E224" s="282">
        <v>0.74671496488423994</v>
      </c>
      <c r="F224" s="282">
        <v>0.79051323681676</v>
      </c>
      <c r="G224" s="282">
        <v>0.83688538127756007</v>
      </c>
      <c r="H224" s="283">
        <v>0.88615326178716014</v>
      </c>
      <c r="I224" s="237"/>
    </row>
    <row r="225" spans="1:12" ht="17.45" customHeight="1" x14ac:dyDescent="0.2">
      <c r="A225" s="273">
        <v>9.5</v>
      </c>
      <c r="B225" s="284">
        <v>0.43990261501999994</v>
      </c>
      <c r="C225" s="285">
        <v>0.57541252006700006</v>
      </c>
      <c r="D225" s="285">
        <v>0.70079759623399984</v>
      </c>
      <c r="E225" s="285">
        <v>0.74363457488199991</v>
      </c>
      <c r="F225" s="285">
        <v>0.78781348409399998</v>
      </c>
      <c r="G225" s="285">
        <v>0.8346741225080001</v>
      </c>
      <c r="H225" s="286">
        <v>0.88452286642200006</v>
      </c>
      <c r="I225" s="237"/>
    </row>
    <row r="226" spans="1:12" ht="17.45" customHeight="1" x14ac:dyDescent="0.2">
      <c r="A226" s="273">
        <v>9.6</v>
      </c>
      <c r="B226" s="277">
        <v>0.43626730443399997</v>
      </c>
      <c r="C226" s="278">
        <v>0.57152951505719995</v>
      </c>
      <c r="D226" s="278">
        <v>0.69740111250691994</v>
      </c>
      <c r="E226" s="278">
        <v>0.74054933071184004</v>
      </c>
      <c r="F226" s="278">
        <v>0.78510613137155993</v>
      </c>
      <c r="G226" s="278">
        <v>0.83245436921756011</v>
      </c>
      <c r="H226" s="279">
        <v>0.88288452771996007</v>
      </c>
      <c r="I226" s="237"/>
    </row>
    <row r="227" spans="1:12" ht="17.45" customHeight="1" x14ac:dyDescent="0.2">
      <c r="A227" s="273">
        <v>9.6999999999999993</v>
      </c>
      <c r="B227" s="277">
        <v>0.43268581755320001</v>
      </c>
      <c r="C227" s="278">
        <v>0.56766520725980008</v>
      </c>
      <c r="D227" s="278">
        <v>0.69400345204047986</v>
      </c>
      <c r="E227" s="278">
        <v>0.73745923237375999</v>
      </c>
      <c r="F227" s="278">
        <v>0.78239117864943997</v>
      </c>
      <c r="G227" s="278">
        <v>0.83022612140624008</v>
      </c>
      <c r="H227" s="279">
        <v>0.88123824568104014</v>
      </c>
      <c r="I227" s="237"/>
    </row>
    <row r="228" spans="1:12" ht="17.45" customHeight="1" x14ac:dyDescent="0.2">
      <c r="A228" s="273">
        <v>9.8000000000000007</v>
      </c>
      <c r="B228" s="277">
        <v>0.42915815437759997</v>
      </c>
      <c r="C228" s="278">
        <v>0.56381959667480008</v>
      </c>
      <c r="D228" s="278">
        <v>0.69060461483467983</v>
      </c>
      <c r="E228" s="278">
        <v>0.73436427986775998</v>
      </c>
      <c r="F228" s="278">
        <v>0.77966862592763997</v>
      </c>
      <c r="G228" s="278">
        <v>0.82798937907404002</v>
      </c>
      <c r="H228" s="279">
        <v>0.87958402030524008</v>
      </c>
      <c r="I228" s="237"/>
    </row>
    <row r="229" spans="1:12" ht="17.45" customHeight="1" x14ac:dyDescent="0.2">
      <c r="A229" s="273">
        <v>9.9</v>
      </c>
      <c r="B229" s="290">
        <v>0.42568431490719993</v>
      </c>
      <c r="C229" s="291">
        <v>0.55999268330219998</v>
      </c>
      <c r="D229" s="291">
        <v>0.68720460088951985</v>
      </c>
      <c r="E229" s="291">
        <v>0.73126447319384003</v>
      </c>
      <c r="F229" s="291">
        <v>0.77693847320615994</v>
      </c>
      <c r="G229" s="291">
        <v>0.82574414222096015</v>
      </c>
      <c r="H229" s="292">
        <v>0.87792185159256009</v>
      </c>
      <c r="I229" s="237"/>
    </row>
    <row r="230" spans="1:12" ht="17.45" customHeight="1" thickBot="1" x14ac:dyDescent="0.25">
      <c r="A230" s="317">
        <v>10</v>
      </c>
      <c r="B230" s="294">
        <v>0.42226429914199992</v>
      </c>
      <c r="C230" s="295">
        <v>0.55618446714199998</v>
      </c>
      <c r="D230" s="295">
        <v>0.68380341020499991</v>
      </c>
      <c r="E230" s="295">
        <v>0.728159812352</v>
      </c>
      <c r="F230" s="295">
        <v>0.77420072048499999</v>
      </c>
      <c r="G230" s="295">
        <v>0.82349041084700014</v>
      </c>
      <c r="H230" s="296">
        <v>0.87625173954300006</v>
      </c>
      <c r="I230" s="237"/>
    </row>
    <row r="231" spans="1:12" ht="17.45" customHeight="1" thickTop="1" thickBot="1" x14ac:dyDescent="0.25">
      <c r="A231" s="317">
        <v>10.000999999999999</v>
      </c>
      <c r="B231" s="294">
        <v>0.42226429914199992</v>
      </c>
      <c r="C231" s="295">
        <v>0.55618446714199998</v>
      </c>
      <c r="D231" s="295">
        <v>0.68380341020499991</v>
      </c>
      <c r="E231" s="295">
        <v>0.728159812352</v>
      </c>
      <c r="F231" s="295">
        <v>0.77420072048499999</v>
      </c>
      <c r="G231" s="295">
        <v>0.82349041084700014</v>
      </c>
      <c r="H231" s="296">
        <v>0.87625173954300006</v>
      </c>
      <c r="I231" s="237"/>
    </row>
    <row r="232" spans="1:12" ht="17.45" customHeight="1" thickTop="1" thickBot="1" x14ac:dyDescent="0.25">
      <c r="A232" s="318"/>
      <c r="B232" s="247"/>
      <c r="C232" s="247"/>
      <c r="D232" s="247"/>
      <c r="E232" s="247"/>
      <c r="F232" s="247"/>
      <c r="G232" s="247"/>
      <c r="H232" s="247"/>
      <c r="I232" s="248"/>
    </row>
    <row r="233" spans="1:12" ht="19.149999999999999" customHeight="1" thickTop="1" thickBot="1" x14ac:dyDescent="0.25">
      <c r="A233" s="231"/>
      <c r="B233" s="231"/>
      <c r="C233" s="231"/>
      <c r="D233" s="231"/>
      <c r="E233" s="231"/>
      <c r="F233" s="231"/>
      <c r="G233" s="231"/>
      <c r="H233" s="231"/>
      <c r="I233" s="231"/>
    </row>
    <row r="234" spans="1:12" ht="28.9" customHeight="1" thickTop="1" thickBot="1" x14ac:dyDescent="0.25">
      <c r="A234" s="693" t="s">
        <v>143</v>
      </c>
      <c r="B234" s="694"/>
      <c r="C234" s="694"/>
      <c r="D234" s="694"/>
      <c r="E234" s="260"/>
      <c r="F234" s="260"/>
      <c r="G234" s="260"/>
      <c r="H234" s="260"/>
      <c r="I234" s="260"/>
      <c r="J234" s="260"/>
      <c r="K234" s="260"/>
      <c r="L234" s="261"/>
    </row>
    <row r="235" spans="1:12" ht="25.15" customHeight="1" thickBot="1" x14ac:dyDescent="0.25">
      <c r="A235" s="319" t="s">
        <v>98</v>
      </c>
      <c r="B235" s="320" t="s">
        <v>99</v>
      </c>
      <c r="C235" s="298"/>
      <c r="D235" s="298"/>
      <c r="E235" s="231"/>
      <c r="F235" s="231"/>
      <c r="G235" s="231"/>
      <c r="H235" s="231"/>
      <c r="I235" s="231"/>
      <c r="J235" s="231"/>
      <c r="K235" s="231"/>
      <c r="L235" s="237"/>
    </row>
    <row r="236" spans="1:12" ht="17.45" customHeight="1" thickTop="1" x14ac:dyDescent="0.25">
      <c r="A236" s="303">
        <v>4</v>
      </c>
      <c r="B236" s="321">
        <v>0.97219509915315594</v>
      </c>
      <c r="C236" s="298"/>
      <c r="D236" s="322" t="s">
        <v>100</v>
      </c>
      <c r="E236" s="231"/>
      <c r="F236" s="231"/>
      <c r="G236" s="231"/>
      <c r="H236" s="231"/>
      <c r="I236" s="231"/>
      <c r="J236" s="231"/>
      <c r="K236" s="231"/>
      <c r="L236" s="237"/>
    </row>
    <row r="237" spans="1:12" ht="17.45" customHeight="1" x14ac:dyDescent="0.2">
      <c r="A237" s="306">
        <v>5</v>
      </c>
      <c r="B237" s="323">
        <v>0.97852186926765217</v>
      </c>
      <c r="C237" s="298"/>
      <c r="D237" s="298"/>
      <c r="E237" s="231"/>
      <c r="F237" s="231"/>
      <c r="G237" s="231"/>
      <c r="H237" s="231"/>
      <c r="I237" s="231"/>
      <c r="J237" s="231"/>
      <c r="K237" s="231"/>
      <c r="L237" s="237"/>
    </row>
    <row r="238" spans="1:12" ht="17.45" customHeight="1" x14ac:dyDescent="0.2">
      <c r="A238" s="303">
        <v>6</v>
      </c>
      <c r="B238" s="321">
        <v>0.98398216333717115</v>
      </c>
      <c r="C238" s="298"/>
      <c r="D238" s="298"/>
      <c r="E238" s="231"/>
      <c r="F238" s="231"/>
      <c r="G238" s="231"/>
      <c r="H238" s="231"/>
      <c r="I238" s="231"/>
      <c r="J238" s="231"/>
      <c r="K238" s="231"/>
      <c r="L238" s="237"/>
    </row>
    <row r="239" spans="1:12" ht="17.45" customHeight="1" x14ac:dyDescent="0.2">
      <c r="A239" s="303">
        <v>7</v>
      </c>
      <c r="B239" s="321">
        <v>0.98874018611082837</v>
      </c>
      <c r="C239" s="298"/>
      <c r="D239" s="298"/>
      <c r="E239" s="231"/>
      <c r="F239" s="231"/>
      <c r="G239" s="231"/>
      <c r="H239" s="231"/>
      <c r="I239" s="231"/>
      <c r="J239" s="231"/>
      <c r="K239" s="231"/>
      <c r="L239" s="237"/>
    </row>
    <row r="240" spans="1:12" ht="17.45" customHeight="1" x14ac:dyDescent="0.2">
      <c r="A240" s="303">
        <v>8</v>
      </c>
      <c r="B240" s="321">
        <v>0.99291188526001639</v>
      </c>
      <c r="C240" s="298"/>
      <c r="D240" s="298"/>
      <c r="E240" s="231"/>
      <c r="F240" s="231"/>
      <c r="G240" s="231"/>
      <c r="H240" s="231"/>
      <c r="I240" s="231"/>
      <c r="J240" s="231"/>
      <c r="K240" s="231"/>
      <c r="L240" s="237"/>
    </row>
    <row r="241" spans="1:12" ht="17.45" customHeight="1" x14ac:dyDescent="0.2">
      <c r="A241" s="303">
        <v>9</v>
      </c>
      <c r="B241" s="321">
        <v>0.99663895875988417</v>
      </c>
      <c r="C241" s="298"/>
      <c r="D241" s="298"/>
      <c r="E241" s="231"/>
      <c r="F241" s="231"/>
      <c r="G241" s="231"/>
      <c r="H241" s="231"/>
      <c r="I241" s="231"/>
      <c r="J241" s="231"/>
      <c r="K241" s="231"/>
      <c r="L241" s="237"/>
    </row>
    <row r="242" spans="1:12" ht="17.45" customHeight="1" x14ac:dyDescent="0.2">
      <c r="A242" s="306">
        <v>10</v>
      </c>
      <c r="B242" s="323">
        <v>0.99999317620204053</v>
      </c>
      <c r="C242" s="298"/>
      <c r="D242" s="298"/>
      <c r="E242" s="231"/>
      <c r="F242" s="231"/>
      <c r="G242" s="231"/>
      <c r="H242" s="231"/>
      <c r="I242" s="231"/>
      <c r="J242" s="231"/>
      <c r="K242" s="231"/>
      <c r="L242" s="237"/>
    </row>
    <row r="243" spans="1:12" ht="17.45" customHeight="1" x14ac:dyDescent="0.2">
      <c r="A243" s="303">
        <v>11</v>
      </c>
      <c r="B243" s="321">
        <v>1.0030219457519551</v>
      </c>
      <c r="C243" s="298"/>
      <c r="D243" s="298"/>
      <c r="E243" s="231"/>
      <c r="F243" s="231"/>
      <c r="G243" s="231"/>
      <c r="H243" s="231"/>
      <c r="I243" s="231"/>
      <c r="J243" s="231"/>
      <c r="K243" s="231"/>
      <c r="L243" s="237"/>
    </row>
    <row r="244" spans="1:12" ht="17.45" customHeight="1" x14ac:dyDescent="0.2">
      <c r="A244" s="303">
        <v>12</v>
      </c>
      <c r="B244" s="321">
        <v>1.005770972831258</v>
      </c>
      <c r="C244" s="298"/>
      <c r="D244" s="298"/>
      <c r="E244" s="231"/>
      <c r="F244" s="231"/>
      <c r="G244" s="231"/>
      <c r="H244" s="231"/>
      <c r="I244" s="231"/>
      <c r="J244" s="231"/>
      <c r="K244" s="231"/>
      <c r="L244" s="237"/>
    </row>
    <row r="245" spans="1:12" ht="17.45" customHeight="1" x14ac:dyDescent="0.2">
      <c r="A245" s="303">
        <v>13</v>
      </c>
      <c r="B245" s="321">
        <v>1.0082915220145801</v>
      </c>
      <c r="C245" s="298"/>
      <c r="D245" s="298"/>
      <c r="E245" s="231"/>
      <c r="F245" s="231"/>
      <c r="G245" s="231"/>
      <c r="H245" s="231"/>
      <c r="I245" s="231"/>
      <c r="J245" s="231"/>
      <c r="K245" s="231"/>
      <c r="L245" s="237"/>
    </row>
    <row r="246" spans="1:12" ht="17.45" customHeight="1" x14ac:dyDescent="0.2">
      <c r="A246" s="303">
        <v>14</v>
      </c>
      <c r="B246" s="321">
        <v>1.0106117116576132</v>
      </c>
      <c r="C246" s="298"/>
      <c r="D246" s="298"/>
      <c r="E246" s="231"/>
      <c r="F246" s="231"/>
      <c r="G246" s="231"/>
      <c r="H246" s="231"/>
      <c r="I246" s="231"/>
      <c r="J246" s="231"/>
      <c r="K246" s="231"/>
      <c r="L246" s="237"/>
    </row>
    <row r="247" spans="1:12" ht="17.45" customHeight="1" x14ac:dyDescent="0.2">
      <c r="A247" s="306">
        <v>15</v>
      </c>
      <c r="B247" s="323">
        <v>1.0127472144493319</v>
      </c>
      <c r="C247" s="298"/>
      <c r="D247" s="298"/>
      <c r="E247" s="231"/>
      <c r="F247" s="231"/>
      <c r="G247" s="231"/>
      <c r="H247" s="231"/>
      <c r="I247" s="231"/>
      <c r="J247" s="231"/>
      <c r="K247" s="231"/>
      <c r="L247" s="237"/>
    </row>
    <row r="248" spans="1:12" ht="17.45" customHeight="1" x14ac:dyDescent="0.2">
      <c r="A248" s="303">
        <v>16</v>
      </c>
      <c r="B248" s="321">
        <v>1.0147231846034606</v>
      </c>
      <c r="C248" s="298"/>
      <c r="D248" s="298"/>
      <c r="E248" s="231"/>
      <c r="F248" s="231"/>
      <c r="G248" s="231"/>
      <c r="H248" s="231"/>
      <c r="I248" s="231"/>
      <c r="J248" s="231"/>
      <c r="K248" s="231"/>
      <c r="L248" s="237"/>
    </row>
    <row r="249" spans="1:12" ht="17.45" customHeight="1" x14ac:dyDescent="0.2">
      <c r="A249" s="303">
        <v>17</v>
      </c>
      <c r="B249" s="321">
        <v>1.0165620192124696</v>
      </c>
      <c r="C249" s="298"/>
      <c r="D249" s="298"/>
      <c r="E249" s="231"/>
      <c r="F249" s="231"/>
      <c r="G249" s="231"/>
      <c r="H249" s="231"/>
      <c r="I249" s="231"/>
      <c r="J249" s="231"/>
      <c r="K249" s="231"/>
      <c r="L249" s="237"/>
    </row>
    <row r="250" spans="1:12" ht="17.45" customHeight="1" x14ac:dyDescent="0.2">
      <c r="A250" s="303">
        <v>18</v>
      </c>
      <c r="B250" s="321">
        <v>1.0182774081603918</v>
      </c>
      <c r="C250" s="298"/>
      <c r="D250" s="298"/>
      <c r="E250" s="231"/>
      <c r="F250" s="231"/>
      <c r="G250" s="231"/>
      <c r="H250" s="231"/>
      <c r="I250" s="231"/>
      <c r="J250" s="231"/>
      <c r="K250" s="231"/>
      <c r="L250" s="237"/>
    </row>
    <row r="251" spans="1:12" ht="17.45" customHeight="1" x14ac:dyDescent="0.2">
      <c r="A251" s="303">
        <v>19</v>
      </c>
      <c r="B251" s="321">
        <v>1.0198741613262179</v>
      </c>
      <c r="C251" s="298"/>
      <c r="D251" s="298"/>
      <c r="E251" s="231"/>
      <c r="F251" s="231"/>
      <c r="G251" s="231"/>
      <c r="H251" s="231"/>
      <c r="I251" s="231"/>
      <c r="J251" s="231"/>
      <c r="K251" s="231"/>
      <c r="L251" s="237"/>
    </row>
    <row r="252" spans="1:12" ht="17.45" customHeight="1" x14ac:dyDescent="0.2">
      <c r="A252" s="306">
        <v>20</v>
      </c>
      <c r="B252" s="323">
        <v>1.0213696161372745</v>
      </c>
      <c r="C252" s="298"/>
      <c r="D252" s="298"/>
      <c r="E252" s="231"/>
      <c r="F252" s="231"/>
      <c r="G252" s="231"/>
      <c r="H252" s="231"/>
      <c r="I252" s="231"/>
      <c r="J252" s="231"/>
      <c r="K252" s="231"/>
      <c r="L252" s="237"/>
    </row>
    <row r="253" spans="1:12" ht="17.45" customHeight="1" x14ac:dyDescent="0.2">
      <c r="A253" s="303">
        <v>21</v>
      </c>
      <c r="B253" s="321">
        <v>1.0227745153469625</v>
      </c>
      <c r="C253" s="298"/>
      <c r="D253" s="298"/>
      <c r="E253" s="231"/>
      <c r="F253" s="231"/>
      <c r="G253" s="231"/>
      <c r="H253" s="231"/>
      <c r="I253" s="231"/>
      <c r="J253" s="231"/>
      <c r="K253" s="231"/>
      <c r="L253" s="237"/>
    </row>
    <row r="254" spans="1:12" ht="17.45" customHeight="1" x14ac:dyDescent="0.2">
      <c r="A254" s="303">
        <v>22</v>
      </c>
      <c r="B254" s="321">
        <v>1.0240964913509301</v>
      </c>
      <c r="C254" s="298"/>
      <c r="D254" s="298"/>
      <c r="E254" s="231"/>
      <c r="F254" s="231"/>
      <c r="G254" s="231"/>
      <c r="H254" s="231"/>
      <c r="I254" s="231"/>
      <c r="J254" s="231"/>
      <c r="K254" s="231"/>
      <c r="L254" s="237"/>
    </row>
    <row r="255" spans="1:12" ht="17.45" customHeight="1" x14ac:dyDescent="0.2">
      <c r="A255" s="303">
        <v>23</v>
      </c>
      <c r="B255" s="321">
        <v>1.0253359721416582</v>
      </c>
      <c r="C255" s="298"/>
      <c r="D255" s="298"/>
      <c r="E255" s="231"/>
      <c r="F255" s="231"/>
      <c r="G255" s="231"/>
      <c r="H255" s="231"/>
      <c r="I255" s="231"/>
      <c r="J255" s="231"/>
      <c r="K255" s="231"/>
      <c r="L255" s="237"/>
    </row>
    <row r="256" spans="1:12" ht="17.45" customHeight="1" x14ac:dyDescent="0.2">
      <c r="A256" s="303">
        <v>24</v>
      </c>
      <c r="B256" s="321">
        <v>1.0265064882894495</v>
      </c>
      <c r="C256" s="298"/>
      <c r="D256" s="298"/>
      <c r="E256" s="231"/>
      <c r="F256" s="231"/>
      <c r="G256" s="231"/>
      <c r="H256" s="231"/>
      <c r="I256" s="231"/>
      <c r="J256" s="231"/>
      <c r="K256" s="231"/>
      <c r="L256" s="237"/>
    </row>
    <row r="257" spans="1:12" ht="17.45" customHeight="1" x14ac:dyDescent="0.2">
      <c r="A257" s="306">
        <v>25</v>
      </c>
      <c r="B257" s="323">
        <v>1.027613133440757</v>
      </c>
      <c r="C257" s="298"/>
      <c r="D257" s="298"/>
      <c r="E257" s="231"/>
      <c r="F257" s="231"/>
      <c r="G257" s="231"/>
      <c r="H257" s="231"/>
      <c r="I257" s="231"/>
      <c r="J257" s="231"/>
      <c r="K257" s="231"/>
      <c r="L257" s="237"/>
    </row>
    <row r="258" spans="1:12" ht="17.45" customHeight="1" x14ac:dyDescent="0.2">
      <c r="A258" s="303">
        <v>26</v>
      </c>
      <c r="B258" s="321">
        <v>1.0286596835601212</v>
      </c>
      <c r="C258" s="298"/>
      <c r="D258" s="298"/>
      <c r="E258" s="231"/>
      <c r="F258" s="231"/>
      <c r="G258" s="231"/>
      <c r="H258" s="231"/>
      <c r="I258" s="231"/>
      <c r="J258" s="231"/>
      <c r="K258" s="231"/>
      <c r="L258" s="237"/>
    </row>
    <row r="259" spans="1:12" ht="17.45" customHeight="1" x14ac:dyDescent="0.2">
      <c r="A259" s="303">
        <v>27</v>
      </c>
      <c r="B259" s="321">
        <v>1.029647797333276</v>
      </c>
      <c r="C259" s="298"/>
      <c r="D259" s="298"/>
      <c r="E259" s="231"/>
      <c r="F259" s="231"/>
      <c r="G259" s="231"/>
      <c r="H259" s="231"/>
      <c r="I259" s="231"/>
      <c r="J259" s="231"/>
      <c r="K259" s="231"/>
      <c r="L259" s="237"/>
    </row>
    <row r="260" spans="1:12" ht="17.45" customHeight="1" x14ac:dyDescent="0.2">
      <c r="A260" s="303">
        <v>28</v>
      </c>
      <c r="B260" s="321">
        <v>1.0305853656633377</v>
      </c>
      <c r="C260" s="298"/>
      <c r="D260" s="298"/>
      <c r="E260" s="231"/>
      <c r="F260" s="231"/>
      <c r="G260" s="231"/>
      <c r="H260" s="231"/>
      <c r="I260" s="231"/>
      <c r="J260" s="231"/>
      <c r="K260" s="231"/>
      <c r="L260" s="237"/>
    </row>
    <row r="261" spans="1:12" ht="17.45" customHeight="1" x14ac:dyDescent="0.2">
      <c r="A261" s="303">
        <v>29</v>
      </c>
      <c r="B261" s="321">
        <v>1.0314758021641564</v>
      </c>
      <c r="C261" s="298"/>
      <c r="D261" s="298"/>
      <c r="E261" s="231"/>
      <c r="F261" s="231"/>
      <c r="G261" s="231"/>
      <c r="H261" s="231"/>
      <c r="I261" s="231"/>
      <c r="J261" s="231"/>
      <c r="K261" s="231"/>
      <c r="L261" s="237"/>
    </row>
    <row r="262" spans="1:12" ht="17.45" customHeight="1" x14ac:dyDescent="0.2">
      <c r="A262" s="306">
        <v>30</v>
      </c>
      <c r="B262" s="323">
        <v>1.0323208022528201</v>
      </c>
      <c r="C262" s="298"/>
      <c r="D262" s="298"/>
      <c r="E262" s="231"/>
      <c r="F262" s="231"/>
      <c r="G262" s="231"/>
      <c r="H262" s="231"/>
      <c r="I262" s="231"/>
      <c r="J262" s="231"/>
      <c r="K262" s="231"/>
      <c r="L262" s="237"/>
    </row>
    <row r="263" spans="1:12" ht="17.45" customHeight="1" x14ac:dyDescent="0.2">
      <c r="A263" s="303">
        <v>31</v>
      </c>
      <c r="B263" s="321">
        <v>1.0331225656421024</v>
      </c>
      <c r="C263" s="298"/>
      <c r="D263" s="298"/>
      <c r="E263" s="231"/>
      <c r="F263" s="231"/>
      <c r="G263" s="231"/>
      <c r="H263" s="231"/>
      <c r="I263" s="231"/>
      <c r="J263" s="231"/>
      <c r="K263" s="231"/>
      <c r="L263" s="237"/>
    </row>
    <row r="264" spans="1:12" ht="17.45" customHeight="1" x14ac:dyDescent="0.2">
      <c r="A264" s="303">
        <v>32</v>
      </c>
      <c r="B264" s="321">
        <v>1.0338860827834513</v>
      </c>
      <c r="C264" s="298"/>
      <c r="D264" s="298"/>
      <c r="E264" s="231"/>
      <c r="F264" s="231"/>
      <c r="G264" s="231"/>
      <c r="H264" s="231"/>
      <c r="I264" s="231"/>
      <c r="J264" s="231"/>
      <c r="K264" s="231"/>
      <c r="L264" s="237"/>
    </row>
    <row r="265" spans="1:12" ht="17.45" customHeight="1" x14ac:dyDescent="0.2">
      <c r="A265" s="303">
        <v>33</v>
      </c>
      <c r="B265" s="321">
        <v>1.0346135542543713</v>
      </c>
      <c r="C265" s="298"/>
      <c r="D265" s="298"/>
      <c r="E265" s="231"/>
      <c r="F265" s="231"/>
      <c r="G265" s="231"/>
      <c r="H265" s="231"/>
      <c r="I265" s="231"/>
      <c r="J265" s="231"/>
      <c r="K265" s="231"/>
      <c r="L265" s="237"/>
    </row>
    <row r="266" spans="1:12" ht="17.45" customHeight="1" x14ac:dyDescent="0.2">
      <c r="A266" s="303">
        <v>34</v>
      </c>
      <c r="B266" s="321">
        <v>1.0353054884406778</v>
      </c>
      <c r="C266" s="298"/>
      <c r="D266" s="298"/>
      <c r="E266" s="231"/>
      <c r="F266" s="231"/>
      <c r="G266" s="231"/>
      <c r="H266" s="231"/>
      <c r="I266" s="231"/>
      <c r="J266" s="231"/>
      <c r="K266" s="231"/>
      <c r="L266" s="237"/>
    </row>
    <row r="267" spans="1:12" ht="17.45" customHeight="1" x14ac:dyDescent="0.2">
      <c r="A267" s="306">
        <v>35</v>
      </c>
      <c r="B267" s="323">
        <v>1.0359645602017971</v>
      </c>
      <c r="C267" s="298"/>
      <c r="D267" s="298"/>
      <c r="E267" s="231"/>
      <c r="F267" s="231"/>
      <c r="G267" s="231"/>
      <c r="H267" s="231"/>
      <c r="I267" s="231"/>
      <c r="J267" s="231"/>
      <c r="K267" s="231"/>
      <c r="L267" s="237"/>
    </row>
    <row r="268" spans="1:12" ht="17.45" customHeight="1" x14ac:dyDescent="0.2">
      <c r="A268" s="303">
        <v>36</v>
      </c>
      <c r="B268" s="321">
        <v>1.0365938212692376</v>
      </c>
      <c r="C268" s="298"/>
      <c r="D268" s="298"/>
      <c r="E268" s="231"/>
      <c r="F268" s="231"/>
      <c r="G268" s="231"/>
      <c r="H268" s="231"/>
      <c r="I268" s="231"/>
      <c r="J268" s="231"/>
      <c r="K268" s="231"/>
      <c r="L268" s="237"/>
    </row>
    <row r="269" spans="1:12" ht="17.45" customHeight="1" x14ac:dyDescent="0.2">
      <c r="A269" s="303">
        <v>37</v>
      </c>
      <c r="B269" s="321">
        <v>1.0371946415944511</v>
      </c>
      <c r="C269" s="298"/>
      <c r="D269" s="298"/>
      <c r="E269" s="231"/>
      <c r="F269" s="231"/>
      <c r="G269" s="231"/>
      <c r="H269" s="231"/>
      <c r="I269" s="231"/>
      <c r="J269" s="231"/>
      <c r="K269" s="231"/>
      <c r="L269" s="237"/>
    </row>
    <row r="270" spans="1:12" ht="17.45" customHeight="1" x14ac:dyDescent="0.2">
      <c r="A270" s="303">
        <v>38</v>
      </c>
      <c r="B270" s="321">
        <v>1.0377669982211395</v>
      </c>
      <c r="C270" s="298"/>
      <c r="D270" s="298"/>
      <c r="E270" s="231"/>
      <c r="F270" s="231"/>
      <c r="G270" s="231"/>
      <c r="H270" s="231"/>
      <c r="I270" s="231"/>
      <c r="J270" s="231"/>
      <c r="K270" s="231"/>
      <c r="L270" s="237"/>
    </row>
    <row r="271" spans="1:12" ht="17.45" customHeight="1" x14ac:dyDescent="0.2">
      <c r="A271" s="303">
        <v>39</v>
      </c>
      <c r="B271" s="321">
        <v>1.0383138104835565</v>
      </c>
      <c r="C271" s="298"/>
      <c r="D271" s="298"/>
      <c r="E271" s="231"/>
      <c r="F271" s="231"/>
      <c r="G271" s="231"/>
      <c r="H271" s="231"/>
      <c r="I271" s="231"/>
      <c r="J271" s="231"/>
      <c r="K271" s="231"/>
      <c r="L271" s="237"/>
    </row>
    <row r="272" spans="1:12" ht="17.45" customHeight="1" x14ac:dyDescent="0.2">
      <c r="A272" s="324">
        <v>40</v>
      </c>
      <c r="B272" s="325">
        <v>1.0388366303787386</v>
      </c>
      <c r="C272" s="298"/>
      <c r="D272" s="298"/>
      <c r="E272" s="231"/>
      <c r="F272" s="231"/>
      <c r="G272" s="231"/>
      <c r="H272" s="231"/>
      <c r="I272" s="231"/>
      <c r="J272" s="231"/>
      <c r="K272" s="231"/>
      <c r="L272" s="237"/>
    </row>
    <row r="273" spans="1:12" ht="17.45" customHeight="1" x14ac:dyDescent="0.2">
      <c r="A273" s="324">
        <v>41</v>
      </c>
      <c r="B273" s="325">
        <v>1.0393369216232435</v>
      </c>
      <c r="C273" s="298"/>
      <c r="D273" s="298"/>
      <c r="E273" s="231"/>
      <c r="F273" s="231"/>
      <c r="G273" s="231"/>
      <c r="H273" s="231"/>
      <c r="I273" s="231"/>
      <c r="J273" s="231"/>
      <c r="K273" s="231"/>
      <c r="L273" s="237"/>
    </row>
    <row r="274" spans="1:12" ht="17.45" customHeight="1" x14ac:dyDescent="0.2">
      <c r="A274" s="324">
        <v>42</v>
      </c>
      <c r="B274" s="325">
        <v>1.0398137456205867</v>
      </c>
      <c r="C274" s="298"/>
      <c r="D274" s="298"/>
      <c r="E274" s="231"/>
      <c r="F274" s="231"/>
      <c r="G274" s="231"/>
      <c r="H274" s="231"/>
      <c r="I274" s="231"/>
      <c r="J274" s="231"/>
      <c r="K274" s="231"/>
      <c r="L274" s="237"/>
    </row>
    <row r="275" spans="1:12" ht="17.45" customHeight="1" x14ac:dyDescent="0.2">
      <c r="A275" s="324">
        <v>43</v>
      </c>
      <c r="B275" s="325">
        <v>1.040270242206903</v>
      </c>
      <c r="C275" s="298"/>
      <c r="D275" s="298"/>
      <c r="E275" s="231"/>
      <c r="F275" s="231"/>
      <c r="G275" s="231"/>
      <c r="H275" s="231"/>
      <c r="I275" s="231"/>
      <c r="J275" s="231"/>
      <c r="K275" s="231"/>
      <c r="L275" s="237"/>
    </row>
    <row r="276" spans="1:12" ht="17.45" customHeight="1" x14ac:dyDescent="0.2">
      <c r="A276" s="324">
        <v>44</v>
      </c>
      <c r="B276" s="325">
        <v>1.0407073448645285</v>
      </c>
      <c r="C276" s="298"/>
      <c r="D276" s="298"/>
      <c r="E276" s="231"/>
      <c r="F276" s="231"/>
      <c r="G276" s="231"/>
      <c r="H276" s="231"/>
      <c r="I276" s="231"/>
      <c r="J276" s="231"/>
      <c r="K276" s="231"/>
      <c r="L276" s="237"/>
    </row>
    <row r="277" spans="1:12" ht="17.45" customHeight="1" x14ac:dyDescent="0.2">
      <c r="A277" s="324">
        <v>45</v>
      </c>
      <c r="B277" s="325">
        <v>1.0411255245788198</v>
      </c>
      <c r="C277" s="298"/>
      <c r="D277" s="298"/>
      <c r="E277" s="231"/>
      <c r="F277" s="231"/>
      <c r="G277" s="231"/>
      <c r="H277" s="231"/>
      <c r="I277" s="231"/>
      <c r="J277" s="231"/>
      <c r="K277" s="231"/>
      <c r="L277" s="237"/>
    </row>
    <row r="278" spans="1:12" ht="17.45" customHeight="1" x14ac:dyDescent="0.2">
      <c r="A278" s="324">
        <v>46</v>
      </c>
      <c r="B278" s="325">
        <v>1.041524963479622</v>
      </c>
      <c r="C278" s="298"/>
      <c r="D278" s="298"/>
      <c r="E278" s="231"/>
      <c r="F278" s="231"/>
      <c r="G278" s="231"/>
      <c r="H278" s="231"/>
      <c r="I278" s="231"/>
      <c r="J278" s="231"/>
      <c r="K278" s="231"/>
      <c r="L278" s="237"/>
    </row>
    <row r="279" spans="1:12" ht="17.45" customHeight="1" x14ac:dyDescent="0.2">
      <c r="A279" s="324">
        <v>47</v>
      </c>
      <c r="B279" s="325">
        <v>1.0419076000737695</v>
      </c>
      <c r="C279" s="298"/>
      <c r="D279" s="298"/>
      <c r="E279" s="231"/>
      <c r="F279" s="231"/>
      <c r="G279" s="231"/>
      <c r="H279" s="231"/>
      <c r="I279" s="231"/>
      <c r="J279" s="231"/>
      <c r="K279" s="231"/>
      <c r="L279" s="237"/>
    </row>
    <row r="280" spans="1:12" ht="17.45" customHeight="1" x14ac:dyDescent="0.2">
      <c r="A280" s="324">
        <v>48</v>
      </c>
      <c r="B280" s="325">
        <v>1.0422742314749023</v>
      </c>
      <c r="C280" s="298"/>
      <c r="D280" s="298"/>
      <c r="E280" s="231"/>
      <c r="F280" s="231"/>
      <c r="G280" s="231"/>
      <c r="H280" s="231"/>
      <c r="I280" s="231"/>
      <c r="J280" s="231"/>
      <c r="K280" s="231"/>
      <c r="L280" s="237"/>
    </row>
    <row r="281" spans="1:12" ht="17.45" customHeight="1" x14ac:dyDescent="0.2">
      <c r="A281" s="324">
        <v>49</v>
      </c>
      <c r="B281" s="325">
        <v>1.0426249386255868</v>
      </c>
      <c r="C281" s="298"/>
      <c r="D281" s="298"/>
      <c r="E281" s="231"/>
      <c r="F281" s="231"/>
      <c r="G281" s="231"/>
      <c r="H281" s="231"/>
      <c r="I281" s="231"/>
      <c r="J281" s="231"/>
      <c r="K281" s="231"/>
      <c r="L281" s="237"/>
    </row>
    <row r="282" spans="1:12" ht="17.45" customHeight="1" x14ac:dyDescent="0.2">
      <c r="A282" s="324">
        <v>50</v>
      </c>
      <c r="B282" s="325">
        <v>1.0429603432697807</v>
      </c>
      <c r="C282" s="298"/>
      <c r="D282" s="298"/>
      <c r="E282" s="231"/>
      <c r="F282" s="231"/>
      <c r="G282" s="231"/>
      <c r="H282" s="231"/>
      <c r="I282" s="231"/>
      <c r="J282" s="231"/>
      <c r="K282" s="231"/>
      <c r="L282" s="237"/>
    </row>
    <row r="283" spans="1:12" ht="17.45" customHeight="1" x14ac:dyDescent="0.2">
      <c r="A283" s="324">
        <v>51</v>
      </c>
      <c r="B283" s="325">
        <v>1.0432817695046539</v>
      </c>
      <c r="C283" s="298"/>
      <c r="D283" s="298"/>
      <c r="E283" s="231"/>
      <c r="F283" s="231"/>
      <c r="G283" s="231"/>
      <c r="H283" s="231"/>
      <c r="I283" s="231"/>
      <c r="J283" s="231"/>
      <c r="K283" s="231"/>
      <c r="L283" s="237"/>
    </row>
    <row r="284" spans="1:12" ht="17.45" customHeight="1" x14ac:dyDescent="0.2">
      <c r="A284" s="324">
        <v>52</v>
      </c>
      <c r="B284" s="325">
        <v>1.0435897808037728</v>
      </c>
      <c r="C284" s="298"/>
      <c r="D284" s="298"/>
      <c r="E284" s="231"/>
      <c r="F284" s="231"/>
      <c r="G284" s="231"/>
      <c r="H284" s="231"/>
      <c r="I284" s="231"/>
      <c r="J284" s="231"/>
      <c r="K284" s="231"/>
      <c r="L284" s="237"/>
    </row>
    <row r="285" spans="1:12" ht="17.45" customHeight="1" x14ac:dyDescent="0.2">
      <c r="A285" s="324">
        <v>53</v>
      </c>
      <c r="B285" s="325">
        <v>1.0438842159434343</v>
      </c>
      <c r="C285" s="298"/>
      <c r="D285" s="298"/>
      <c r="E285" s="231"/>
      <c r="F285" s="231"/>
      <c r="G285" s="231"/>
      <c r="H285" s="231"/>
      <c r="I285" s="231"/>
      <c r="J285" s="231"/>
      <c r="K285" s="231"/>
      <c r="L285" s="237"/>
    </row>
    <row r="286" spans="1:12" ht="17.45" customHeight="1" x14ac:dyDescent="0.2">
      <c r="A286" s="324">
        <v>54</v>
      </c>
      <c r="B286" s="325">
        <v>1.0441658882734217</v>
      </c>
      <c r="C286" s="298"/>
      <c r="D286" s="298"/>
      <c r="E286" s="231"/>
      <c r="F286" s="231"/>
      <c r="G286" s="231"/>
      <c r="H286" s="231"/>
      <c r="I286" s="231"/>
      <c r="J286" s="231"/>
      <c r="K286" s="231"/>
      <c r="L286" s="237"/>
    </row>
    <row r="287" spans="1:12" ht="17.45" customHeight="1" x14ac:dyDescent="0.2">
      <c r="A287" s="324">
        <v>55</v>
      </c>
      <c r="B287" s="325">
        <v>1.0444358279359072</v>
      </c>
      <c r="C287" s="298"/>
      <c r="D287" s="298"/>
      <c r="E287" s="231"/>
      <c r="F287" s="231"/>
      <c r="G287" s="231"/>
      <c r="H287" s="231"/>
      <c r="I287" s="231"/>
      <c r="J287" s="231"/>
      <c r="K287" s="231"/>
      <c r="L287" s="237"/>
    </row>
    <row r="288" spans="1:12" ht="17.45" customHeight="1" x14ac:dyDescent="0.2">
      <c r="A288" s="324">
        <v>56</v>
      </c>
      <c r="B288" s="325">
        <v>1.0446943620868558</v>
      </c>
      <c r="C288" s="298"/>
      <c r="D288" s="298"/>
      <c r="E288" s="231"/>
      <c r="F288" s="231"/>
      <c r="G288" s="231"/>
      <c r="H288" s="231"/>
      <c r="I288" s="231"/>
      <c r="J288" s="231"/>
      <c r="K288" s="231"/>
      <c r="L288" s="237"/>
    </row>
    <row r="289" spans="1:40" ht="17.45" customHeight="1" x14ac:dyDescent="0.2">
      <c r="A289" s="324">
        <v>57</v>
      </c>
      <c r="B289" s="325">
        <v>1.0449413320915824</v>
      </c>
      <c r="C289" s="298"/>
      <c r="D289" s="298"/>
      <c r="E289" s="231"/>
      <c r="F289" s="231"/>
      <c r="G289" s="231"/>
      <c r="H289" s="231"/>
      <c r="I289" s="231"/>
      <c r="J289" s="231"/>
      <c r="K289" s="231"/>
      <c r="L289" s="237"/>
    </row>
    <row r="290" spans="1:40" ht="17.45" customHeight="1" x14ac:dyDescent="0.2">
      <c r="A290" s="324">
        <v>58</v>
      </c>
      <c r="B290" s="325">
        <v>1.0451776296771673</v>
      </c>
      <c r="C290" s="298"/>
      <c r="D290" s="298"/>
      <c r="E290" s="231"/>
      <c r="F290" s="231"/>
      <c r="G290" s="231"/>
      <c r="H290" s="231"/>
      <c r="I290" s="231"/>
      <c r="J290" s="231"/>
      <c r="K290" s="231"/>
      <c r="L290" s="237"/>
    </row>
    <row r="291" spans="1:40" ht="17.45" customHeight="1" thickBot="1" x14ac:dyDescent="0.25">
      <c r="A291" s="326">
        <v>59</v>
      </c>
      <c r="B291" s="327">
        <v>1.0454037762988517</v>
      </c>
      <c r="C291" s="298"/>
      <c r="D291" s="298"/>
      <c r="E291" s="231"/>
      <c r="F291" s="231"/>
      <c r="G291" s="231"/>
      <c r="H291" s="231"/>
      <c r="I291" s="231"/>
      <c r="J291" s="231"/>
      <c r="K291" s="231"/>
      <c r="L291" s="237"/>
    </row>
    <row r="292" spans="1:40" ht="17.45" customHeight="1" thickBot="1" x14ac:dyDescent="0.25">
      <c r="A292" s="326">
        <v>59.000999999999998</v>
      </c>
      <c r="B292" s="327">
        <v>1.0454037762988517</v>
      </c>
      <c r="C292" s="298"/>
      <c r="D292" s="298"/>
      <c r="E292" s="231"/>
      <c r="F292" s="231"/>
      <c r="G292" s="231"/>
      <c r="H292" s="231"/>
      <c r="I292" s="231"/>
      <c r="J292" s="231"/>
      <c r="K292" s="231"/>
      <c r="L292" s="237"/>
    </row>
    <row r="293" spans="1:40" ht="17.45" customHeight="1" thickBot="1" x14ac:dyDescent="0.25">
      <c r="A293" s="312"/>
      <c r="B293" s="313"/>
      <c r="C293" s="313"/>
      <c r="D293" s="313"/>
      <c r="E293" s="247"/>
      <c r="F293" s="247"/>
      <c r="G293" s="247"/>
      <c r="H293" s="247"/>
      <c r="I293" s="247"/>
      <c r="J293" s="247"/>
      <c r="K293" s="247"/>
      <c r="L293" s="248"/>
    </row>
    <row r="294" spans="1:40" ht="17.45" customHeight="1" thickTop="1" thickBot="1" x14ac:dyDescent="0.25">
      <c r="A294" s="328"/>
      <c r="B294" s="328"/>
      <c r="C294" s="328"/>
      <c r="D294" s="328"/>
    </row>
    <row r="295" spans="1:40" ht="17.45" customHeight="1" thickTop="1" x14ac:dyDescent="0.2">
      <c r="A295" s="693" t="s">
        <v>91</v>
      </c>
      <c r="B295" s="694"/>
      <c r="C295" s="694"/>
      <c r="D295" s="694"/>
      <c r="E295" s="260"/>
      <c r="F295" s="260"/>
      <c r="G295" s="260"/>
      <c r="H295" s="260"/>
      <c r="I295" s="260"/>
      <c r="J295" s="260"/>
      <c r="K295" s="260"/>
      <c r="L295" s="260"/>
      <c r="M295" s="260"/>
      <c r="N295" s="260"/>
      <c r="O295" s="260"/>
      <c r="P295" s="260"/>
      <c r="Q295" s="260"/>
      <c r="R295" s="260"/>
      <c r="S295" s="260"/>
      <c r="T295" s="260"/>
      <c r="U295" s="260"/>
      <c r="V295" s="260"/>
      <c r="W295" s="260"/>
      <c r="X295" s="260"/>
      <c r="Y295" s="260"/>
      <c r="Z295" s="260"/>
      <c r="AA295" s="260"/>
      <c r="AB295" s="260"/>
      <c r="AC295" s="260"/>
      <c r="AD295" s="260"/>
      <c r="AE295" s="260"/>
      <c r="AF295" s="260"/>
      <c r="AG295" s="260"/>
      <c r="AH295" s="260"/>
      <c r="AI295" s="260"/>
      <c r="AJ295" s="260"/>
      <c r="AK295" s="260"/>
      <c r="AL295" s="260"/>
      <c r="AM295" s="260"/>
      <c r="AN295" s="261"/>
    </row>
    <row r="296" spans="1:40" ht="17.45" customHeight="1" thickBot="1" x14ac:dyDescent="0.25">
      <c r="A296" s="297"/>
      <c r="B296" s="696" t="s">
        <v>28</v>
      </c>
      <c r="C296" s="697"/>
      <c r="D296" s="697"/>
      <c r="E296" s="697"/>
      <c r="F296" s="697"/>
      <c r="G296" s="697"/>
      <c r="H296" s="697"/>
      <c r="I296" s="697"/>
      <c r="J296" s="697"/>
      <c r="K296" s="298"/>
      <c r="L296" s="298"/>
      <c r="M296" s="298"/>
      <c r="N296" s="298"/>
      <c r="O296" s="298"/>
      <c r="P296" s="298"/>
      <c r="Q296" s="298"/>
      <c r="R296" s="298"/>
      <c r="S296" s="298"/>
      <c r="T296" s="298"/>
      <c r="U296" s="298"/>
      <c r="V296" s="298"/>
      <c r="W296" s="298"/>
      <c r="X296" s="298"/>
      <c r="Y296" s="298"/>
      <c r="Z296" s="298"/>
      <c r="AA296" s="298"/>
      <c r="AB296" s="298"/>
      <c r="AC296" s="298"/>
      <c r="AD296" s="298"/>
      <c r="AE296" s="298"/>
      <c r="AF296" s="298"/>
      <c r="AG296" s="298"/>
      <c r="AH296" s="298"/>
      <c r="AI296" s="298"/>
      <c r="AJ296" s="298"/>
      <c r="AK296" s="298"/>
      <c r="AL296" s="298"/>
      <c r="AM296" s="298"/>
      <c r="AN296" s="299"/>
    </row>
    <row r="297" spans="1:40" ht="17.45" customHeight="1" thickTop="1" thickBot="1" x14ac:dyDescent="0.25">
      <c r="A297" s="300" t="s">
        <v>29</v>
      </c>
      <c r="B297" s="301">
        <v>4</v>
      </c>
      <c r="C297" s="301">
        <v>5</v>
      </c>
      <c r="D297" s="301">
        <v>6</v>
      </c>
      <c r="E297" s="301">
        <v>7</v>
      </c>
      <c r="F297" s="301">
        <v>8</v>
      </c>
      <c r="G297" s="301">
        <v>9</v>
      </c>
      <c r="H297" s="301">
        <v>10</v>
      </c>
      <c r="I297" s="301">
        <v>11</v>
      </c>
      <c r="J297" s="302">
        <v>12</v>
      </c>
      <c r="K297" s="301">
        <v>13</v>
      </c>
      <c r="L297" s="301">
        <v>14</v>
      </c>
      <c r="M297" s="301">
        <v>15</v>
      </c>
      <c r="N297" s="301">
        <v>16</v>
      </c>
      <c r="O297" s="301">
        <v>17</v>
      </c>
      <c r="P297" s="301">
        <v>18</v>
      </c>
      <c r="Q297" s="301">
        <v>19</v>
      </c>
      <c r="R297" s="301">
        <v>20</v>
      </c>
      <c r="S297" s="302">
        <v>21</v>
      </c>
      <c r="T297" s="301">
        <v>22</v>
      </c>
      <c r="U297" s="301">
        <v>23</v>
      </c>
      <c r="V297" s="301">
        <v>24</v>
      </c>
      <c r="W297" s="301">
        <v>25</v>
      </c>
      <c r="X297" s="301">
        <v>26</v>
      </c>
      <c r="Y297" s="301">
        <v>27</v>
      </c>
      <c r="Z297" s="301">
        <v>28</v>
      </c>
      <c r="AA297" s="301">
        <v>29</v>
      </c>
      <c r="AB297" s="302">
        <v>30</v>
      </c>
      <c r="AC297" s="301">
        <v>31</v>
      </c>
      <c r="AD297" s="301">
        <v>32</v>
      </c>
      <c r="AE297" s="301">
        <v>33</v>
      </c>
      <c r="AF297" s="301">
        <v>34</v>
      </c>
      <c r="AG297" s="301">
        <v>35</v>
      </c>
      <c r="AH297" s="301">
        <v>36</v>
      </c>
      <c r="AI297" s="301">
        <v>37</v>
      </c>
      <c r="AJ297" s="301">
        <v>38</v>
      </c>
      <c r="AK297" s="301">
        <v>39</v>
      </c>
      <c r="AL297" s="329">
        <v>40</v>
      </c>
      <c r="AM297" s="302">
        <f>AL297+0.001</f>
        <v>40.000999999999998</v>
      </c>
      <c r="AN297" s="299"/>
    </row>
    <row r="298" spans="1:40" ht="17.45" customHeight="1" thickTop="1" x14ac:dyDescent="0.2">
      <c r="A298" s="303">
        <v>4</v>
      </c>
      <c r="B298" s="304">
        <v>0.95729537366548045</v>
      </c>
      <c r="C298" s="304">
        <v>0.96368623962040334</v>
      </c>
      <c r="D298" s="304">
        <v>0.96975088967971534</v>
      </c>
      <c r="E298" s="304">
        <v>0.97343564650059311</v>
      </c>
      <c r="F298" s="304">
        <v>0.97580071174377225</v>
      </c>
      <c r="G298" s="304">
        <v>0.97851741230299949</v>
      </c>
      <c r="H298" s="304">
        <v>0.9804270462633452</v>
      </c>
      <c r="I298" s="304">
        <v>0.9816023046941198</v>
      </c>
      <c r="J298" s="305">
        <v>0.98255170310116946</v>
      </c>
      <c r="K298" s="304">
        <v>0.98337610574478906</v>
      </c>
      <c r="L298" s="304">
        <v>0.98417637688527382</v>
      </c>
      <c r="M298" s="304">
        <v>0.98505338078291815</v>
      </c>
      <c r="N298" s="304">
        <v>0.98585717674970363</v>
      </c>
      <c r="O298" s="304">
        <v>0.98642562277580081</v>
      </c>
      <c r="P298" s="304">
        <v>0.98684128113879011</v>
      </c>
      <c r="Q298" s="304">
        <v>0.98718671411625147</v>
      </c>
      <c r="R298" s="304">
        <v>0.98754448398576511</v>
      </c>
      <c r="S298" s="305">
        <v>0.98792402135231316</v>
      </c>
      <c r="T298" s="304">
        <v>0.9882818505338079</v>
      </c>
      <c r="U298" s="304">
        <v>0.98862117437722419</v>
      </c>
      <c r="V298" s="304">
        <v>0.98894519572953743</v>
      </c>
      <c r="W298" s="304">
        <v>0.98925711743772238</v>
      </c>
      <c r="X298" s="304">
        <v>0.98956014234875445</v>
      </c>
      <c r="Y298" s="304">
        <v>0.98985747330960838</v>
      </c>
      <c r="Z298" s="304">
        <v>0.99015231316725982</v>
      </c>
      <c r="AA298" s="304">
        <v>0.99044786476868318</v>
      </c>
      <c r="AB298" s="305">
        <v>0.99074733096085399</v>
      </c>
      <c r="AC298" s="304">
        <v>0.99101939501779357</v>
      </c>
      <c r="AD298" s="304">
        <v>0.99123701067615655</v>
      </c>
      <c r="AE298" s="304">
        <v>0.99140978647686806</v>
      </c>
      <c r="AF298" s="304">
        <v>0.99154733096085412</v>
      </c>
      <c r="AG298" s="304">
        <v>0.99165925266903909</v>
      </c>
      <c r="AH298" s="304">
        <v>0.99175516014234866</v>
      </c>
      <c r="AI298" s="304">
        <v>0.99184466192170817</v>
      </c>
      <c r="AJ298" s="304">
        <v>0.99193736654804288</v>
      </c>
      <c r="AK298" s="304">
        <v>0.99204288256227768</v>
      </c>
      <c r="AL298" s="330">
        <v>0.99217081850533817</v>
      </c>
      <c r="AM298" s="331">
        <f>AL298</f>
        <v>0.99217081850533817</v>
      </c>
      <c r="AN298" s="299"/>
    </row>
    <row r="299" spans="1:40" ht="17.45" customHeight="1" x14ac:dyDescent="0.2">
      <c r="A299" s="306">
        <v>5</v>
      </c>
      <c r="B299" s="307">
        <v>0.96012752075919339</v>
      </c>
      <c r="C299" s="307">
        <v>0.9669335705812574</v>
      </c>
      <c r="D299" s="307">
        <v>0.97397686832740216</v>
      </c>
      <c r="E299" s="307">
        <v>0.97787663107947809</v>
      </c>
      <c r="F299" s="307">
        <v>0.98076512455516007</v>
      </c>
      <c r="G299" s="307">
        <v>0.98356896951879924</v>
      </c>
      <c r="H299" s="307">
        <v>0.98573804734643344</v>
      </c>
      <c r="I299" s="307">
        <v>0.98715749938960362</v>
      </c>
      <c r="J299" s="308">
        <v>0.98832948527336806</v>
      </c>
      <c r="K299" s="307">
        <v>0.98934754187424556</v>
      </c>
      <c r="L299" s="307">
        <v>0.99073321515398882</v>
      </c>
      <c r="M299" s="307">
        <v>0.9919632265717675</v>
      </c>
      <c r="N299" s="307">
        <v>0.99290700526600795</v>
      </c>
      <c r="O299" s="307">
        <v>0.99357150196923849</v>
      </c>
      <c r="P299" s="307">
        <v>0.99360281264786954</v>
      </c>
      <c r="Q299" s="307">
        <v>0.99380263151871784</v>
      </c>
      <c r="R299" s="307">
        <v>0.99407250889679721</v>
      </c>
      <c r="S299" s="308">
        <v>0.99436855772187915</v>
      </c>
      <c r="T299" s="307">
        <v>0.99465312544809881</v>
      </c>
      <c r="U299" s="307">
        <v>0.99490551405889494</v>
      </c>
      <c r="V299" s="307">
        <v>0.99509175909872827</v>
      </c>
      <c r="W299" s="307">
        <v>0.99514976275207589</v>
      </c>
      <c r="X299" s="307">
        <v>0.9951180850102862</v>
      </c>
      <c r="Y299" s="307">
        <v>0.99512684909215032</v>
      </c>
      <c r="Z299" s="307">
        <v>0.99511318836431029</v>
      </c>
      <c r="AA299" s="307">
        <v>0.99525823427341853</v>
      </c>
      <c r="AB299" s="308">
        <v>0.99553956364239338</v>
      </c>
      <c r="AC299" s="307">
        <v>0.99583999469361451</v>
      </c>
      <c r="AD299" s="307">
        <v>0.99623093436461219</v>
      </c>
      <c r="AE299" s="307">
        <v>0.99680931884044277</v>
      </c>
      <c r="AF299" s="307">
        <v>0.99750665542458516</v>
      </c>
      <c r="AG299" s="307">
        <v>0.9981672597864768</v>
      </c>
      <c r="AH299" s="307">
        <v>0.99865323377031556</v>
      </c>
      <c r="AI299" s="307">
        <v>0.99896707989519395</v>
      </c>
      <c r="AJ299" s="307">
        <v>0.9992033309217474</v>
      </c>
      <c r="AK299" s="307">
        <v>0.99942567955308181</v>
      </c>
      <c r="AL299" s="332">
        <v>0.99968861209964421</v>
      </c>
      <c r="AM299" s="333">
        <f t="shared" ref="AM299:AM334" si="4">AL299</f>
        <v>0.99968861209964421</v>
      </c>
      <c r="AN299" s="299"/>
    </row>
    <row r="300" spans="1:40" ht="17.45" customHeight="1" x14ac:dyDescent="0.2">
      <c r="A300" s="303">
        <v>6</v>
      </c>
      <c r="B300" s="304">
        <v>0.9629893238434164</v>
      </c>
      <c r="C300" s="304">
        <v>0.97085557532621591</v>
      </c>
      <c r="D300" s="304">
        <v>0.97793594306049825</v>
      </c>
      <c r="E300" s="304">
        <v>0.98202995255041525</v>
      </c>
      <c r="F300" s="304">
        <v>0.98505338078291815</v>
      </c>
      <c r="G300" s="304">
        <v>0.98828021042859349</v>
      </c>
      <c r="H300" s="304">
        <v>0.99074733096085399</v>
      </c>
      <c r="I300" s="304">
        <v>0.99250546873656886</v>
      </c>
      <c r="J300" s="305">
        <v>0.99411550879364585</v>
      </c>
      <c r="K300" s="304">
        <v>0.99555822373510749</v>
      </c>
      <c r="L300" s="304">
        <v>0.99681438616397611</v>
      </c>
      <c r="M300" s="304">
        <v>0.9978647686832739</v>
      </c>
      <c r="N300" s="304">
        <v>0.99865686041913793</v>
      </c>
      <c r="O300" s="304">
        <v>0.99919715302491108</v>
      </c>
      <c r="P300" s="304">
        <v>0.99955492289442471</v>
      </c>
      <c r="Q300" s="304">
        <v>0.99979944642151064</v>
      </c>
      <c r="R300" s="304">
        <v>1</v>
      </c>
      <c r="S300" s="305">
        <v>1.0001476469224384</v>
      </c>
      <c r="T300" s="304">
        <v>1.0001813122219541</v>
      </c>
      <c r="U300" s="304">
        <v>1.0001242169842901</v>
      </c>
      <c r="V300" s="304">
        <v>1.0000321204661271</v>
      </c>
      <c r="W300" s="304">
        <v>0.99990912557193679</v>
      </c>
      <c r="X300" s="304">
        <v>0.9997826492337456</v>
      </c>
      <c r="Y300" s="304">
        <v>0.99979218979907425</v>
      </c>
      <c r="Z300" s="304">
        <v>0.99991293648072466</v>
      </c>
      <c r="AA300" s="304">
        <v>1.0001263709283466</v>
      </c>
      <c r="AB300" s="305">
        <v>1.000412250156252</v>
      </c>
      <c r="AC300" s="304">
        <v>1.0007168084811628</v>
      </c>
      <c r="AD300" s="304">
        <v>1.0010469485272286</v>
      </c>
      <c r="AE300" s="304">
        <v>1.0014484011564802</v>
      </c>
      <c r="AF300" s="304">
        <v>1.0019532442027268</v>
      </c>
      <c r="AG300" s="304">
        <v>1.0025934163701067</v>
      </c>
      <c r="AH300" s="304">
        <v>1.0034484188401283</v>
      </c>
      <c r="AI300" s="304">
        <v>1.0043813958758314</v>
      </c>
      <c r="AJ300" s="304">
        <v>1.0052150084248186</v>
      </c>
      <c r="AK300" s="304">
        <v>1.005885537522476</v>
      </c>
      <c r="AL300" s="330">
        <v>1.006405693950178</v>
      </c>
      <c r="AM300" s="334">
        <f t="shared" si="4"/>
        <v>1.006405693950178</v>
      </c>
      <c r="AN300" s="299"/>
    </row>
    <row r="301" spans="1:40" ht="17.45" customHeight="1" x14ac:dyDescent="0.2">
      <c r="A301" s="303">
        <v>7</v>
      </c>
      <c r="B301" s="304">
        <v>0.96513938315539749</v>
      </c>
      <c r="C301" s="304">
        <v>0.97325771055753263</v>
      </c>
      <c r="D301" s="304">
        <v>0.98041221826809011</v>
      </c>
      <c r="E301" s="304">
        <v>0.9845195729537366</v>
      </c>
      <c r="F301" s="304">
        <v>0.98785460091509913</v>
      </c>
      <c r="G301" s="304">
        <v>0.99148090227890617</v>
      </c>
      <c r="H301" s="304">
        <v>0.99450179547681672</v>
      </c>
      <c r="I301" s="304">
        <v>0.99614784107956611</v>
      </c>
      <c r="J301" s="305">
        <v>0.99764520887402397</v>
      </c>
      <c r="K301" s="304">
        <v>0.99905544673962343</v>
      </c>
      <c r="L301" s="304">
        <v>1.0002793097533118</v>
      </c>
      <c r="M301" s="304">
        <v>1.0013221629102411</v>
      </c>
      <c r="N301" s="304">
        <v>1.002305004576175</v>
      </c>
      <c r="O301" s="304">
        <v>1.0031116958543507</v>
      </c>
      <c r="P301" s="304">
        <v>1.0036368307094012</v>
      </c>
      <c r="Q301" s="304">
        <v>1.0040336705197888</v>
      </c>
      <c r="R301" s="304">
        <v>1.0043340111845449</v>
      </c>
      <c r="S301" s="305">
        <v>1.0044495974099354</v>
      </c>
      <c r="T301" s="304">
        <v>1.0044208601813422</v>
      </c>
      <c r="U301" s="304">
        <v>1.0043547958652239</v>
      </c>
      <c r="V301" s="304">
        <v>1.0043335639074258</v>
      </c>
      <c r="W301" s="304">
        <v>1.0043532543356626</v>
      </c>
      <c r="X301" s="304">
        <v>1.0044112768083402</v>
      </c>
      <c r="Y301" s="304">
        <v>1.0045119702924659</v>
      </c>
      <c r="Z301" s="304">
        <v>1.0046620785344436</v>
      </c>
      <c r="AA301" s="304">
        <v>1.0048701698296643</v>
      </c>
      <c r="AB301" s="305">
        <v>1.0051485191137643</v>
      </c>
      <c r="AC301" s="304">
        <v>1.0054712134371968</v>
      </c>
      <c r="AD301" s="304">
        <v>1.0058172669514986</v>
      </c>
      <c r="AE301" s="304">
        <v>1.0062028974455441</v>
      </c>
      <c r="AF301" s="304">
        <v>1.0066371638472729</v>
      </c>
      <c r="AG301" s="304">
        <v>1.0071259168946121</v>
      </c>
      <c r="AH301" s="304">
        <v>1.0076750416974631</v>
      </c>
      <c r="AI301" s="304">
        <v>1.0082957927149792</v>
      </c>
      <c r="AJ301" s="304">
        <v>1.0090706192936472</v>
      </c>
      <c r="AK301" s="304">
        <v>1.0100294761981177</v>
      </c>
      <c r="AL301" s="330">
        <v>1.0107562277580071</v>
      </c>
      <c r="AM301" s="334">
        <f t="shared" si="4"/>
        <v>1.0107562277580071</v>
      </c>
      <c r="AN301" s="299"/>
    </row>
    <row r="302" spans="1:40" ht="17.45" customHeight="1" x14ac:dyDescent="0.2">
      <c r="A302" s="303">
        <v>8</v>
      </c>
      <c r="B302" s="304">
        <v>0.96654804270462646</v>
      </c>
      <c r="C302" s="304">
        <v>0.974982206405694</v>
      </c>
      <c r="D302" s="304">
        <v>0.98220640569395012</v>
      </c>
      <c r="E302" s="304">
        <v>0.98655821047280123</v>
      </c>
      <c r="F302" s="304">
        <v>0.99003558718861207</v>
      </c>
      <c r="G302" s="304">
        <v>0.99409422131842051</v>
      </c>
      <c r="H302" s="304">
        <v>0.99715302491103197</v>
      </c>
      <c r="I302" s="304">
        <v>0.99875611651823393</v>
      </c>
      <c r="J302" s="305">
        <v>1.0002398516291477</v>
      </c>
      <c r="K302" s="304">
        <v>1.0015983522872887</v>
      </c>
      <c r="L302" s="304">
        <v>1.0028253692669504</v>
      </c>
      <c r="M302" s="304">
        <v>1.0039112956372742</v>
      </c>
      <c r="N302" s="304">
        <v>1.0049411052480879</v>
      </c>
      <c r="O302" s="304">
        <v>1.0059159158963622</v>
      </c>
      <c r="P302" s="304">
        <v>1.0067561821945885</v>
      </c>
      <c r="Q302" s="304">
        <v>1.0074101605539219</v>
      </c>
      <c r="R302" s="304">
        <v>1.0078291814946618</v>
      </c>
      <c r="S302" s="305">
        <v>1.0080812966087913</v>
      </c>
      <c r="T302" s="304">
        <v>1.0082781112170141</v>
      </c>
      <c r="U302" s="304">
        <v>1.008433939462583</v>
      </c>
      <c r="V302" s="304">
        <v>1.0085624564469433</v>
      </c>
      <c r="W302" s="304">
        <v>1.0086767711364173</v>
      </c>
      <c r="X302" s="304">
        <v>1.0087896568810104</v>
      </c>
      <c r="Y302" s="304">
        <v>1.0089141147792158</v>
      </c>
      <c r="Z302" s="304">
        <v>1.0090646609009701</v>
      </c>
      <c r="AA302" s="304">
        <v>1.009260275582045</v>
      </c>
      <c r="AB302" s="305">
        <v>1.0095314991262643</v>
      </c>
      <c r="AC302" s="304">
        <v>1.0098741502929598</v>
      </c>
      <c r="AD302" s="304">
        <v>1.0102500279882953</v>
      </c>
      <c r="AE302" s="304">
        <v>1.0106570776190178</v>
      </c>
      <c r="AF302" s="304">
        <v>1.0110936733798948</v>
      </c>
      <c r="AG302" s="304">
        <v>1.0115582195365791</v>
      </c>
      <c r="AH302" s="304">
        <v>1.0120490078597375</v>
      </c>
      <c r="AI302" s="304">
        <v>1.0125641725989643</v>
      </c>
      <c r="AJ302" s="304">
        <v>1.0131016844157941</v>
      </c>
      <c r="AK302" s="304">
        <v>1.0136593597219157</v>
      </c>
      <c r="AL302" s="330">
        <v>1.0142348754448398</v>
      </c>
      <c r="AM302" s="334">
        <f t="shared" si="4"/>
        <v>1.0142348754448398</v>
      </c>
      <c r="AN302" s="299"/>
    </row>
    <row r="303" spans="1:40" ht="17.45" customHeight="1" x14ac:dyDescent="0.2">
      <c r="A303" s="303">
        <v>9</v>
      </c>
      <c r="B303" s="304">
        <v>0.96746314184036608</v>
      </c>
      <c r="C303" s="304">
        <v>0.97595799440772768</v>
      </c>
      <c r="D303" s="304">
        <v>0.98352503812913072</v>
      </c>
      <c r="E303" s="304">
        <v>0.98819426792069143</v>
      </c>
      <c r="F303" s="304">
        <v>0.99205643111337061</v>
      </c>
      <c r="G303" s="304">
        <v>0.99566078938854741</v>
      </c>
      <c r="H303" s="304">
        <v>0.99890727784967104</v>
      </c>
      <c r="I303" s="304">
        <v>1.0006817291249392</v>
      </c>
      <c r="J303" s="305">
        <v>1.0022201210003971</v>
      </c>
      <c r="K303" s="304">
        <v>1.0035257841442751</v>
      </c>
      <c r="L303" s="304">
        <v>1.0047517960999457</v>
      </c>
      <c r="M303" s="304">
        <v>1.0058793001186241</v>
      </c>
      <c r="N303" s="304">
        <v>1.0069436943957852</v>
      </c>
      <c r="O303" s="304">
        <v>1.0080521879772517</v>
      </c>
      <c r="P303" s="304">
        <v>1.0090984126661813</v>
      </c>
      <c r="Q303" s="304">
        <v>1.0096964302320366</v>
      </c>
      <c r="R303" s="304">
        <v>1.0101383513455893</v>
      </c>
      <c r="S303" s="305">
        <v>1.0106011107149038</v>
      </c>
      <c r="T303" s="304">
        <v>1.0110784671310045</v>
      </c>
      <c r="U303" s="304">
        <v>1.0115353299757954</v>
      </c>
      <c r="V303" s="304">
        <v>1.0119382302593474</v>
      </c>
      <c r="W303" s="304">
        <v>1.0122434483493779</v>
      </c>
      <c r="X303" s="304">
        <v>1.0124633549854898</v>
      </c>
      <c r="Y303" s="304">
        <v>1.0126627625582607</v>
      </c>
      <c r="Z303" s="304">
        <v>1.0128584492090611</v>
      </c>
      <c r="AA303" s="304">
        <v>1.0130717156925593</v>
      </c>
      <c r="AB303" s="305">
        <v>1.013344318805087</v>
      </c>
      <c r="AC303" s="304">
        <v>1.0137020262721519</v>
      </c>
      <c r="AD303" s="304">
        <v>1.0140889300106897</v>
      </c>
      <c r="AE303" s="304">
        <v>1.0144881606459033</v>
      </c>
      <c r="AF303" s="304">
        <v>1.0148924541896014</v>
      </c>
      <c r="AG303" s="304">
        <v>1.0152964642406155</v>
      </c>
      <c r="AH303" s="304">
        <v>1.0156584217850204</v>
      </c>
      <c r="AI303" s="304">
        <v>1.0159653379845799</v>
      </c>
      <c r="AJ303" s="304">
        <v>1.0162493890553583</v>
      </c>
      <c r="AK303" s="304">
        <v>1.0165439037426984</v>
      </c>
      <c r="AL303" s="330">
        <v>1.0168937468225723</v>
      </c>
      <c r="AM303" s="334">
        <f t="shared" si="4"/>
        <v>1.0168937468225723</v>
      </c>
      <c r="AN303" s="299"/>
    </row>
    <row r="304" spans="1:40" ht="17.45" customHeight="1" x14ac:dyDescent="0.2">
      <c r="A304" s="306">
        <v>10</v>
      </c>
      <c r="B304" s="307">
        <v>0.96797153024911031</v>
      </c>
      <c r="C304" s="307">
        <v>0.97659665734621259</v>
      </c>
      <c r="D304" s="307">
        <v>0.98434163701067623</v>
      </c>
      <c r="E304" s="307">
        <v>0.98959551347229291</v>
      </c>
      <c r="F304" s="307">
        <v>0.99359430604982202</v>
      </c>
      <c r="G304" s="307">
        <v>0.99725210287932708</v>
      </c>
      <c r="H304" s="307">
        <v>1</v>
      </c>
      <c r="I304" s="307">
        <v>1.001945385048588</v>
      </c>
      <c r="J304" s="308">
        <v>1.0036213379345054</v>
      </c>
      <c r="K304" s="307">
        <v>1.0050719292569827</v>
      </c>
      <c r="L304" s="307">
        <v>1.0063412296152512</v>
      </c>
      <c r="M304" s="307">
        <v>1.0074733096085411</v>
      </c>
      <c r="N304" s="307">
        <v>1.0084749380306723</v>
      </c>
      <c r="O304" s="307">
        <v>1.009340986492175</v>
      </c>
      <c r="P304" s="307">
        <v>1.0100976798173447</v>
      </c>
      <c r="Q304" s="307">
        <v>1.0107712428304785</v>
      </c>
      <c r="R304" s="307">
        <v>1.0113879003558719</v>
      </c>
      <c r="S304" s="308">
        <v>1.0119806566410288</v>
      </c>
      <c r="T304" s="307">
        <v>1.0125625071748365</v>
      </c>
      <c r="U304" s="307">
        <v>1.0131296636436689</v>
      </c>
      <c r="V304" s="307">
        <v>1.0136783377338998</v>
      </c>
      <c r="W304" s="307">
        <v>1.0142047411319024</v>
      </c>
      <c r="X304" s="307">
        <v>1.0147050855240503</v>
      </c>
      <c r="Y304" s="307">
        <v>1.0151755825967168</v>
      </c>
      <c r="Z304" s="307">
        <v>1.0156124440362764</v>
      </c>
      <c r="AA304" s="307">
        <v>1.0160118815291015</v>
      </c>
      <c r="AB304" s="308">
        <v>1.016370106761566</v>
      </c>
      <c r="AC304" s="307">
        <v>1.0166831247847552</v>
      </c>
      <c r="AD304" s="307">
        <v>1.0169543795201472</v>
      </c>
      <c r="AE304" s="307">
        <v>1.0171912409597061</v>
      </c>
      <c r="AF304" s="307">
        <v>1.0174010790953969</v>
      </c>
      <c r="AG304" s="307">
        <v>1.0175912639191829</v>
      </c>
      <c r="AH304" s="307">
        <v>1.0177691654230285</v>
      </c>
      <c r="AI304" s="307">
        <v>1.0179421535988979</v>
      </c>
      <c r="AJ304" s="307">
        <v>1.0181175984387556</v>
      </c>
      <c r="AK304" s="307">
        <v>1.0183028699345655</v>
      </c>
      <c r="AL304" s="332">
        <v>1.0185053380782918</v>
      </c>
      <c r="AM304" s="333">
        <f t="shared" si="4"/>
        <v>1.0185053380782918</v>
      </c>
      <c r="AN304" s="299"/>
    </row>
    <row r="305" spans="1:40" ht="17.45" customHeight="1" x14ac:dyDescent="0.2">
      <c r="A305" s="303">
        <v>11</v>
      </c>
      <c r="B305" s="304">
        <v>0.96858973055414355</v>
      </c>
      <c r="C305" s="304">
        <v>0.97737503506126966</v>
      </c>
      <c r="D305" s="304">
        <v>0.9850769700050841</v>
      </c>
      <c r="E305" s="304">
        <v>0.99051311988533297</v>
      </c>
      <c r="F305" s="304">
        <v>0.99458790035587197</v>
      </c>
      <c r="G305" s="304">
        <v>0.99825838103126885</v>
      </c>
      <c r="H305" s="304">
        <v>1.0010403783642219</v>
      </c>
      <c r="I305" s="304">
        <v>1.0029318667098028</v>
      </c>
      <c r="J305" s="305">
        <v>1.0046791977455456</v>
      </c>
      <c r="K305" s="304">
        <v>1.0062187516392342</v>
      </c>
      <c r="L305" s="304">
        <v>1.00757931292462</v>
      </c>
      <c r="M305" s="304">
        <v>1.0087823909318574</v>
      </c>
      <c r="N305" s="304">
        <v>1.0098152704814629</v>
      </c>
      <c r="O305" s="304">
        <v>1.0106419145743479</v>
      </c>
      <c r="P305" s="304">
        <v>1.0113629133726536</v>
      </c>
      <c r="Q305" s="304">
        <v>1.0120044164344906</v>
      </c>
      <c r="R305" s="304">
        <v>1.0126105383997246</v>
      </c>
      <c r="S305" s="305">
        <v>1.0132464875017642</v>
      </c>
      <c r="T305" s="304">
        <v>1.0139033906972377</v>
      </c>
      <c r="U305" s="304">
        <v>1.0145721991390584</v>
      </c>
      <c r="V305" s="304">
        <v>1.0152304973857507</v>
      </c>
      <c r="W305" s="304">
        <v>1.0158722624924152</v>
      </c>
      <c r="X305" s="304">
        <v>1.016492067129799</v>
      </c>
      <c r="Y305" s="304">
        <v>1.017083887740087</v>
      </c>
      <c r="Z305" s="304">
        <v>1.0176398006699994</v>
      </c>
      <c r="AA305" s="304">
        <v>1.0181465670867016</v>
      </c>
      <c r="AB305" s="305">
        <v>1.0185721960739298</v>
      </c>
      <c r="AC305" s="304">
        <v>1.0189267396130381</v>
      </c>
      <c r="AD305" s="304">
        <v>1.0191612137909924</v>
      </c>
      <c r="AE305" s="304">
        <v>1.0192893369125013</v>
      </c>
      <c r="AF305" s="304">
        <v>1.0194202959039202</v>
      </c>
      <c r="AG305" s="304">
        <v>1.0195397966993021</v>
      </c>
      <c r="AH305" s="304">
        <v>1.0196487700584131</v>
      </c>
      <c r="AI305" s="304">
        <v>1.0197531670801716</v>
      </c>
      <c r="AJ305" s="304">
        <v>1.0198622879665011</v>
      </c>
      <c r="AK305" s="304">
        <v>1.0199908320117461</v>
      </c>
      <c r="AL305" s="330">
        <v>1.0201702762243687</v>
      </c>
      <c r="AM305" s="334">
        <f t="shared" si="4"/>
        <v>1.0201702762243687</v>
      </c>
      <c r="AN305" s="299"/>
    </row>
    <row r="306" spans="1:40" ht="17.45" customHeight="1" x14ac:dyDescent="0.2">
      <c r="A306" s="303">
        <v>12</v>
      </c>
      <c r="B306" s="304">
        <v>0.96920793085917645</v>
      </c>
      <c r="C306" s="304">
        <v>0.97807234527753917</v>
      </c>
      <c r="D306" s="304">
        <v>0.98573116420945606</v>
      </c>
      <c r="E306" s="304">
        <v>0.99130153896789575</v>
      </c>
      <c r="F306" s="304">
        <v>0.99545053380782911</v>
      </c>
      <c r="G306" s="304">
        <v>0.99915281000925649</v>
      </c>
      <c r="H306" s="304">
        <v>1.0020735776678837</v>
      </c>
      <c r="I306" s="304">
        <v>1.0039207554382155</v>
      </c>
      <c r="J306" s="305">
        <v>1.0055332254933678</v>
      </c>
      <c r="K306" s="304">
        <v>1.0071112469095862</v>
      </c>
      <c r="L306" s="304">
        <v>1.0085406893503375</v>
      </c>
      <c r="M306" s="304">
        <v>1.0097983392645316</v>
      </c>
      <c r="N306" s="304">
        <v>1.0108921644636504</v>
      </c>
      <c r="O306" s="304">
        <v>1.0117882392814779</v>
      </c>
      <c r="P306" s="304">
        <v>1.0124924830660365</v>
      </c>
      <c r="Q306" s="304">
        <v>1.0131238504216427</v>
      </c>
      <c r="R306" s="304">
        <v>1.0137402364826082</v>
      </c>
      <c r="S306" s="305">
        <v>1.0144014402023842</v>
      </c>
      <c r="T306" s="304">
        <v>1.0150736371836178</v>
      </c>
      <c r="U306" s="304">
        <v>1.015746380140351</v>
      </c>
      <c r="V306" s="304">
        <v>1.0164281149226162</v>
      </c>
      <c r="W306" s="304">
        <v>1.017122609209224</v>
      </c>
      <c r="X306" s="304">
        <v>1.0178109132653594</v>
      </c>
      <c r="Y306" s="304">
        <v>1.0184815277252719</v>
      </c>
      <c r="Z306" s="304">
        <v>1.0191180375445421</v>
      </c>
      <c r="AA306" s="304">
        <v>1.0196940463062494</v>
      </c>
      <c r="AB306" s="305">
        <v>1.0201606244977617</v>
      </c>
      <c r="AC306" s="304">
        <v>1.0205392885842204</v>
      </c>
      <c r="AD306" s="304">
        <v>1.0208820122937561</v>
      </c>
      <c r="AE306" s="304">
        <v>1.0211425601605377</v>
      </c>
      <c r="AF306" s="304">
        <v>1.0212485363333719</v>
      </c>
      <c r="AG306" s="304">
        <v>1.0212729550324278</v>
      </c>
      <c r="AH306" s="304">
        <v>1.0213300670137315</v>
      </c>
      <c r="AI306" s="304">
        <v>1.0214004818477895</v>
      </c>
      <c r="AJ306" s="304">
        <v>1.0214852818215006</v>
      </c>
      <c r="AK306" s="304">
        <v>1.0216009526563041</v>
      </c>
      <c r="AL306" s="330">
        <v>1.021785866802237</v>
      </c>
      <c r="AM306" s="334">
        <f t="shared" si="4"/>
        <v>1.021785866802237</v>
      </c>
      <c r="AN306" s="299"/>
    </row>
    <row r="307" spans="1:40" ht="17.45" customHeight="1" x14ac:dyDescent="0.2">
      <c r="A307" s="303">
        <v>13</v>
      </c>
      <c r="B307" s="304">
        <v>0.96980172852058977</v>
      </c>
      <c r="C307" s="304">
        <v>0.97837320177349429</v>
      </c>
      <c r="D307" s="304">
        <v>0.98630238942552118</v>
      </c>
      <c r="E307" s="304">
        <v>0.99184408371375887</v>
      </c>
      <c r="F307" s="304">
        <v>0.99620782918149464</v>
      </c>
      <c r="G307" s="304">
        <v>0.99995378349170205</v>
      </c>
      <c r="H307" s="304">
        <v>1.003049221241392</v>
      </c>
      <c r="I307" s="304">
        <v>1.0049194380681925</v>
      </c>
      <c r="J307" s="305">
        <v>1.0064528525382617</v>
      </c>
      <c r="K307" s="304">
        <v>1.0078786153348431</v>
      </c>
      <c r="L307" s="304">
        <v>1.0093208921210923</v>
      </c>
      <c r="M307" s="304">
        <v>1.010622380387505</v>
      </c>
      <c r="N307" s="304">
        <v>1.0117446927806757</v>
      </c>
      <c r="O307" s="304">
        <v>1.0127205893121278</v>
      </c>
      <c r="P307" s="304">
        <v>1.0135154945489466</v>
      </c>
      <c r="Q307" s="304">
        <v>1.0141596770397339</v>
      </c>
      <c r="R307" s="304">
        <v>1.0147924233727472</v>
      </c>
      <c r="S307" s="305">
        <v>1.0154778586052953</v>
      </c>
      <c r="T307" s="304">
        <v>1.0161702243816721</v>
      </c>
      <c r="U307" s="304">
        <v>1.016853296247866</v>
      </c>
      <c r="V307" s="304">
        <v>1.0175215338255541</v>
      </c>
      <c r="W307" s="304">
        <v>1.0181772816973713</v>
      </c>
      <c r="X307" s="304">
        <v>1.0188338840128992</v>
      </c>
      <c r="Y307" s="304">
        <v>1.0195061090992581</v>
      </c>
      <c r="Z307" s="304">
        <v>1.0201712828085703</v>
      </c>
      <c r="AA307" s="304">
        <v>1.0207882089073825</v>
      </c>
      <c r="AB307" s="305">
        <v>1.0212885776604295</v>
      </c>
      <c r="AC307" s="304">
        <v>1.0216811054330859</v>
      </c>
      <c r="AD307" s="304">
        <v>1.0220396933015921</v>
      </c>
      <c r="AE307" s="304">
        <v>1.0223591418650722</v>
      </c>
      <c r="AF307" s="304">
        <v>1.0226289268531952</v>
      </c>
      <c r="AG307" s="304">
        <v>1.0228264388937141</v>
      </c>
      <c r="AH307" s="304">
        <v>1.0229011594535646</v>
      </c>
      <c r="AI307" s="304">
        <v>1.0229232525612701</v>
      </c>
      <c r="AJ307" s="304">
        <v>1.0229985182937829</v>
      </c>
      <c r="AK307" s="304">
        <v>1.0231193719411769</v>
      </c>
      <c r="AL307" s="330">
        <v>1.0233163192679207</v>
      </c>
      <c r="AM307" s="334">
        <f t="shared" si="4"/>
        <v>1.0233163192679207</v>
      </c>
      <c r="AN307" s="299"/>
    </row>
    <row r="308" spans="1:40" ht="17.45" customHeight="1" x14ac:dyDescent="0.2">
      <c r="A308" s="303">
        <v>14</v>
      </c>
      <c r="B308" s="304">
        <v>0.9703467208947637</v>
      </c>
      <c r="C308" s="304">
        <v>0.97887741700496622</v>
      </c>
      <c r="D308" s="304">
        <v>0.98678881545500763</v>
      </c>
      <c r="E308" s="304">
        <v>0.99243597015993767</v>
      </c>
      <c r="F308" s="304">
        <v>0.99688540925266889</v>
      </c>
      <c r="G308" s="304">
        <v>1.0008298347289917</v>
      </c>
      <c r="H308" s="304">
        <v>1.0039169324151529</v>
      </c>
      <c r="I308" s="304">
        <v>1.0058287092133842</v>
      </c>
      <c r="J308" s="305">
        <v>1.007400180417974</v>
      </c>
      <c r="K308" s="304">
        <v>1.0087566320615919</v>
      </c>
      <c r="L308" s="304">
        <v>1.0100425752183759</v>
      </c>
      <c r="M308" s="304">
        <v>1.011355740081719</v>
      </c>
      <c r="N308" s="304">
        <v>1.012497840526088</v>
      </c>
      <c r="O308" s="304">
        <v>1.0134971323127908</v>
      </c>
      <c r="P308" s="304">
        <v>1.0143696819277337</v>
      </c>
      <c r="Q308" s="304">
        <v>1.0151203148242298</v>
      </c>
      <c r="R308" s="304">
        <v>1.0157825278383656</v>
      </c>
      <c r="S308" s="305">
        <v>1.0164892185815606</v>
      </c>
      <c r="T308" s="304">
        <v>1.0171939775653116</v>
      </c>
      <c r="U308" s="304">
        <v>1.0178829893813488</v>
      </c>
      <c r="V308" s="304">
        <v>1.0185507776719258</v>
      </c>
      <c r="W308" s="304">
        <v>1.0191945952689423</v>
      </c>
      <c r="X308" s="304">
        <v>1.019813476646187</v>
      </c>
      <c r="Y308" s="304">
        <v>1.0204092699736815</v>
      </c>
      <c r="Z308" s="304">
        <v>1.020992508948978</v>
      </c>
      <c r="AA308" s="304">
        <v>1.0215865815362262</v>
      </c>
      <c r="AB308" s="305">
        <v>1.0221092411893009</v>
      </c>
      <c r="AC308" s="304">
        <v>1.022516536614503</v>
      </c>
      <c r="AD308" s="304">
        <v>1.0228813069855947</v>
      </c>
      <c r="AE308" s="304">
        <v>1.0232108436564011</v>
      </c>
      <c r="AF308" s="304">
        <v>1.023510307915956</v>
      </c>
      <c r="AG308" s="304">
        <v>1.0237831546271048</v>
      </c>
      <c r="AH308" s="304">
        <v>1.0240297972260779</v>
      </c>
      <c r="AI308" s="304">
        <v>1.0242428933591583</v>
      </c>
      <c r="AJ308" s="304">
        <v>1.0243881682164315</v>
      </c>
      <c r="AK308" s="304">
        <v>1.0245132078674204</v>
      </c>
      <c r="AL308" s="330">
        <v>1.0247258430774446</v>
      </c>
      <c r="AM308" s="334">
        <f t="shared" si="4"/>
        <v>1.0247258430774446</v>
      </c>
      <c r="AN308" s="299"/>
    </row>
    <row r="309" spans="1:40" ht="17.45" customHeight="1" x14ac:dyDescent="0.2">
      <c r="A309" s="306">
        <v>15</v>
      </c>
      <c r="B309" s="307">
        <v>0.97081850533807834</v>
      </c>
      <c r="C309" s="307">
        <v>0.9793668446026097</v>
      </c>
      <c r="D309" s="307">
        <v>0.98718861209964404</v>
      </c>
      <c r="E309" s="307">
        <v>0.99297894424673772</v>
      </c>
      <c r="F309" s="307">
        <v>0.99750889679715282</v>
      </c>
      <c r="G309" s="307">
        <v>1.0015823589222164</v>
      </c>
      <c r="H309" s="307">
        <v>1.0046263345195727</v>
      </c>
      <c r="I309" s="307">
        <v>1.0065816641247245</v>
      </c>
      <c r="J309" s="308">
        <v>1.0082086426029484</v>
      </c>
      <c r="K309" s="307">
        <v>1.0096052872394508</v>
      </c>
      <c r="L309" s="307">
        <v>1.0108696153194374</v>
      </c>
      <c r="M309" s="307">
        <v>1.0120996441281138</v>
      </c>
      <c r="N309" s="307">
        <v>1.013262430096594</v>
      </c>
      <c r="O309" s="307">
        <v>1.0142783934926285</v>
      </c>
      <c r="P309" s="307">
        <v>1.0151755973563803</v>
      </c>
      <c r="Q309" s="307">
        <v>1.0159821047280124</v>
      </c>
      <c r="R309" s="307">
        <v>1.016725978647687</v>
      </c>
      <c r="S309" s="308">
        <v>1.0174390673383558</v>
      </c>
      <c r="T309" s="307">
        <v>1.0181332347367937</v>
      </c>
      <c r="U309" s="307">
        <v>1.0188065674538984</v>
      </c>
      <c r="V309" s="307">
        <v>1.0194571521005686</v>
      </c>
      <c r="W309" s="307">
        <v>1.0200830752877017</v>
      </c>
      <c r="X309" s="307">
        <v>1.020682423626196</v>
      </c>
      <c r="Y309" s="307">
        <v>1.0212532837269492</v>
      </c>
      <c r="Z309" s="307">
        <v>1.0217937422008596</v>
      </c>
      <c r="AA309" s="307">
        <v>1.0223018856588251</v>
      </c>
      <c r="AB309" s="308">
        <v>1.0227758007117438</v>
      </c>
      <c r="AC309" s="307">
        <v>1.0232093497250081</v>
      </c>
      <c r="AD309" s="307">
        <v>1.0236016823034617</v>
      </c>
      <c r="AE309" s="307">
        <v>1.0239588159171789</v>
      </c>
      <c r="AF309" s="307">
        <v>1.0242867680362342</v>
      </c>
      <c r="AG309" s="307">
        <v>1.024591556130702</v>
      </c>
      <c r="AH309" s="307">
        <v>1.0248791976706568</v>
      </c>
      <c r="AI309" s="307">
        <v>1.0251557101261726</v>
      </c>
      <c r="AJ309" s="307">
        <v>1.0254271109673245</v>
      </c>
      <c r="AK309" s="307">
        <v>1.0256994176641865</v>
      </c>
      <c r="AL309" s="332">
        <v>1.0259786476868327</v>
      </c>
      <c r="AM309" s="333">
        <f t="shared" si="4"/>
        <v>1.0259786476868327</v>
      </c>
      <c r="AN309" s="299"/>
    </row>
    <row r="310" spans="1:40" ht="17.45" customHeight="1" x14ac:dyDescent="0.2">
      <c r="A310" s="303">
        <v>16</v>
      </c>
      <c r="B310" s="304">
        <v>0.97113736654804284</v>
      </c>
      <c r="C310" s="304">
        <v>0.97972951048624146</v>
      </c>
      <c r="D310" s="304">
        <v>0.98758529062870715</v>
      </c>
      <c r="E310" s="304">
        <v>0.99339632090411323</v>
      </c>
      <c r="F310" s="304">
        <v>0.99801423487544472</v>
      </c>
      <c r="G310" s="304">
        <v>1.0021317637989051</v>
      </c>
      <c r="H310" s="304">
        <v>1.0051992543636672</v>
      </c>
      <c r="I310" s="304">
        <v>1.0072044738179968</v>
      </c>
      <c r="J310" s="305">
        <v>1.0089112671581086</v>
      </c>
      <c r="K310" s="304">
        <v>1.0103341580523075</v>
      </c>
      <c r="L310" s="304">
        <v>1.0116106062531773</v>
      </c>
      <c r="M310" s="304">
        <v>1.0128561260803255</v>
      </c>
      <c r="N310" s="304">
        <v>1.0141302152177598</v>
      </c>
      <c r="O310" s="304">
        <v>1.0152205770208438</v>
      </c>
      <c r="P310" s="304">
        <v>1.0161356455591333</v>
      </c>
      <c r="Q310" s="304">
        <v>1.0169441196407389</v>
      </c>
      <c r="R310" s="304">
        <v>1.0176854092526693</v>
      </c>
      <c r="S310" s="305">
        <v>1.0183959076387785</v>
      </c>
      <c r="T310" s="304">
        <v>1.019084417047958</v>
      </c>
      <c r="U310" s="304">
        <v>1.0197505971913192</v>
      </c>
      <c r="V310" s="304">
        <v>1.0203921181652142</v>
      </c>
      <c r="W310" s="304">
        <v>1.0210052751349652</v>
      </c>
      <c r="X310" s="304">
        <v>1.0215840835143504</v>
      </c>
      <c r="Y310" s="304">
        <v>1.0221168410878256</v>
      </c>
      <c r="Z310" s="304">
        <v>1.0225720509620866</v>
      </c>
      <c r="AA310" s="304">
        <v>1.0229725077064868</v>
      </c>
      <c r="AB310" s="305">
        <v>1.0233944061107183</v>
      </c>
      <c r="AC310" s="304">
        <v>1.0238289632097415</v>
      </c>
      <c r="AD310" s="304">
        <v>1.0242564865739243</v>
      </c>
      <c r="AE310" s="304">
        <v>1.0246635204955845</v>
      </c>
      <c r="AF310" s="304">
        <v>1.0250432567669578</v>
      </c>
      <c r="AG310" s="304">
        <v>1.0254000254194204</v>
      </c>
      <c r="AH310" s="304">
        <v>1.0257392027031884</v>
      </c>
      <c r="AI310" s="304">
        <v>1.0260663962964673</v>
      </c>
      <c r="AJ310" s="304">
        <v>1.0263871530249111</v>
      </c>
      <c r="AK310" s="304">
        <v>1.0267065989671327</v>
      </c>
      <c r="AL310" s="330">
        <v>1.0270282325029656</v>
      </c>
      <c r="AM310" s="334">
        <f t="shared" si="4"/>
        <v>1.0270282325029656</v>
      </c>
      <c r="AN310" s="299"/>
    </row>
    <row r="311" spans="1:40" ht="17.45" customHeight="1" x14ac:dyDescent="0.2">
      <c r="A311" s="303">
        <v>17</v>
      </c>
      <c r="B311" s="304">
        <v>0.97129110320284706</v>
      </c>
      <c r="C311" s="304">
        <v>0.97993037235501146</v>
      </c>
      <c r="D311" s="304">
        <v>0.9880085409252668</v>
      </c>
      <c r="E311" s="304">
        <v>0.99366527552422557</v>
      </c>
      <c r="F311" s="304">
        <v>0.99835587188612096</v>
      </c>
      <c r="G311" s="304">
        <v>1.0025240115589646</v>
      </c>
      <c r="H311" s="304">
        <v>1.0056943568886629</v>
      </c>
      <c r="I311" s="304">
        <v>1.0076911794611081</v>
      </c>
      <c r="J311" s="305">
        <v>1.0094548042704625</v>
      </c>
      <c r="K311" s="304">
        <v>1.0109908301794421</v>
      </c>
      <c r="L311" s="304">
        <v>1.0122873034702216</v>
      </c>
      <c r="M311" s="304">
        <v>1.0135434672089476</v>
      </c>
      <c r="N311" s="304">
        <v>1.014853550245721</v>
      </c>
      <c r="O311" s="304">
        <v>1.0160988307066599</v>
      </c>
      <c r="P311" s="304">
        <v>1.0171141614415637</v>
      </c>
      <c r="Q311" s="304">
        <v>1.0179245702235027</v>
      </c>
      <c r="R311" s="304">
        <v>1.0186505338078293</v>
      </c>
      <c r="S311" s="305">
        <v>1.019368601623762</v>
      </c>
      <c r="T311" s="304">
        <v>1.0200695979281034</v>
      </c>
      <c r="U311" s="304">
        <v>1.0207430121494454</v>
      </c>
      <c r="V311" s="304">
        <v>1.021374910672562</v>
      </c>
      <c r="W311" s="304">
        <v>1.0219429748538884</v>
      </c>
      <c r="X311" s="304">
        <v>1.0224052502657486</v>
      </c>
      <c r="Y311" s="304">
        <v>1.0227887118774859</v>
      </c>
      <c r="Z311" s="304">
        <v>1.0231730531437131</v>
      </c>
      <c r="AA311" s="304">
        <v>1.0235651968742026</v>
      </c>
      <c r="AB311" s="305">
        <v>1.0239700653425805</v>
      </c>
      <c r="AC311" s="304">
        <v>1.0243863046072168</v>
      </c>
      <c r="AD311" s="304">
        <v>1.0248024435546004</v>
      </c>
      <c r="AE311" s="304">
        <v>1.0252168831744033</v>
      </c>
      <c r="AF311" s="304">
        <v>1.0256248463280491</v>
      </c>
      <c r="AG311" s="304">
        <v>1.026024140575386</v>
      </c>
      <c r="AH311" s="304">
        <v>1.0264101110751644</v>
      </c>
      <c r="AI311" s="304">
        <v>1.0267846858885901</v>
      </c>
      <c r="AJ311" s="304">
        <v>1.0271513311046407</v>
      </c>
      <c r="AK311" s="304">
        <v>1.0275137460009345</v>
      </c>
      <c r="AL311" s="330">
        <v>1.0278747330960853</v>
      </c>
      <c r="AM311" s="334">
        <f t="shared" si="4"/>
        <v>1.0278747330960853</v>
      </c>
      <c r="AN311" s="299"/>
    </row>
    <row r="312" spans="1:40" ht="17.45" customHeight="1" x14ac:dyDescent="0.2">
      <c r="A312" s="303">
        <v>18</v>
      </c>
      <c r="B312" s="304">
        <v>0.97135658362989319</v>
      </c>
      <c r="C312" s="304">
        <v>0.97992408373215523</v>
      </c>
      <c r="D312" s="304">
        <v>0.9883758007117438</v>
      </c>
      <c r="E312" s="304">
        <v>0.99380681928707459</v>
      </c>
      <c r="F312" s="304">
        <v>0.99858718861209983</v>
      </c>
      <c r="G312" s="304">
        <v>1.0027422086987443</v>
      </c>
      <c r="H312" s="304">
        <v>1.0061165226232842</v>
      </c>
      <c r="I312" s="304">
        <v>1.0081428458453368</v>
      </c>
      <c r="J312" s="305">
        <v>1.0098634129808506</v>
      </c>
      <c r="K312" s="304">
        <v>1.0114480935434671</v>
      </c>
      <c r="L312" s="304">
        <v>1.0128566704795796</v>
      </c>
      <c r="M312" s="304">
        <v>1.0141372648703608</v>
      </c>
      <c r="N312" s="304">
        <v>1.0154743640437591</v>
      </c>
      <c r="O312" s="304">
        <v>1.0167494021728898</v>
      </c>
      <c r="P312" s="304">
        <v>1.0179062531774277</v>
      </c>
      <c r="Q312" s="304">
        <v>1.0188048423995932</v>
      </c>
      <c r="R312" s="304">
        <v>1.0195274021352314</v>
      </c>
      <c r="S312" s="305">
        <v>1.0202529256102313</v>
      </c>
      <c r="T312" s="304">
        <v>1.0209577721033416</v>
      </c>
      <c r="U312" s="304">
        <v>1.0216014397295639</v>
      </c>
      <c r="V312" s="304">
        <v>1.0221268013125666</v>
      </c>
      <c r="W312" s="304">
        <v>1.0225527352282613</v>
      </c>
      <c r="X312" s="304">
        <v>1.0229568650685161</v>
      </c>
      <c r="Y312" s="304">
        <v>1.0233468674778465</v>
      </c>
      <c r="Z312" s="304">
        <v>1.0237303545375824</v>
      </c>
      <c r="AA312" s="304">
        <v>1.0241143713077052</v>
      </c>
      <c r="AB312" s="305">
        <v>1.024504496819056</v>
      </c>
      <c r="AC312" s="304">
        <v>1.0249028800583817</v>
      </c>
      <c r="AD312" s="304">
        <v>1.0253032786430651</v>
      </c>
      <c r="AE312" s="304">
        <v>1.0257076045236764</v>
      </c>
      <c r="AF312" s="304">
        <v>1.0261157299457024</v>
      </c>
      <c r="AG312" s="304">
        <v>1.0265219804312051</v>
      </c>
      <c r="AH312" s="304">
        <v>1.0269290197347136</v>
      </c>
      <c r="AI312" s="304">
        <v>1.0273390192725422</v>
      </c>
      <c r="AJ312" s="304">
        <v>1.0277471821417015</v>
      </c>
      <c r="AK312" s="304">
        <v>1.0281516920090583</v>
      </c>
      <c r="AL312" s="330">
        <v>1.0285523131672596</v>
      </c>
      <c r="AM312" s="334">
        <f t="shared" si="4"/>
        <v>1.0285523131672596</v>
      </c>
      <c r="AN312" s="299"/>
    </row>
    <row r="313" spans="1:40" ht="17.45" customHeight="1" x14ac:dyDescent="0.2">
      <c r="A313" s="303">
        <v>19</v>
      </c>
      <c r="B313" s="304">
        <v>0.97141067615658372</v>
      </c>
      <c r="C313" s="304">
        <v>0.98031155035090478</v>
      </c>
      <c r="D313" s="304">
        <v>0.98860450771055763</v>
      </c>
      <c r="E313" s="304">
        <v>0.99408497146158759</v>
      </c>
      <c r="F313" s="304">
        <v>0.99876156583629916</v>
      </c>
      <c r="G313" s="304">
        <v>1.0030890127946503</v>
      </c>
      <c r="H313" s="304">
        <v>1.0064706320962549</v>
      </c>
      <c r="I313" s="304">
        <v>1.0085352694458565</v>
      </c>
      <c r="J313" s="305">
        <v>1.0102785742529514</v>
      </c>
      <c r="K313" s="304">
        <v>1.0118078207083543</v>
      </c>
      <c r="L313" s="304">
        <v>1.0132551093035078</v>
      </c>
      <c r="M313" s="304">
        <v>1.0146131164209455</v>
      </c>
      <c r="N313" s="304">
        <v>1.0159736061684459</v>
      </c>
      <c r="O313" s="304">
        <v>1.0172627163004389</v>
      </c>
      <c r="P313" s="304">
        <v>1.0184351804778851</v>
      </c>
      <c r="Q313" s="304">
        <v>1.0194532452126759</v>
      </c>
      <c r="R313" s="304">
        <v>1.0202220640569397</v>
      </c>
      <c r="S313" s="305">
        <v>1.0209467391800093</v>
      </c>
      <c r="T313" s="304">
        <v>1.0215881067923773</v>
      </c>
      <c r="U313" s="304">
        <v>1.0221160827794009</v>
      </c>
      <c r="V313" s="304">
        <v>1.022599526948653</v>
      </c>
      <c r="W313" s="304">
        <v>1.0230460786314017</v>
      </c>
      <c r="X313" s="304">
        <v>1.0234636870270892</v>
      </c>
      <c r="Y313" s="304">
        <v>1.023860340427859</v>
      </c>
      <c r="Z313" s="304">
        <v>1.0242438495567303</v>
      </c>
      <c r="AA313" s="304">
        <v>1.024621532375416</v>
      </c>
      <c r="AB313" s="305">
        <v>1.0249996541609043</v>
      </c>
      <c r="AC313" s="304">
        <v>1.0253823495376249</v>
      </c>
      <c r="AD313" s="304">
        <v>1.0257693999665087</v>
      </c>
      <c r="AE313" s="304">
        <v>1.0261547079917093</v>
      </c>
      <c r="AF313" s="304">
        <v>1.0265559479322575</v>
      </c>
      <c r="AG313" s="304">
        <v>1.0269647219700959</v>
      </c>
      <c r="AH313" s="304">
        <v>1.0273761626019515</v>
      </c>
      <c r="AI313" s="304">
        <v>1.0277919969294813</v>
      </c>
      <c r="AJ313" s="304">
        <v>1.0282171465545131</v>
      </c>
      <c r="AK313" s="304">
        <v>1.0286553306093758</v>
      </c>
      <c r="AL313" s="330">
        <v>1.0290951364175562</v>
      </c>
      <c r="AM313" s="334">
        <f t="shared" si="4"/>
        <v>1.0290951364175562</v>
      </c>
      <c r="AN313" s="299"/>
    </row>
    <row r="314" spans="1:40" ht="17.45" customHeight="1" x14ac:dyDescent="0.2">
      <c r="A314" s="306">
        <v>20</v>
      </c>
      <c r="B314" s="307">
        <v>0.97153024911032027</v>
      </c>
      <c r="C314" s="307">
        <v>0.9805864472123369</v>
      </c>
      <c r="D314" s="307">
        <v>0.98861209964412811</v>
      </c>
      <c r="E314" s="307">
        <v>0.994246737841044</v>
      </c>
      <c r="F314" s="307">
        <v>0.99893238434163723</v>
      </c>
      <c r="G314" s="307">
        <v>1.0033982587697001</v>
      </c>
      <c r="H314" s="307">
        <v>1.0067615658362989</v>
      </c>
      <c r="I314" s="307">
        <v>1.0088524656837825</v>
      </c>
      <c r="J314" s="308">
        <v>1.0106163701067614</v>
      </c>
      <c r="K314" s="307">
        <v>1.0121533299440773</v>
      </c>
      <c r="L314" s="307">
        <v>1.0135633960345705</v>
      </c>
      <c r="M314" s="307">
        <v>1.0149466192170817</v>
      </c>
      <c r="N314" s="307">
        <v>1.016320759193357</v>
      </c>
      <c r="O314" s="307">
        <v>1.0176130147432638</v>
      </c>
      <c r="P314" s="307">
        <v>1.0187875953228267</v>
      </c>
      <c r="Q314" s="307">
        <v>1.01980871038807</v>
      </c>
      <c r="R314" s="307">
        <v>1.0206405693950178</v>
      </c>
      <c r="S314" s="308">
        <v>1.0213296021998497</v>
      </c>
      <c r="T314" s="307">
        <v>1.0219513007177212</v>
      </c>
      <c r="U314" s="307">
        <v>1.0225135497085298</v>
      </c>
      <c r="V314" s="307">
        <v>1.0230243356686459</v>
      </c>
      <c r="W314" s="307">
        <v>1.0234917269690442</v>
      </c>
      <c r="X314" s="307">
        <v>1.0239238353138445</v>
      </c>
      <c r="Y314" s="307">
        <v>1.024328746138411</v>
      </c>
      <c r="Z314" s="307">
        <v>1.0247143966832168</v>
      </c>
      <c r="AA314" s="307">
        <v>1.0250883641296351</v>
      </c>
      <c r="AB314" s="308">
        <v>1.0254574948265784</v>
      </c>
      <c r="AC314" s="307">
        <v>1.0258272424857382</v>
      </c>
      <c r="AD314" s="307">
        <v>1.0262004483603839</v>
      </c>
      <c r="AE314" s="307">
        <v>1.0265749871208003</v>
      </c>
      <c r="AF314" s="307">
        <v>1.0269540455944666</v>
      </c>
      <c r="AG314" s="307">
        <v>1.0273588862205409</v>
      </c>
      <c r="AH314" s="307">
        <v>1.0277749670664118</v>
      </c>
      <c r="AI314" s="307">
        <v>1.0281980729699141</v>
      </c>
      <c r="AJ314" s="307">
        <v>1.0286297571528247</v>
      </c>
      <c r="AK314" s="307">
        <v>1.0290742840360565</v>
      </c>
      <c r="AL314" s="332">
        <v>1.0295373665480425</v>
      </c>
      <c r="AM314" s="333">
        <f t="shared" si="4"/>
        <v>1.0295373665480425</v>
      </c>
      <c r="AN314" s="299"/>
    </row>
    <row r="315" spans="1:40" ht="17.45" customHeight="1" x14ac:dyDescent="0.2">
      <c r="A315" s="303">
        <v>21</v>
      </c>
      <c r="B315" s="304">
        <v>0.97170782918149468</v>
      </c>
      <c r="C315" s="304">
        <v>0.98064902287313327</v>
      </c>
      <c r="D315" s="304">
        <v>0.98845451790302685</v>
      </c>
      <c r="E315" s="304">
        <v>0.99434686683055573</v>
      </c>
      <c r="F315" s="304">
        <v>0.99913164631001505</v>
      </c>
      <c r="G315" s="304">
        <v>1.0035929225863984</v>
      </c>
      <c r="H315" s="304">
        <v>1.0070137010676157</v>
      </c>
      <c r="I315" s="304">
        <v>1.0091111295951092</v>
      </c>
      <c r="J315" s="305">
        <v>1.0108672826953373</v>
      </c>
      <c r="K315" s="304">
        <v>1.012395713559445</v>
      </c>
      <c r="L315" s="304">
        <v>1.013805720666721</v>
      </c>
      <c r="M315" s="304">
        <v>1.0152490766997015</v>
      </c>
      <c r="N315" s="304">
        <v>1.0166561947127604</v>
      </c>
      <c r="O315" s="304">
        <v>1.0179702787349287</v>
      </c>
      <c r="P315" s="304">
        <v>1.0191547241208332</v>
      </c>
      <c r="Q315" s="304">
        <v>1.020150406710727</v>
      </c>
      <c r="R315" s="304">
        <v>1.0208741103202847</v>
      </c>
      <c r="S315" s="305">
        <v>1.0215869636543462</v>
      </c>
      <c r="T315" s="304">
        <v>1.0222411367564821</v>
      </c>
      <c r="U315" s="304">
        <v>1.0228462351239471</v>
      </c>
      <c r="V315" s="304">
        <v>1.0233897547644946</v>
      </c>
      <c r="W315" s="304">
        <v>1.0238824558749415</v>
      </c>
      <c r="X315" s="304">
        <v>1.0243331329762764</v>
      </c>
      <c r="Y315" s="304">
        <v>1.0247501680015048</v>
      </c>
      <c r="Z315" s="304">
        <v>1.0251417325946919</v>
      </c>
      <c r="AA315" s="304">
        <v>1.0255157179143697</v>
      </c>
      <c r="AB315" s="305">
        <v>1.0258795073384166</v>
      </c>
      <c r="AC315" s="304">
        <v>1.0262395529919646</v>
      </c>
      <c r="AD315" s="304">
        <v>1.0266006294440893</v>
      </c>
      <c r="AE315" s="304">
        <v>1.026964505107097</v>
      </c>
      <c r="AF315" s="304">
        <v>1.0273275001155429</v>
      </c>
      <c r="AG315" s="304">
        <v>1.0277125535897251</v>
      </c>
      <c r="AH315" s="304">
        <v>1.0281272899844727</v>
      </c>
      <c r="AI315" s="304">
        <v>1.0285562265437109</v>
      </c>
      <c r="AJ315" s="304">
        <v>1.0289956715739774</v>
      </c>
      <c r="AK315" s="304">
        <v>1.0294469389705958</v>
      </c>
      <c r="AL315" s="330">
        <v>1.0299114245043213</v>
      </c>
      <c r="AM315" s="334">
        <f t="shared" si="4"/>
        <v>1.0299114245043213</v>
      </c>
      <c r="AN315" s="299"/>
    </row>
    <row r="316" spans="1:40" ht="17.45" customHeight="1" x14ac:dyDescent="0.2">
      <c r="A316" s="303">
        <v>22</v>
      </c>
      <c r="B316" s="304">
        <v>0.97188327402135233</v>
      </c>
      <c r="C316" s="304">
        <v>0.98074639981163569</v>
      </c>
      <c r="D316" s="304">
        <v>0.98825277031880576</v>
      </c>
      <c r="E316" s="304">
        <v>0.99451414379289249</v>
      </c>
      <c r="F316" s="304">
        <v>0.99936612256183721</v>
      </c>
      <c r="G316" s="304">
        <v>1.0037498394293389</v>
      </c>
      <c r="H316" s="304">
        <v>1.0072483985765126</v>
      </c>
      <c r="I316" s="304">
        <v>1.0093595212675817</v>
      </c>
      <c r="J316" s="305">
        <v>1.0111046398915438</v>
      </c>
      <c r="K316" s="304">
        <v>1.0126290137264868</v>
      </c>
      <c r="L316" s="304">
        <v>1.0141082528385019</v>
      </c>
      <c r="M316" s="304">
        <v>1.015662423106253</v>
      </c>
      <c r="N316" s="304">
        <v>1.017131851098684</v>
      </c>
      <c r="O316" s="304">
        <v>1.0184722042874088</v>
      </c>
      <c r="P316" s="304">
        <v>1.0196058973055415</v>
      </c>
      <c r="Q316" s="304">
        <v>1.0204148448369288</v>
      </c>
      <c r="R316" s="304">
        <v>1.0210782918149466</v>
      </c>
      <c r="S316" s="305">
        <v>1.021826055922725</v>
      </c>
      <c r="T316" s="304">
        <v>1.0224805084332915</v>
      </c>
      <c r="U316" s="304">
        <v>1.0230845966852717</v>
      </c>
      <c r="V316" s="304">
        <v>1.0236625493984073</v>
      </c>
      <c r="W316" s="304">
        <v>1.0241987018469518</v>
      </c>
      <c r="X316" s="304">
        <v>1.0246797299060033</v>
      </c>
      <c r="Y316" s="304">
        <v>1.0251176580732722</v>
      </c>
      <c r="Z316" s="304">
        <v>1.0255222070678007</v>
      </c>
      <c r="AA316" s="304">
        <v>1.0259021877666943</v>
      </c>
      <c r="AB316" s="305">
        <v>1.0262657846361229</v>
      </c>
      <c r="AC316" s="304">
        <v>1.026620434383356</v>
      </c>
      <c r="AD316" s="304">
        <v>1.0269724075617543</v>
      </c>
      <c r="AE316" s="304">
        <v>1.0273260091827388</v>
      </c>
      <c r="AF316" s="304">
        <v>1.0276821559404485</v>
      </c>
      <c r="AG316" s="304">
        <v>1.0280406867238738</v>
      </c>
      <c r="AH316" s="304">
        <v>1.0284411785309722</v>
      </c>
      <c r="AI316" s="304">
        <v>1.0288706176441496</v>
      </c>
      <c r="AJ316" s="304">
        <v>1.0293152883466306</v>
      </c>
      <c r="AK316" s="304">
        <v>1.0297708142646922</v>
      </c>
      <c r="AL316" s="330">
        <v>1.0302331076088798</v>
      </c>
      <c r="AM316" s="334">
        <f t="shared" si="4"/>
        <v>1.0302331076088798</v>
      </c>
      <c r="AN316" s="299"/>
    </row>
    <row r="317" spans="1:40" ht="17.45" customHeight="1" x14ac:dyDescent="0.2">
      <c r="A317" s="303">
        <v>23</v>
      </c>
      <c r="B317" s="304">
        <v>0.97205444839857646</v>
      </c>
      <c r="C317" s="304">
        <v>0.98081956480648658</v>
      </c>
      <c r="D317" s="304">
        <v>0.98802151109974279</v>
      </c>
      <c r="E317" s="304">
        <v>0.99461248119541257</v>
      </c>
      <c r="F317" s="304">
        <v>0.99963142608631661</v>
      </c>
      <c r="G317" s="304">
        <v>1.0038960700458668</v>
      </c>
      <c r="H317" s="304">
        <v>1.0074660142348753</v>
      </c>
      <c r="I317" s="304">
        <v>1.0095934327111629</v>
      </c>
      <c r="J317" s="305">
        <v>1.0113343055310584</v>
      </c>
      <c r="K317" s="304">
        <v>1.0128926341782263</v>
      </c>
      <c r="L317" s="304">
        <v>1.0145386480499672</v>
      </c>
      <c r="M317" s="304">
        <v>1.0161802805473994</v>
      </c>
      <c r="N317" s="304">
        <v>1.0176866209117099</v>
      </c>
      <c r="O317" s="304">
        <v>1.0189674377224198</v>
      </c>
      <c r="P317" s="304">
        <v>1.019916475054778</v>
      </c>
      <c r="Q317" s="304">
        <v>1.0206087772317309</v>
      </c>
      <c r="R317" s="304">
        <v>1.0212557829181494</v>
      </c>
      <c r="S317" s="305">
        <v>1.0220320569956811</v>
      </c>
      <c r="T317" s="304">
        <v>1.0227206370333013</v>
      </c>
      <c r="U317" s="304">
        <v>1.0233258814831554</v>
      </c>
      <c r="V317" s="304">
        <v>1.0238861992393005</v>
      </c>
      <c r="W317" s="304">
        <v>1.0244187414470023</v>
      </c>
      <c r="X317" s="304">
        <v>1.024933508896797</v>
      </c>
      <c r="Y317" s="304">
        <v>1.025412883371118</v>
      </c>
      <c r="Z317" s="304">
        <v>1.0258447354133062</v>
      </c>
      <c r="AA317" s="304">
        <v>1.0262414480907938</v>
      </c>
      <c r="AB317" s="305">
        <v>1.026613229868484</v>
      </c>
      <c r="AC317" s="304">
        <v>1.0269690497074024</v>
      </c>
      <c r="AD317" s="304">
        <v>1.0273167573393238</v>
      </c>
      <c r="AE317" s="304">
        <v>1.0276627345728842</v>
      </c>
      <c r="AF317" s="304">
        <v>1.0280110681517418</v>
      </c>
      <c r="AG317" s="304">
        <v>1.0283620219440135</v>
      </c>
      <c r="AH317" s="304">
        <v>1.0287296574564664</v>
      </c>
      <c r="AI317" s="304">
        <v>1.0291495574088989</v>
      </c>
      <c r="AJ317" s="304">
        <v>1.0295952514010307</v>
      </c>
      <c r="AK317" s="304">
        <v>1.0300527187495492</v>
      </c>
      <c r="AL317" s="330">
        <v>1.0305116441281137</v>
      </c>
      <c r="AM317" s="334">
        <f t="shared" si="4"/>
        <v>1.0305116441281137</v>
      </c>
      <c r="AN317" s="299"/>
    </row>
    <row r="318" spans="1:40" ht="17.45" customHeight="1" x14ac:dyDescent="0.2">
      <c r="A318" s="303">
        <v>24</v>
      </c>
      <c r="B318" s="304">
        <v>0.97221921708185055</v>
      </c>
      <c r="C318" s="304">
        <v>0.98079924136427687</v>
      </c>
      <c r="D318" s="304">
        <v>0.98777492730655081</v>
      </c>
      <c r="E318" s="304">
        <v>0.99456301752456655</v>
      </c>
      <c r="F318" s="304">
        <v>0.99989658258804426</v>
      </c>
      <c r="G318" s="304">
        <v>1.0040616056069498</v>
      </c>
      <c r="H318" s="304">
        <v>1.0076669039145907</v>
      </c>
      <c r="I318" s="304">
        <v>1.0098128061157243</v>
      </c>
      <c r="J318" s="305">
        <v>1.0115685913875239</v>
      </c>
      <c r="K318" s="304">
        <v>1.0132490086426027</v>
      </c>
      <c r="L318" s="304">
        <v>1.0150568280329135</v>
      </c>
      <c r="M318" s="304">
        <v>1.0167473927206312</v>
      </c>
      <c r="N318" s="304">
        <v>1.0181954245043214</v>
      </c>
      <c r="O318" s="304">
        <v>1.0193097756192355</v>
      </c>
      <c r="P318" s="304">
        <v>1.0201329218106996</v>
      </c>
      <c r="Q318" s="304">
        <v>1.0207622247475503</v>
      </c>
      <c r="R318" s="304">
        <v>1.0214092526690393</v>
      </c>
      <c r="S318" s="305">
        <v>1.0222062523506166</v>
      </c>
      <c r="T318" s="304">
        <v>1.0229407029317066</v>
      </c>
      <c r="U318" s="304">
        <v>1.0235654816544795</v>
      </c>
      <c r="V318" s="304">
        <v>1.0241276285899457</v>
      </c>
      <c r="W318" s="304">
        <v>1.0246492509850811</v>
      </c>
      <c r="X318" s="304">
        <v>1.0251436035264891</v>
      </c>
      <c r="Y318" s="304">
        <v>1.0256193478053151</v>
      </c>
      <c r="Z318" s="304">
        <v>1.0260827168276565</v>
      </c>
      <c r="AA318" s="304">
        <v>1.0265170371215739</v>
      </c>
      <c r="AB318" s="305">
        <v>1.0269120619101701</v>
      </c>
      <c r="AC318" s="304">
        <v>1.0272802194709061</v>
      </c>
      <c r="AD318" s="304">
        <v>1.0276318355447298</v>
      </c>
      <c r="AE318" s="304">
        <v>1.0279756104473294</v>
      </c>
      <c r="AF318" s="304">
        <v>1.0283183953865058</v>
      </c>
      <c r="AG318" s="304">
        <v>1.0286643473451962</v>
      </c>
      <c r="AH318" s="304">
        <v>1.0290132495262745</v>
      </c>
      <c r="AI318" s="304">
        <v>1.0294044859423299</v>
      </c>
      <c r="AJ318" s="304">
        <v>1.0298442967048203</v>
      </c>
      <c r="AK318" s="304">
        <v>1.0303012854874602</v>
      </c>
      <c r="AL318" s="330">
        <v>1.0307562623284188</v>
      </c>
      <c r="AM318" s="334">
        <f t="shared" si="4"/>
        <v>1.0307562623284188</v>
      </c>
      <c r="AN318" s="299"/>
    </row>
    <row r="319" spans="1:40" ht="17.45" customHeight="1" x14ac:dyDescent="0.2">
      <c r="A319" s="306">
        <v>25</v>
      </c>
      <c r="B319" s="307">
        <v>0.97237544483985761</v>
      </c>
      <c r="C319" s="307">
        <v>0.98057903321470929</v>
      </c>
      <c r="D319" s="307">
        <v>0.9875268840119511</v>
      </c>
      <c r="E319" s="307">
        <v>0.99442491291994284</v>
      </c>
      <c r="F319" s="307">
        <v>1.0001304863582443</v>
      </c>
      <c r="G319" s="307">
        <v>1.004291221826809</v>
      </c>
      <c r="H319" s="307">
        <v>1.0078514234875444</v>
      </c>
      <c r="I319" s="307">
        <v>1.010019718812792</v>
      </c>
      <c r="J319" s="308">
        <v>1.0118308544691106</v>
      </c>
      <c r="K319" s="307">
        <v>1.01372384341637</v>
      </c>
      <c r="L319" s="307">
        <v>1.0156113503764495</v>
      </c>
      <c r="M319" s="307">
        <v>1.0172502541942041</v>
      </c>
      <c r="N319" s="307">
        <v>1.0185518449780926</v>
      </c>
      <c r="O319" s="307">
        <v>1.01954684436052</v>
      </c>
      <c r="P319" s="307">
        <v>1.0202909231308182</v>
      </c>
      <c r="Q319" s="307">
        <v>1.0208869466045722</v>
      </c>
      <c r="R319" s="307">
        <v>1.0215413701067615</v>
      </c>
      <c r="S319" s="308">
        <v>1.0223559222365104</v>
      </c>
      <c r="T319" s="307">
        <v>1.023128892278145</v>
      </c>
      <c r="U319" s="307">
        <v>1.0237895818217648</v>
      </c>
      <c r="V319" s="307">
        <v>1.0243661978114194</v>
      </c>
      <c r="W319" s="307">
        <v>1.0248901679564668</v>
      </c>
      <c r="X319" s="307">
        <v>1.0253778040979564</v>
      </c>
      <c r="Y319" s="307">
        <v>1.0258398498656403</v>
      </c>
      <c r="Z319" s="307">
        <v>1.0262838101644793</v>
      </c>
      <c r="AA319" s="307">
        <v>1.0267152948371199</v>
      </c>
      <c r="AB319" s="308">
        <v>1.0271388747669885</v>
      </c>
      <c r="AC319" s="307">
        <v>1.027539731537626</v>
      </c>
      <c r="AD319" s="307">
        <v>1.0279098774641686</v>
      </c>
      <c r="AE319" s="307">
        <v>1.0282616381999232</v>
      </c>
      <c r="AF319" s="307">
        <v>1.028605084272904</v>
      </c>
      <c r="AG319" s="307">
        <v>1.02894797620111</v>
      </c>
      <c r="AH319" s="307">
        <v>1.0292948885876525</v>
      </c>
      <c r="AI319" s="307">
        <v>1.0296517732656865</v>
      </c>
      <c r="AJ319" s="307">
        <v>1.0300726176954718</v>
      </c>
      <c r="AK319" s="307">
        <v>1.0305256292915232</v>
      </c>
      <c r="AL319" s="332">
        <v>1.0309761904761903</v>
      </c>
      <c r="AM319" s="333">
        <f t="shared" si="4"/>
        <v>1.0309761904761903</v>
      </c>
      <c r="AN319" s="299"/>
    </row>
    <row r="320" spans="1:40" ht="17.45" customHeight="1" x14ac:dyDescent="0.2">
      <c r="A320" s="303">
        <v>26</v>
      </c>
      <c r="B320" s="304">
        <v>0.97252099644128109</v>
      </c>
      <c r="C320" s="304">
        <v>0.98024390170738296</v>
      </c>
      <c r="D320" s="304">
        <v>0.98729127143700712</v>
      </c>
      <c r="E320" s="304">
        <v>0.99423567116077971</v>
      </c>
      <c r="F320" s="304">
        <v>1.0002436966842672</v>
      </c>
      <c r="G320" s="304">
        <v>1.0045625095508246</v>
      </c>
      <c r="H320" s="304">
        <v>1.0080199288256226</v>
      </c>
      <c r="I320" s="304">
        <v>1.0102191255719368</v>
      </c>
      <c r="J320" s="305">
        <v>1.0121683782409758</v>
      </c>
      <c r="K320" s="304">
        <v>1.0142393496864937</v>
      </c>
      <c r="L320" s="304">
        <v>1.0160923233350279</v>
      </c>
      <c r="M320" s="304">
        <v>1.0176021691103634</v>
      </c>
      <c r="N320" s="304">
        <v>1.0187980028494856</v>
      </c>
      <c r="O320" s="304">
        <v>1.0197142762443057</v>
      </c>
      <c r="P320" s="304">
        <v>1.0204094673219228</v>
      </c>
      <c r="Q320" s="304">
        <v>1.0209894766737591</v>
      </c>
      <c r="R320" s="304">
        <v>1.0216548042704625</v>
      </c>
      <c r="S320" s="305">
        <v>1.0224852709342003</v>
      </c>
      <c r="T320" s="304">
        <v>1.0232864045106396</v>
      </c>
      <c r="U320" s="304">
        <v>1.023992355871886</v>
      </c>
      <c r="V320" s="304">
        <v>1.0245920219690305</v>
      </c>
      <c r="W320" s="304">
        <v>1.0251274340161669</v>
      </c>
      <c r="X320" s="304">
        <v>1.0256178036942891</v>
      </c>
      <c r="Y320" s="304">
        <v>1.0260759989285</v>
      </c>
      <c r="Z320" s="304">
        <v>1.0265110032061371</v>
      </c>
      <c r="AA320" s="304">
        <v>1.0269293671756827</v>
      </c>
      <c r="AB320" s="305">
        <v>1.0273361118261499</v>
      </c>
      <c r="AC320" s="304">
        <v>1.027735334915163</v>
      </c>
      <c r="AD320" s="304">
        <v>1.0281306842907982</v>
      </c>
      <c r="AE320" s="304">
        <v>1.0285096180085325</v>
      </c>
      <c r="AF320" s="304">
        <v>1.0288666539719138</v>
      </c>
      <c r="AG320" s="304">
        <v>1.029213870239241</v>
      </c>
      <c r="AH320" s="304">
        <v>1.0295605104636676</v>
      </c>
      <c r="AI320" s="304">
        <v>1.0299120328883262</v>
      </c>
      <c r="AJ320" s="304">
        <v>1.0302928501236472</v>
      </c>
      <c r="AK320" s="304">
        <v>1.0307351685229731</v>
      </c>
      <c r="AL320" s="330">
        <v>1.0311806568378241</v>
      </c>
      <c r="AM320" s="334">
        <f t="shared" si="4"/>
        <v>1.0311806568378241</v>
      </c>
      <c r="AN320" s="299"/>
    </row>
    <row r="321" spans="1:40" ht="17.45" customHeight="1" x14ac:dyDescent="0.2">
      <c r="A321" s="303">
        <v>27</v>
      </c>
      <c r="B321" s="304">
        <v>0.97265373665480415</v>
      </c>
      <c r="C321" s="304">
        <v>0.97999026810932655</v>
      </c>
      <c r="D321" s="304">
        <v>0.98708276681471552</v>
      </c>
      <c r="E321" s="304">
        <v>0.99402392917681326</v>
      </c>
      <c r="F321" s="304">
        <v>1.0001853667427045</v>
      </c>
      <c r="G321" s="304">
        <v>1.0047947989621595</v>
      </c>
      <c r="H321" s="304">
        <v>1.0081727758007115</v>
      </c>
      <c r="I321" s="304">
        <v>1.0104227980505498</v>
      </c>
      <c r="J321" s="305">
        <v>1.0125973571962064</v>
      </c>
      <c r="K321" s="304">
        <v>1.0146820284697506</v>
      </c>
      <c r="L321" s="304">
        <v>1.0164207732409314</v>
      </c>
      <c r="M321" s="304">
        <v>1.0178423425826548</v>
      </c>
      <c r="N321" s="304">
        <v>1.0189683088473176</v>
      </c>
      <c r="O321" s="304">
        <v>1.0198339161643304</v>
      </c>
      <c r="P321" s="304">
        <v>1.0205000656929877</v>
      </c>
      <c r="Q321" s="304">
        <v>1.0210743796450965</v>
      </c>
      <c r="R321" s="304">
        <v>1.0217522241992882</v>
      </c>
      <c r="S321" s="305">
        <v>1.0225976233541261</v>
      </c>
      <c r="T321" s="304">
        <v>1.0234208488673762</v>
      </c>
      <c r="U321" s="304">
        <v>1.024166531255257</v>
      </c>
      <c r="V321" s="304">
        <v>1.0248003639648418</v>
      </c>
      <c r="W321" s="304">
        <v>1.02535377099281</v>
      </c>
      <c r="X321" s="304">
        <v>1.0258535492364758</v>
      </c>
      <c r="Y321" s="304">
        <v>1.0263147537433821</v>
      </c>
      <c r="Z321" s="304">
        <v>1.0267479614472124</v>
      </c>
      <c r="AA321" s="304">
        <v>1.0271608503998231</v>
      </c>
      <c r="AB321" s="305">
        <v>1.0275591899299614</v>
      </c>
      <c r="AC321" s="304">
        <v>1.0279474848205263</v>
      </c>
      <c r="AD321" s="304">
        <v>1.0283294174734585</v>
      </c>
      <c r="AE321" s="304">
        <v>1.0287081871025172</v>
      </c>
      <c r="AF321" s="304">
        <v>1.0290868469750889</v>
      </c>
      <c r="AG321" s="304">
        <v>1.0294553837774369</v>
      </c>
      <c r="AH321" s="304">
        <v>1.0298110224794046</v>
      </c>
      <c r="AI321" s="304">
        <v>1.0301653070488743</v>
      </c>
      <c r="AJ321" s="304">
        <v>1.0305253112723576</v>
      </c>
      <c r="AK321" s="304">
        <v>1.030939875427064</v>
      </c>
      <c r="AL321" s="330">
        <v>1.0313788896797151</v>
      </c>
      <c r="AM321" s="334">
        <f t="shared" si="4"/>
        <v>1.0313788896797151</v>
      </c>
      <c r="AN321" s="299"/>
    </row>
    <row r="322" spans="1:40" ht="17.45" customHeight="1" x14ac:dyDescent="0.2">
      <c r="A322" s="303">
        <v>28</v>
      </c>
      <c r="B322" s="304">
        <v>0.97277153024911045</v>
      </c>
      <c r="C322" s="304">
        <v>0.97982554736337579</v>
      </c>
      <c r="D322" s="304">
        <v>0.98691848184448494</v>
      </c>
      <c r="E322" s="304">
        <v>0.99382152501596399</v>
      </c>
      <c r="F322" s="304">
        <v>1.0000328108136594</v>
      </c>
      <c r="G322" s="304">
        <v>1.0049761797439831</v>
      </c>
      <c r="H322" s="304">
        <v>1.0083103202846975</v>
      </c>
      <c r="I322" s="304">
        <v>1.0106658532452126</v>
      </c>
      <c r="J322" s="305">
        <v>1.012979766141332</v>
      </c>
      <c r="K322" s="304">
        <v>1.0149678318638298</v>
      </c>
      <c r="L322" s="304">
        <v>1.0166380855545065</v>
      </c>
      <c r="M322" s="304">
        <v>1.0180034137936587</v>
      </c>
      <c r="N322" s="304">
        <v>1.0190851619625048</v>
      </c>
      <c r="O322" s="304">
        <v>1.0199199061572217</v>
      </c>
      <c r="P322" s="304">
        <v>1.0205704190573026</v>
      </c>
      <c r="Q322" s="304">
        <v>1.0211453324477708</v>
      </c>
      <c r="R322" s="304">
        <v>1.0218362989323844</v>
      </c>
      <c r="S322" s="305">
        <v>1.0226959739898807</v>
      </c>
      <c r="T322" s="304">
        <v>1.0235373563350845</v>
      </c>
      <c r="U322" s="304">
        <v>1.0243130300820684</v>
      </c>
      <c r="V322" s="304">
        <v>1.0249888601931876</v>
      </c>
      <c r="W322" s="304">
        <v>1.0255654793193774</v>
      </c>
      <c r="X322" s="304">
        <v>1.0260796453124912</v>
      </c>
      <c r="Y322" s="304">
        <v>1.0265487846732999</v>
      </c>
      <c r="Z322" s="304">
        <v>1.026985200438518</v>
      </c>
      <c r="AA322" s="304">
        <v>1.027397821558558</v>
      </c>
      <c r="AB322" s="305">
        <v>1.0277933132840009</v>
      </c>
      <c r="AC322" s="304">
        <v>1.028176799900651</v>
      </c>
      <c r="AD322" s="304">
        <v>1.0285523471144458</v>
      </c>
      <c r="AE322" s="304">
        <v>1.028923294632871</v>
      </c>
      <c r="AF322" s="304">
        <v>1.0292925005231828</v>
      </c>
      <c r="AG322" s="304">
        <v>1.0296625542594997</v>
      </c>
      <c r="AH322" s="304">
        <v>1.0300360643958653</v>
      </c>
      <c r="AI322" s="304">
        <v>1.030405756635679</v>
      </c>
      <c r="AJ322" s="304">
        <v>1.0307718417182126</v>
      </c>
      <c r="AK322" s="304">
        <v>1.0311519033497332</v>
      </c>
      <c r="AL322" s="330">
        <v>1.0315801172682597</v>
      </c>
      <c r="AM322" s="334">
        <f t="shared" si="4"/>
        <v>1.0315801172682597</v>
      </c>
      <c r="AN322" s="299"/>
    </row>
    <row r="323" spans="1:40" ht="17.45" customHeight="1" x14ac:dyDescent="0.2">
      <c r="A323" s="303">
        <v>29</v>
      </c>
      <c r="B323" s="304">
        <v>0.97287224199288269</v>
      </c>
      <c r="C323" s="304">
        <v>0.97975674597292206</v>
      </c>
      <c r="D323" s="304">
        <v>0.9868216193687892</v>
      </c>
      <c r="E323" s="304">
        <v>0.9936739178868228</v>
      </c>
      <c r="F323" s="304">
        <v>0.99987269873390372</v>
      </c>
      <c r="G323" s="304">
        <v>1.0049644860176039</v>
      </c>
      <c r="H323" s="304">
        <v>1.008432918149466</v>
      </c>
      <c r="I323" s="304">
        <v>1.0109459328927299</v>
      </c>
      <c r="J323" s="305">
        <v>1.0132034733622486</v>
      </c>
      <c r="K323" s="304">
        <v>1.0151439183252051</v>
      </c>
      <c r="L323" s="304">
        <v>1.0167740908819041</v>
      </c>
      <c r="M323" s="304">
        <v>1.018106496275853</v>
      </c>
      <c r="N323" s="304">
        <v>1.0191631289858156</v>
      </c>
      <c r="O323" s="304">
        <v>1.0199816559974269</v>
      </c>
      <c r="P323" s="304">
        <v>1.0206260541159118</v>
      </c>
      <c r="Q323" s="304">
        <v>1.0212055511620755</v>
      </c>
      <c r="R323" s="304">
        <v>1.0219096975088966</v>
      </c>
      <c r="S323" s="305">
        <v>1.0227831696348515</v>
      </c>
      <c r="T323" s="304">
        <v>1.0236399540400141</v>
      </c>
      <c r="U323" s="304">
        <v>1.0244389186555762</v>
      </c>
      <c r="V323" s="304">
        <v>1.0251521662225729</v>
      </c>
      <c r="W323" s="304">
        <v>1.0257606501509557</v>
      </c>
      <c r="X323" s="304">
        <v>1.0262933032317183</v>
      </c>
      <c r="Y323" s="304">
        <v>1.0267741248469135</v>
      </c>
      <c r="Z323" s="304">
        <v>1.0272173747006048</v>
      </c>
      <c r="AA323" s="304">
        <v>1.0276333765207557</v>
      </c>
      <c r="AB323" s="305">
        <v>1.0280297972023356</v>
      </c>
      <c r="AC323" s="304">
        <v>1.0284124820770333</v>
      </c>
      <c r="AD323" s="304">
        <v>1.0287860111240226</v>
      </c>
      <c r="AE323" s="304">
        <v>1.0291540760281499</v>
      </c>
      <c r="AF323" s="304">
        <v>1.0295197403910374</v>
      </c>
      <c r="AG323" s="304">
        <v>1.0298856235867115</v>
      </c>
      <c r="AH323" s="304">
        <v>1.0302540378858114</v>
      </c>
      <c r="AI323" s="304">
        <v>1.0306271136046568</v>
      </c>
      <c r="AJ323" s="304">
        <v>1.0310070381291307</v>
      </c>
      <c r="AK323" s="304">
        <v>1.031389687523909</v>
      </c>
      <c r="AL323" s="330">
        <v>1.0317935678698527</v>
      </c>
      <c r="AM323" s="334">
        <f t="shared" si="4"/>
        <v>1.0317935678698527</v>
      </c>
      <c r="AN323" s="299"/>
    </row>
    <row r="324" spans="1:40" ht="17.45" customHeight="1" x14ac:dyDescent="0.2">
      <c r="A324" s="306">
        <v>30</v>
      </c>
      <c r="B324" s="307">
        <v>0.97295373665480422</v>
      </c>
      <c r="C324" s="307">
        <v>0.97978614735732172</v>
      </c>
      <c r="D324" s="307">
        <v>0.98683010412547767</v>
      </c>
      <c r="E324" s="307">
        <v>0.99365658362989318</v>
      </c>
      <c r="F324" s="307">
        <v>0.99983656254118869</v>
      </c>
      <c r="G324" s="307">
        <v>1.0049410175299853</v>
      </c>
      <c r="H324" s="307">
        <v>1.0085409252669038</v>
      </c>
      <c r="I324" s="307">
        <v>1.0110871305206262</v>
      </c>
      <c r="J324" s="308">
        <v>1.0133173501317696</v>
      </c>
      <c r="K324" s="307">
        <v>1.0152347245994902</v>
      </c>
      <c r="L324" s="307">
        <v>1.0168460642264021</v>
      </c>
      <c r="M324" s="307">
        <v>1.0181640980499225</v>
      </c>
      <c r="N324" s="307">
        <v>1.0192111575692808</v>
      </c>
      <c r="O324" s="307">
        <v>1.020025340956151</v>
      </c>
      <c r="P324" s="307">
        <v>1.020671097805143</v>
      </c>
      <c r="Q324" s="307">
        <v>1.0212579766561487</v>
      </c>
      <c r="R324" s="307">
        <v>1.0219750889679715</v>
      </c>
      <c r="S324" s="308">
        <v>1.0228619820871541</v>
      </c>
      <c r="T324" s="307">
        <v>1.0237321140726754</v>
      </c>
      <c r="U324" s="307">
        <v>1.0245494921441887</v>
      </c>
      <c r="V324" s="307">
        <v>1.0252913070101113</v>
      </c>
      <c r="W324" s="307">
        <v>1.0259380613455347</v>
      </c>
      <c r="X324" s="307">
        <v>1.0264931123204164</v>
      </c>
      <c r="Y324" s="307">
        <v>1.0269887580578194</v>
      </c>
      <c r="Z324" s="307">
        <v>1.0274416314221695</v>
      </c>
      <c r="AA324" s="307">
        <v>1.0278636815022719</v>
      </c>
      <c r="AB324" s="308">
        <v>1.0282637067163756</v>
      </c>
      <c r="AC324" s="307">
        <v>1.0286483513399665</v>
      </c>
      <c r="AD324" s="307">
        <v>1.0290227661160916</v>
      </c>
      <c r="AE324" s="307">
        <v>1.0293910538552788</v>
      </c>
      <c r="AF324" s="307">
        <v>1.029756574665311</v>
      </c>
      <c r="AG324" s="307">
        <v>1.0301221579016739</v>
      </c>
      <c r="AH324" s="307">
        <v>1.0304902511361194</v>
      </c>
      <c r="AI324" s="307">
        <v>1.0308630259847151</v>
      </c>
      <c r="AJ324" s="307">
        <v>1.0312424539999947</v>
      </c>
      <c r="AK324" s="307">
        <v>1.031630361544746</v>
      </c>
      <c r="AL324" s="332">
        <v>1.0320284697508897</v>
      </c>
      <c r="AM324" s="333">
        <f t="shared" si="4"/>
        <v>1.0320284697508897</v>
      </c>
      <c r="AN324" s="299"/>
    </row>
    <row r="325" spans="1:40" ht="17.45" customHeight="1" x14ac:dyDescent="0.2">
      <c r="A325" s="303">
        <v>31</v>
      </c>
      <c r="B325" s="304">
        <v>0.97301138790035591</v>
      </c>
      <c r="C325" s="304">
        <v>0.97989315717370573</v>
      </c>
      <c r="D325" s="304">
        <v>0.98696529752858497</v>
      </c>
      <c r="E325" s="304">
        <v>0.99382683336210331</v>
      </c>
      <c r="F325" s="304">
        <v>1.000035842990123</v>
      </c>
      <c r="G325" s="304">
        <v>1.0051383269480259</v>
      </c>
      <c r="H325" s="304">
        <v>1.0086158362989324</v>
      </c>
      <c r="I325" s="304">
        <v>1.0111065836298931</v>
      </c>
      <c r="J325" s="305">
        <v>1.0133331797806215</v>
      </c>
      <c r="K325" s="304">
        <v>1.015248688180074</v>
      </c>
      <c r="L325" s="304">
        <v>1.0168606091190924</v>
      </c>
      <c r="M325" s="304">
        <v>1.0181815763672017</v>
      </c>
      <c r="N325" s="304">
        <v>1.0192336524279288</v>
      </c>
      <c r="O325" s="304">
        <v>1.0200546080048694</v>
      </c>
      <c r="P325" s="304">
        <v>1.0207086280267774</v>
      </c>
      <c r="Q325" s="304">
        <v>1.0213053542923254</v>
      </c>
      <c r="R325" s="304">
        <v>1.0220351423487544</v>
      </c>
      <c r="S325" s="305">
        <v>1.0229351406294773</v>
      </c>
      <c r="T325" s="304">
        <v>1.0238170016506232</v>
      </c>
      <c r="U325" s="304">
        <v>1.0246490759369422</v>
      </c>
      <c r="V325" s="304">
        <v>1.0254128129859255</v>
      </c>
      <c r="W325" s="304">
        <v>1.0260934739466481</v>
      </c>
      <c r="X325" s="304">
        <v>1.026678240119131</v>
      </c>
      <c r="Y325" s="304">
        <v>1.0271917402197994</v>
      </c>
      <c r="Z325" s="304">
        <v>1.0276565912732107</v>
      </c>
      <c r="AA325" s="304">
        <v>1.0280867641651326</v>
      </c>
      <c r="AB325" s="305">
        <v>1.0284923967006629</v>
      </c>
      <c r="AC325" s="304">
        <v>1.0288810368983166</v>
      </c>
      <c r="AD325" s="304">
        <v>1.0292584550596349</v>
      </c>
      <c r="AE325" s="304">
        <v>1.0296291844481564</v>
      </c>
      <c r="AF325" s="304">
        <v>1.029996887279532</v>
      </c>
      <c r="AG325" s="304">
        <v>1.0303646058121705</v>
      </c>
      <c r="AH325" s="304">
        <v>1.0307349358784137</v>
      </c>
      <c r="AI325" s="304">
        <v>1.0311101450852136</v>
      </c>
      <c r="AJ325" s="304">
        <v>1.0314922419167667</v>
      </c>
      <c r="AK325" s="304">
        <v>1.0318829435688868</v>
      </c>
      <c r="AL325" s="330">
        <v>1.0322293787493646</v>
      </c>
      <c r="AM325" s="334">
        <f t="shared" si="4"/>
        <v>1.0322293787493646</v>
      </c>
      <c r="AN325" s="299"/>
    </row>
    <row r="326" spans="1:40" ht="17.45" customHeight="1" x14ac:dyDescent="0.2">
      <c r="A326" s="303">
        <v>32</v>
      </c>
      <c r="B326" s="304">
        <v>0.97304483985765133</v>
      </c>
      <c r="C326" s="304">
        <v>0.98008346499847265</v>
      </c>
      <c r="D326" s="304">
        <v>0.98718367320048994</v>
      </c>
      <c r="E326" s="304">
        <v>0.99410242813110616</v>
      </c>
      <c r="F326" s="304">
        <v>1.0003332800862776</v>
      </c>
      <c r="G326" s="304">
        <v>1.00529575451952</v>
      </c>
      <c r="H326" s="304">
        <v>1.0086443653618029</v>
      </c>
      <c r="I326" s="304">
        <v>1.0110671411625147</v>
      </c>
      <c r="J326" s="305">
        <v>1.0132378015025703</v>
      </c>
      <c r="K326" s="304">
        <v>1.0151789328005658</v>
      </c>
      <c r="L326" s="304">
        <v>1.0168141816157066</v>
      </c>
      <c r="M326" s="304">
        <v>1.0181575427689096</v>
      </c>
      <c r="N326" s="304">
        <v>1.0192307744450093</v>
      </c>
      <c r="O326" s="304">
        <v>1.0200707709677206</v>
      </c>
      <c r="P326" s="304">
        <v>1.0207407695225186</v>
      </c>
      <c r="Q326" s="304">
        <v>1.0213502553287843</v>
      </c>
      <c r="R326" s="304">
        <v>1.0220925266903915</v>
      </c>
      <c r="S326" s="305">
        <v>1.023005347384101</v>
      </c>
      <c r="T326" s="304">
        <v>1.0238975973086797</v>
      </c>
      <c r="U326" s="304">
        <v>1.0247414248653808</v>
      </c>
      <c r="V326" s="304">
        <v>1.0255219290540838</v>
      </c>
      <c r="W326" s="304">
        <v>1.0262282669562179</v>
      </c>
      <c r="X326" s="304">
        <v>1.0268478047788512</v>
      </c>
      <c r="Y326" s="304">
        <v>1.0273826174049023</v>
      </c>
      <c r="Z326" s="304">
        <v>1.0278617042296798</v>
      </c>
      <c r="AA326" s="304">
        <v>1.0283017542426223</v>
      </c>
      <c r="AB326" s="305">
        <v>1.0287145977755712</v>
      </c>
      <c r="AC326" s="304">
        <v>1.0291088586371058</v>
      </c>
      <c r="AD326" s="304">
        <v>1.0294910024892203</v>
      </c>
      <c r="AE326" s="304">
        <v>1.0298660176835424</v>
      </c>
      <c r="AF326" s="304">
        <v>1.0302378659555438</v>
      </c>
      <c r="AG326" s="304">
        <v>1.0306097848645508</v>
      </c>
      <c r="AH326" s="304">
        <v>1.0309844908836103</v>
      </c>
      <c r="AI326" s="304">
        <v>1.0313643091873228</v>
      </c>
      <c r="AJ326" s="304">
        <v>1.0317512286053212</v>
      </c>
      <c r="AK326" s="304">
        <v>1.0320571198938873</v>
      </c>
      <c r="AL326" s="330">
        <v>1.0323447605490597</v>
      </c>
      <c r="AM326" s="334">
        <f t="shared" si="4"/>
        <v>1.0323447605490597</v>
      </c>
      <c r="AN326" s="299"/>
    </row>
    <row r="327" spans="1:40" ht="17.45" customHeight="1" x14ac:dyDescent="0.2">
      <c r="A327" s="303">
        <v>33</v>
      </c>
      <c r="B327" s="304">
        <v>0.97305836298932369</v>
      </c>
      <c r="C327" s="304">
        <v>0.98036712698425477</v>
      </c>
      <c r="D327" s="304">
        <v>0.98746085037362374</v>
      </c>
      <c r="E327" s="304">
        <v>0.99442075420643716</v>
      </c>
      <c r="F327" s="304">
        <v>1.000607741935909</v>
      </c>
      <c r="G327" s="304">
        <v>1.0052354500898912</v>
      </c>
      <c r="H327" s="304">
        <v>1.0086346975088967</v>
      </c>
      <c r="I327" s="304">
        <v>1.0110043368041823</v>
      </c>
      <c r="J327" s="305">
        <v>1.01314369455062</v>
      </c>
      <c r="K327" s="304">
        <v>1.0150023131672596</v>
      </c>
      <c r="L327" s="304">
        <v>1.0166923818065556</v>
      </c>
      <c r="M327" s="304">
        <v>1.0180833312411999</v>
      </c>
      <c r="N327" s="304">
        <v>1.0191980589485874</v>
      </c>
      <c r="O327" s="304">
        <v>1.0200725682087781</v>
      </c>
      <c r="P327" s="304">
        <v>1.0207685779351061</v>
      </c>
      <c r="Q327" s="304">
        <v>1.021395051686155</v>
      </c>
      <c r="R327" s="304">
        <v>1.0221499110320285</v>
      </c>
      <c r="S327" s="305">
        <v>1.0230752841288349</v>
      </c>
      <c r="T327" s="304">
        <v>1.0239767598370788</v>
      </c>
      <c r="U327" s="304">
        <v>1.0248299361016937</v>
      </c>
      <c r="V327" s="304">
        <v>1.0256231095193193</v>
      </c>
      <c r="W327" s="304">
        <v>1.026348647144705</v>
      </c>
      <c r="X327" s="304">
        <v>1.026998252989852</v>
      </c>
      <c r="Y327" s="304">
        <v>1.0275609748293728</v>
      </c>
      <c r="Z327" s="304">
        <v>1.0280568272060426</v>
      </c>
      <c r="AA327" s="304">
        <v>1.0285084018927164</v>
      </c>
      <c r="AB327" s="305">
        <v>1.0289298389037262</v>
      </c>
      <c r="AC327" s="304">
        <v>1.029331128234924</v>
      </c>
      <c r="AD327" s="304">
        <v>1.0297195585032668</v>
      </c>
      <c r="AE327" s="304">
        <v>1.0301006208445502</v>
      </c>
      <c r="AF327" s="304">
        <v>1.0304785876844478</v>
      </c>
      <c r="AG327" s="304">
        <v>1.0308568909515499</v>
      </c>
      <c r="AH327" s="304">
        <v>1.0312383720746197</v>
      </c>
      <c r="AI327" s="304">
        <v>1.0316254448398576</v>
      </c>
      <c r="AJ327" s="304">
        <v>1.0319235030315013</v>
      </c>
      <c r="AK327" s="304">
        <v>1.0321313600456923</v>
      </c>
      <c r="AL327" s="330">
        <v>1.0323897081850533</v>
      </c>
      <c r="AM327" s="334">
        <f t="shared" si="4"/>
        <v>1.0323897081850533</v>
      </c>
      <c r="AN327" s="299"/>
    </row>
    <row r="328" spans="1:40" ht="17.45" customHeight="1" x14ac:dyDescent="0.2">
      <c r="A328" s="303">
        <v>34</v>
      </c>
      <c r="B328" s="304">
        <v>0.97305622775800704</v>
      </c>
      <c r="C328" s="304">
        <v>0.98074347355099833</v>
      </c>
      <c r="D328" s="304">
        <v>0.98778146581179094</v>
      </c>
      <c r="E328" s="304">
        <v>0.9947439688976959</v>
      </c>
      <c r="F328" s="304">
        <v>1.0007774201888835</v>
      </c>
      <c r="G328" s="304">
        <v>1.0050987617370972</v>
      </c>
      <c r="H328" s="304">
        <v>1.0085950177935943</v>
      </c>
      <c r="I328" s="304">
        <v>1.0109464323843413</v>
      </c>
      <c r="J328" s="305">
        <v>1.0130021352313165</v>
      </c>
      <c r="K328" s="304">
        <v>1.0148797489126136</v>
      </c>
      <c r="L328" s="304">
        <v>1.0164678529062869</v>
      </c>
      <c r="M328" s="304">
        <v>1.0179413912085291</v>
      </c>
      <c r="N328" s="304">
        <v>1.0191252376140474</v>
      </c>
      <c r="O328" s="304">
        <v>1.0200553963222299</v>
      </c>
      <c r="P328" s="304">
        <v>1.0207916624300966</v>
      </c>
      <c r="Q328" s="304">
        <v>1.0214418308767206</v>
      </c>
      <c r="R328" s="304">
        <v>1.0222099644128113</v>
      </c>
      <c r="S328" s="305">
        <v>1.0231476136635438</v>
      </c>
      <c r="T328" s="304">
        <v>1.0240572577367839</v>
      </c>
      <c r="U328" s="304">
        <v>1.0249177677750918</v>
      </c>
      <c r="V328" s="304">
        <v>1.0257203010987415</v>
      </c>
      <c r="W328" s="304">
        <v>1.0264598735646098</v>
      </c>
      <c r="X328" s="304">
        <v>1.0271315519790836</v>
      </c>
      <c r="Y328" s="304">
        <v>1.0277259359430604</v>
      </c>
      <c r="Z328" s="304">
        <v>1.0282419173466577</v>
      </c>
      <c r="AA328" s="304">
        <v>1.0287067689513849</v>
      </c>
      <c r="AB328" s="305">
        <v>1.029138081020166</v>
      </c>
      <c r="AC328" s="304">
        <v>1.0295477106246329</v>
      </c>
      <c r="AD328" s="304">
        <v>1.0299439780157706</v>
      </c>
      <c r="AE328" s="304">
        <v>1.0303329548161957</v>
      </c>
      <c r="AF328" s="304">
        <v>1.0307192492816659</v>
      </c>
      <c r="AG328" s="304">
        <v>1.0311065021310493</v>
      </c>
      <c r="AH328" s="304">
        <v>1.0314977122521607</v>
      </c>
      <c r="AI328" s="304">
        <v>1.0317974393928391</v>
      </c>
      <c r="AJ328" s="304">
        <v>1.0319807599559396</v>
      </c>
      <c r="AK328" s="304">
        <v>1.0321424733096085</v>
      </c>
      <c r="AL328" s="330">
        <v>1.0323793146924252</v>
      </c>
      <c r="AM328" s="334">
        <f t="shared" si="4"/>
        <v>1.0323793146924252</v>
      </c>
      <c r="AN328" s="299"/>
    </row>
    <row r="329" spans="1:40" ht="17.45" customHeight="1" x14ac:dyDescent="0.2">
      <c r="A329" s="306">
        <v>35</v>
      </c>
      <c r="B329" s="307">
        <v>0.97304270462633446</v>
      </c>
      <c r="C329" s="307">
        <v>0.98120996441281139</v>
      </c>
      <c r="D329" s="307">
        <v>0.98813394954513478</v>
      </c>
      <c r="E329" s="307">
        <v>0.99504538703820811</v>
      </c>
      <c r="F329" s="307">
        <v>1.0007666073546855</v>
      </c>
      <c r="G329" s="307">
        <v>1.0049214116251481</v>
      </c>
      <c r="H329" s="307">
        <v>1.0085335112692762</v>
      </c>
      <c r="I329" s="307">
        <v>1.0108774360277919</v>
      </c>
      <c r="J329" s="308">
        <v>1.0128751834277931</v>
      </c>
      <c r="K329" s="307">
        <v>1.014758159424747</v>
      </c>
      <c r="L329" s="307">
        <v>1.016344657685138</v>
      </c>
      <c r="M329" s="307">
        <v>1.0177021550019769</v>
      </c>
      <c r="N329" s="307">
        <v>1.0189938768348974</v>
      </c>
      <c r="O329" s="307">
        <v>1.0200097199021956</v>
      </c>
      <c r="P329" s="307">
        <v>1.0208073675496296</v>
      </c>
      <c r="Q329" s="307">
        <v>1.0214922007883158</v>
      </c>
      <c r="R329" s="307">
        <v>1.0222753558718862</v>
      </c>
      <c r="S329" s="308">
        <v>1.0232249759105787</v>
      </c>
      <c r="T329" s="307">
        <v>1.0241417806105264</v>
      </c>
      <c r="U329" s="307">
        <v>1.0250079054991779</v>
      </c>
      <c r="V329" s="307">
        <v>1.025817113010929</v>
      </c>
      <c r="W329" s="307">
        <v>1.0265665930758754</v>
      </c>
      <c r="X329" s="307">
        <v>1.0272539584018658</v>
      </c>
      <c r="Y329" s="307">
        <v>1.0278743684996727</v>
      </c>
      <c r="Z329" s="307">
        <v>1.0284167320703568</v>
      </c>
      <c r="AA329" s="307">
        <v>1.0288970254959924</v>
      </c>
      <c r="AB329" s="308">
        <v>1.0293394846824455</v>
      </c>
      <c r="AC329" s="307">
        <v>1.0297587507684915</v>
      </c>
      <c r="AD329" s="307">
        <v>1.0301645157818289</v>
      </c>
      <c r="AE329" s="307">
        <v>1.0305635411993714</v>
      </c>
      <c r="AF329" s="307">
        <v>1.0309607983353655</v>
      </c>
      <c r="AG329" s="307">
        <v>1.0313601508218946</v>
      </c>
      <c r="AH329" s="307">
        <v>1.031666558336001</v>
      </c>
      <c r="AI329" s="307">
        <v>1.0318461696564747</v>
      </c>
      <c r="AJ329" s="307">
        <v>1.0319727597622679</v>
      </c>
      <c r="AK329" s="307">
        <v>1.0321099056029424</v>
      </c>
      <c r="AL329" s="332">
        <v>1.0323286731062531</v>
      </c>
      <c r="AM329" s="333">
        <f t="shared" si="4"/>
        <v>1.0323286731062531</v>
      </c>
      <c r="AN329" s="299"/>
    </row>
    <row r="330" spans="1:40" ht="17.45" customHeight="1" x14ac:dyDescent="0.2">
      <c r="A330" s="303">
        <v>36</v>
      </c>
      <c r="B330" s="304">
        <v>0.97302206405693947</v>
      </c>
      <c r="C330" s="304">
        <v>0.98157536778497634</v>
      </c>
      <c r="D330" s="304">
        <v>0.98850830030897274</v>
      </c>
      <c r="E330" s="304">
        <v>0.9953002869225509</v>
      </c>
      <c r="F330" s="304">
        <v>1.0006404608469255</v>
      </c>
      <c r="G330" s="304">
        <v>1.0048042817842937</v>
      </c>
      <c r="H330" s="304">
        <v>1.0084583629893236</v>
      </c>
      <c r="I330" s="304">
        <v>1.0107979649400289</v>
      </c>
      <c r="J330" s="305">
        <v>1.0127902148411758</v>
      </c>
      <c r="K330" s="304">
        <v>1.0145992882562278</v>
      </c>
      <c r="L330" s="304">
        <v>1.0162792197179387</v>
      </c>
      <c r="M330" s="304">
        <v>1.0176054971222706</v>
      </c>
      <c r="N330" s="304">
        <v>1.0187729537366548</v>
      </c>
      <c r="O330" s="304">
        <v>1.0199179383930812</v>
      </c>
      <c r="P330" s="304">
        <v>1.0208090532887291</v>
      </c>
      <c r="Q330" s="304">
        <v>1.0215468425092458</v>
      </c>
      <c r="R330" s="304">
        <v>1.0223487544483987</v>
      </c>
      <c r="S330" s="305">
        <v>1.023309975891092</v>
      </c>
      <c r="T330" s="304">
        <v>1.024232933129978</v>
      </c>
      <c r="U330" s="304">
        <v>1.0251031965526425</v>
      </c>
      <c r="V330" s="304">
        <v>1.0259169237003145</v>
      </c>
      <c r="W330" s="304">
        <v>1.0266730579320698</v>
      </c>
      <c r="X330" s="304">
        <v>1.0273710642941873</v>
      </c>
      <c r="Y330" s="304">
        <v>1.0280092450419578</v>
      </c>
      <c r="Z330" s="304">
        <v>1.0285803002880869</v>
      </c>
      <c r="AA330" s="304">
        <v>1.029079298995712</v>
      </c>
      <c r="AB330" s="305">
        <v>1.0295342637265037</v>
      </c>
      <c r="AC330" s="304">
        <v>1.0299645104326323</v>
      </c>
      <c r="AD330" s="304">
        <v>1.0303816804185855</v>
      </c>
      <c r="AE330" s="304">
        <v>1.0307933586902456</v>
      </c>
      <c r="AF330" s="304">
        <v>1.0312048805287239</v>
      </c>
      <c r="AG330" s="304">
        <v>1.031521734847201</v>
      </c>
      <c r="AH330" s="304">
        <v>1.031707906381216</v>
      </c>
      <c r="AI330" s="304">
        <v>1.0318271083489827</v>
      </c>
      <c r="AJ330" s="304">
        <v>1.0319263754165962</v>
      </c>
      <c r="AK330" s="304">
        <v>1.0320502169751518</v>
      </c>
      <c r="AL330" s="330">
        <v>1.0322528764616168</v>
      </c>
      <c r="AM330" s="334">
        <f t="shared" si="4"/>
        <v>1.0322528764616168</v>
      </c>
      <c r="AN330" s="299"/>
    </row>
    <row r="331" spans="1:40" ht="17.45" customHeight="1" x14ac:dyDescent="0.2">
      <c r="A331" s="303">
        <v>37</v>
      </c>
      <c r="B331" s="304">
        <v>0.97299857651245536</v>
      </c>
      <c r="C331" s="304">
        <v>0.98175269641390639</v>
      </c>
      <c r="D331" s="304">
        <v>0.98889507518619546</v>
      </c>
      <c r="E331" s="304">
        <v>0.99547407060632886</v>
      </c>
      <c r="F331" s="304">
        <v>1.0004899884028109</v>
      </c>
      <c r="G331" s="304">
        <v>1.0047617907004027</v>
      </c>
      <c r="H331" s="304">
        <v>1.0083777580071172</v>
      </c>
      <c r="I331" s="304">
        <v>1.0107138027452973</v>
      </c>
      <c r="J331" s="305">
        <v>1.0127232413392402</v>
      </c>
      <c r="K331" s="304">
        <v>1.0145038586680224</v>
      </c>
      <c r="L331" s="304">
        <v>1.0161832155566852</v>
      </c>
      <c r="M331" s="304">
        <v>1.0176166272060425</v>
      </c>
      <c r="N331" s="304">
        <v>1.0187276662147657</v>
      </c>
      <c r="O331" s="304">
        <v>1.0197479833926451</v>
      </c>
      <c r="P331" s="304">
        <v>1.0207822478794852</v>
      </c>
      <c r="Q331" s="304">
        <v>1.0216043788700111</v>
      </c>
      <c r="R331" s="304">
        <v>1.0224328291814946</v>
      </c>
      <c r="S331" s="305">
        <v>1.0234051542908977</v>
      </c>
      <c r="T331" s="304">
        <v>1.0243332063750294</v>
      </c>
      <c r="U331" s="304">
        <v>1.0252063596163021</v>
      </c>
      <c r="V331" s="304">
        <v>1.0260229505389733</v>
      </c>
      <c r="W331" s="304">
        <v>1.0267832779854529</v>
      </c>
      <c r="X331" s="304">
        <v>1.0274880654226102</v>
      </c>
      <c r="Y331" s="304">
        <v>1.0281376037114112</v>
      </c>
      <c r="Z331" s="304">
        <v>1.0287298047581097</v>
      </c>
      <c r="AA331" s="304">
        <v>1.0292534967329341</v>
      </c>
      <c r="AB331" s="305">
        <v>1.0297225945449715</v>
      </c>
      <c r="AC331" s="304">
        <v>1.0301652910397217</v>
      </c>
      <c r="AD331" s="304">
        <v>1.0305962587230617</v>
      </c>
      <c r="AE331" s="304">
        <v>1.0310240213523132</v>
      </c>
      <c r="AF331" s="304">
        <v>1.0313550411068342</v>
      </c>
      <c r="AG331" s="304">
        <v>1.0315550331420824</v>
      </c>
      <c r="AH331" s="304">
        <v>1.0316820772542876</v>
      </c>
      <c r="AI331" s="304">
        <v>1.0317738973677932</v>
      </c>
      <c r="AJ331" s="304">
        <v>1.0318621327498974</v>
      </c>
      <c r="AK331" s="304">
        <v>1.0319791601423489</v>
      </c>
      <c r="AL331" s="330">
        <v>1.0321670177935942</v>
      </c>
      <c r="AM331" s="334">
        <f t="shared" si="4"/>
        <v>1.0321670177935942</v>
      </c>
      <c r="AN331" s="299"/>
    </row>
    <row r="332" spans="1:40" ht="17.45" customHeight="1" x14ac:dyDescent="0.2">
      <c r="A332" s="303">
        <v>38</v>
      </c>
      <c r="B332" s="304">
        <v>0.97297651245551608</v>
      </c>
      <c r="C332" s="304">
        <v>0.98184604630245198</v>
      </c>
      <c r="D332" s="304">
        <v>0.98928491613062708</v>
      </c>
      <c r="E332" s="304">
        <v>0.99551404315393821</v>
      </c>
      <c r="F332" s="304">
        <v>1.0003625448694351</v>
      </c>
      <c r="G332" s="304">
        <v>1.0047535119536455</v>
      </c>
      <c r="H332" s="304">
        <v>1.008299881376038</v>
      </c>
      <c r="I332" s="304">
        <v>1.0106335913404507</v>
      </c>
      <c r="J332" s="305">
        <v>1.0126706418874389</v>
      </c>
      <c r="K332" s="304">
        <v>1.0144750504151838</v>
      </c>
      <c r="L332" s="304">
        <v>1.0161119810201662</v>
      </c>
      <c r="M332" s="304">
        <v>1.017622248418347</v>
      </c>
      <c r="N332" s="304">
        <v>1.018821216993981</v>
      </c>
      <c r="O332" s="304">
        <v>1.0197736892052194</v>
      </c>
      <c r="P332" s="304">
        <v>1.0206949782522736</v>
      </c>
      <c r="Q332" s="304">
        <v>1.0216579686827454</v>
      </c>
      <c r="R332" s="304">
        <v>1.0225302491103203</v>
      </c>
      <c r="S332" s="305">
        <v>1.0235129115971837</v>
      </c>
      <c r="T332" s="304">
        <v>1.0244449080662203</v>
      </c>
      <c r="U332" s="304">
        <v>1.0253199693417581</v>
      </c>
      <c r="V332" s="304">
        <v>1.0261382973298101</v>
      </c>
      <c r="W332" s="304">
        <v>1.0269011392251994</v>
      </c>
      <c r="X332" s="304">
        <v>1.0276099696806837</v>
      </c>
      <c r="Y332" s="304">
        <v>1.0282661617562203</v>
      </c>
      <c r="Z332" s="304">
        <v>1.0288703788633162</v>
      </c>
      <c r="AA332" s="304">
        <v>1.0294187432638535</v>
      </c>
      <c r="AB332" s="305">
        <v>1.0299045615131914</v>
      </c>
      <c r="AC332" s="304">
        <v>1.0303614743767298</v>
      </c>
      <c r="AD332" s="304">
        <v>1.0308096932723267</v>
      </c>
      <c r="AE332" s="304">
        <v>1.0311597066567499</v>
      </c>
      <c r="AF332" s="304">
        <v>1.0313820815963395</v>
      </c>
      <c r="AG332" s="304">
        <v>1.0315289567990897</v>
      </c>
      <c r="AH332" s="304">
        <v>1.0316310016004822</v>
      </c>
      <c r="AI332" s="304">
        <v>1.0317130799259207</v>
      </c>
      <c r="AJ332" s="304">
        <v>1.0317985976953059</v>
      </c>
      <c r="AK332" s="304">
        <v>1.0319122302214943</v>
      </c>
      <c r="AL332" s="330">
        <v>1.0320861901372651</v>
      </c>
      <c r="AM332" s="334">
        <f t="shared" si="4"/>
        <v>1.0320861901372651</v>
      </c>
      <c r="AN332" s="299"/>
    </row>
    <row r="333" spans="1:40" ht="17.45" customHeight="1" x14ac:dyDescent="0.2">
      <c r="A333" s="303">
        <v>39</v>
      </c>
      <c r="B333" s="304">
        <v>0.9729601423487545</v>
      </c>
      <c r="C333" s="304">
        <v>0.98192581642688403</v>
      </c>
      <c r="D333" s="304">
        <v>0.98966832911522562</v>
      </c>
      <c r="E333" s="304">
        <v>0.99551843734618561</v>
      </c>
      <c r="F333" s="304">
        <v>1.0003116390112443</v>
      </c>
      <c r="G333" s="304">
        <v>1.0047619056550849</v>
      </c>
      <c r="H333" s="304">
        <v>1.0082329181494663</v>
      </c>
      <c r="I333" s="304">
        <v>1.0105696986072665</v>
      </c>
      <c r="J333" s="305">
        <v>1.0126416523878563</v>
      </c>
      <c r="K333" s="304">
        <v>1.0144898779867819</v>
      </c>
      <c r="L333" s="304">
        <v>1.0161448048562602</v>
      </c>
      <c r="M333" s="304">
        <v>1.0176614802610706</v>
      </c>
      <c r="N333" s="304">
        <v>1.0189283943399423</v>
      </c>
      <c r="O333" s="304">
        <v>1.0199358903387372</v>
      </c>
      <c r="P333" s="304">
        <v>1.0207988239386083</v>
      </c>
      <c r="Q333" s="304">
        <v>1.0216816725978648</v>
      </c>
      <c r="R333" s="304">
        <v>1.0226436832740213</v>
      </c>
      <c r="S333" s="305">
        <v>1.0236352785903733</v>
      </c>
      <c r="T333" s="304">
        <v>1.0245699996432363</v>
      </c>
      <c r="U333" s="304">
        <v>1.0254464042553546</v>
      </c>
      <c r="V333" s="304">
        <v>1.0262659885524408</v>
      </c>
      <c r="W333" s="304">
        <v>1.0270305113422509</v>
      </c>
      <c r="X333" s="304">
        <v>1.0277417826667681</v>
      </c>
      <c r="Y333" s="304">
        <v>1.0284016052458151</v>
      </c>
      <c r="Z333" s="304">
        <v>1.0290116926657233</v>
      </c>
      <c r="AA333" s="304">
        <v>1.0295731769180396</v>
      </c>
      <c r="AB333" s="305">
        <v>1.0300801259438954</v>
      </c>
      <c r="AC333" s="304">
        <v>1.030554016268429</v>
      </c>
      <c r="AD333" s="304">
        <v>1.030931994225712</v>
      </c>
      <c r="AE333" s="304">
        <v>1.0311918511865534</v>
      </c>
      <c r="AF333" s="304">
        <v>1.0313733085191372</v>
      </c>
      <c r="AG333" s="304">
        <v>1.0314998289178858</v>
      </c>
      <c r="AH333" s="304">
        <v>1.0315921910285137</v>
      </c>
      <c r="AI333" s="304">
        <v>1.031670461761929</v>
      </c>
      <c r="AJ333" s="304">
        <v>1.0317545858611534</v>
      </c>
      <c r="AK333" s="304">
        <v>1.0318649683774044</v>
      </c>
      <c r="AL333" s="330">
        <v>1.0320254865277074</v>
      </c>
      <c r="AM333" s="334">
        <f t="shared" si="4"/>
        <v>1.0320254865277074</v>
      </c>
      <c r="AN333" s="299"/>
    </row>
    <row r="334" spans="1:40" ht="17.45" customHeight="1" thickBot="1" x14ac:dyDescent="0.25">
      <c r="A334" s="324">
        <v>40</v>
      </c>
      <c r="B334" s="335">
        <v>0.97295373665480422</v>
      </c>
      <c r="C334" s="335">
        <v>0.98205516014234873</v>
      </c>
      <c r="D334" s="335">
        <v>0.99003558718861207</v>
      </c>
      <c r="E334" s="335">
        <v>0.99563612099644128</v>
      </c>
      <c r="F334" s="335">
        <v>1.0003558718861212</v>
      </c>
      <c r="G334" s="335">
        <v>1.0047820284697511</v>
      </c>
      <c r="H334" s="335">
        <v>1.0081850533807828</v>
      </c>
      <c r="I334" s="335">
        <v>1.0105451957295375</v>
      </c>
      <c r="J334" s="336">
        <v>1.0126604982206404</v>
      </c>
      <c r="K334" s="335">
        <v>1.0145565836298933</v>
      </c>
      <c r="L334" s="335">
        <v>1.0162590747330962</v>
      </c>
      <c r="M334" s="335">
        <v>1.0177935943060499</v>
      </c>
      <c r="N334" s="335">
        <v>1.0190810597073945</v>
      </c>
      <c r="O334" s="335">
        <v>1.0201043890865955</v>
      </c>
      <c r="P334" s="335">
        <v>1.0209822064056939</v>
      </c>
      <c r="Q334" s="335">
        <v>1.0218331356267301</v>
      </c>
      <c r="R334" s="335">
        <v>1.0227758007117438</v>
      </c>
      <c r="S334" s="336">
        <v>1.0237729964412812</v>
      </c>
      <c r="T334" s="335">
        <v>1.0247096812969554</v>
      </c>
      <c r="U334" s="335">
        <v>1.0255877247924079</v>
      </c>
      <c r="V334" s="335">
        <v>1.0264089964412813</v>
      </c>
      <c r="W334" s="335">
        <v>1.0271753657572162</v>
      </c>
      <c r="X334" s="335">
        <v>1.0278887022538554</v>
      </c>
      <c r="Y334" s="335">
        <v>1.0285508754448398</v>
      </c>
      <c r="Z334" s="335">
        <v>1.029163754843812</v>
      </c>
      <c r="AA334" s="335">
        <v>1.0297292099644129</v>
      </c>
      <c r="AB334" s="336">
        <v>1.0302491103202847</v>
      </c>
      <c r="AC334" s="335">
        <v>1.0306855516014235</v>
      </c>
      <c r="AD334" s="335">
        <v>1.0310122894424676</v>
      </c>
      <c r="AE334" s="335">
        <v>1.0312486832740213</v>
      </c>
      <c r="AF334" s="335">
        <v>1.0314140925266904</v>
      </c>
      <c r="AG334" s="335">
        <v>1.0315278766310794</v>
      </c>
      <c r="AH334" s="335">
        <v>1.0316093950177936</v>
      </c>
      <c r="AI334" s="335">
        <v>1.0316780071174376</v>
      </c>
      <c r="AJ334" s="335">
        <v>1.031753072360617</v>
      </c>
      <c r="AK334" s="335">
        <v>1.031853950177936</v>
      </c>
      <c r="AL334" s="337">
        <v>1.032</v>
      </c>
      <c r="AM334" s="338">
        <f t="shared" si="4"/>
        <v>1.032</v>
      </c>
      <c r="AN334" s="299"/>
    </row>
    <row r="335" spans="1:40" ht="17.45" customHeight="1" thickTop="1" thickBot="1" x14ac:dyDescent="0.25">
      <c r="A335" s="309">
        <f>A334+0.001</f>
        <v>40.000999999999998</v>
      </c>
      <c r="B335" s="339">
        <f>B334</f>
        <v>0.97295373665480422</v>
      </c>
      <c r="C335" s="340">
        <f t="shared" ref="C335" si="5">C334</f>
        <v>0.98205516014234873</v>
      </c>
      <c r="D335" s="340">
        <f t="shared" ref="D335" si="6">D334</f>
        <v>0.99003558718861207</v>
      </c>
      <c r="E335" s="340">
        <f t="shared" ref="E335" si="7">E334</f>
        <v>0.99563612099644128</v>
      </c>
      <c r="F335" s="340">
        <f t="shared" ref="F335" si="8">F334</f>
        <v>1.0003558718861212</v>
      </c>
      <c r="G335" s="340">
        <f t="shared" ref="G335" si="9">G334</f>
        <v>1.0047820284697511</v>
      </c>
      <c r="H335" s="340">
        <f t="shared" ref="H335" si="10">H334</f>
        <v>1.0081850533807828</v>
      </c>
      <c r="I335" s="340">
        <f t="shared" ref="I335" si="11">I334</f>
        <v>1.0105451957295375</v>
      </c>
      <c r="J335" s="341">
        <f t="shared" ref="J335" si="12">J334</f>
        <v>1.0126604982206404</v>
      </c>
      <c r="K335" s="340">
        <f t="shared" ref="K335" si="13">K334</f>
        <v>1.0145565836298933</v>
      </c>
      <c r="L335" s="340">
        <f t="shared" ref="L335" si="14">L334</f>
        <v>1.0162590747330962</v>
      </c>
      <c r="M335" s="340">
        <f t="shared" ref="M335" si="15">M334</f>
        <v>1.0177935943060499</v>
      </c>
      <c r="N335" s="340">
        <f t="shared" ref="N335" si="16">N334</f>
        <v>1.0190810597073945</v>
      </c>
      <c r="O335" s="340">
        <f t="shared" ref="O335" si="17">O334</f>
        <v>1.0201043890865955</v>
      </c>
      <c r="P335" s="340">
        <f t="shared" ref="P335" si="18">P334</f>
        <v>1.0209822064056939</v>
      </c>
      <c r="Q335" s="340">
        <f t="shared" ref="Q335" si="19">Q334</f>
        <v>1.0218331356267301</v>
      </c>
      <c r="R335" s="340">
        <f t="shared" ref="R335" si="20">R334</f>
        <v>1.0227758007117438</v>
      </c>
      <c r="S335" s="341">
        <f t="shared" ref="S335" si="21">S334</f>
        <v>1.0237729964412812</v>
      </c>
      <c r="T335" s="340">
        <f t="shared" ref="T335" si="22">T334</f>
        <v>1.0247096812969554</v>
      </c>
      <c r="U335" s="340">
        <f t="shared" ref="U335" si="23">U334</f>
        <v>1.0255877247924079</v>
      </c>
      <c r="V335" s="340">
        <f t="shared" ref="V335" si="24">V334</f>
        <v>1.0264089964412813</v>
      </c>
      <c r="W335" s="340">
        <f t="shared" ref="W335" si="25">W334</f>
        <v>1.0271753657572162</v>
      </c>
      <c r="X335" s="340">
        <f t="shared" ref="X335" si="26">X334</f>
        <v>1.0278887022538554</v>
      </c>
      <c r="Y335" s="340">
        <f t="shared" ref="Y335" si="27">Y334</f>
        <v>1.0285508754448398</v>
      </c>
      <c r="Z335" s="340">
        <f t="shared" ref="Z335" si="28">Z334</f>
        <v>1.029163754843812</v>
      </c>
      <c r="AA335" s="340">
        <f t="shared" ref="AA335" si="29">AA334</f>
        <v>1.0297292099644129</v>
      </c>
      <c r="AB335" s="341">
        <f t="shared" ref="AB335" si="30">AB334</f>
        <v>1.0302491103202847</v>
      </c>
      <c r="AC335" s="340">
        <f t="shared" ref="AC335" si="31">AC334</f>
        <v>1.0306855516014235</v>
      </c>
      <c r="AD335" s="340">
        <f t="shared" ref="AD335" si="32">AD334</f>
        <v>1.0310122894424676</v>
      </c>
      <c r="AE335" s="340">
        <f t="shared" ref="AE335" si="33">AE334</f>
        <v>1.0312486832740213</v>
      </c>
      <c r="AF335" s="340">
        <f t="shared" ref="AF335" si="34">AF334</f>
        <v>1.0314140925266904</v>
      </c>
      <c r="AG335" s="340">
        <f t="shared" ref="AG335" si="35">AG334</f>
        <v>1.0315278766310794</v>
      </c>
      <c r="AH335" s="340">
        <f t="shared" ref="AH335" si="36">AH334</f>
        <v>1.0316093950177936</v>
      </c>
      <c r="AI335" s="340">
        <f t="shared" ref="AI335" si="37">AI334</f>
        <v>1.0316780071174376</v>
      </c>
      <c r="AJ335" s="340">
        <f t="shared" ref="AJ335" si="38">AJ334</f>
        <v>1.031753072360617</v>
      </c>
      <c r="AK335" s="340">
        <f t="shared" ref="AK335" si="39">AK334</f>
        <v>1.031853950177936</v>
      </c>
      <c r="AL335" s="342">
        <f t="shared" ref="AL335" si="40">AL334</f>
        <v>1.032</v>
      </c>
      <c r="AM335" s="311">
        <f>AL334</f>
        <v>1.032</v>
      </c>
      <c r="AN335" s="299"/>
    </row>
    <row r="336" spans="1:40" ht="17.45" customHeight="1" thickTop="1" thickBot="1" x14ac:dyDescent="0.25">
      <c r="A336" s="312"/>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c r="AA336" s="313"/>
      <c r="AB336" s="313"/>
      <c r="AC336" s="313"/>
      <c r="AD336" s="313"/>
      <c r="AE336" s="313"/>
      <c r="AF336" s="313"/>
      <c r="AG336" s="313"/>
      <c r="AH336" s="313"/>
      <c r="AI336" s="313"/>
      <c r="AJ336" s="313"/>
      <c r="AK336" s="313"/>
      <c r="AL336" s="313"/>
      <c r="AM336" s="313"/>
      <c r="AN336" s="314"/>
    </row>
    <row r="337" ht="17.45" customHeight="1" thickTop="1" x14ac:dyDescent="0.2"/>
  </sheetData>
  <mergeCells count="10">
    <mergeCell ref="A3:D3"/>
    <mergeCell ref="A234:D234"/>
    <mergeCell ref="B296:J296"/>
    <mergeCell ref="A295:D295"/>
    <mergeCell ref="A128:G128"/>
    <mergeCell ref="A27:D27"/>
    <mergeCell ref="B85:J85"/>
    <mergeCell ref="A84:D84"/>
    <mergeCell ref="A19:D19"/>
    <mergeCell ref="A15:D15"/>
  </mergeCells>
  <phoneticPr fontId="0" type="noConversion"/>
  <hyperlinks>
    <hyperlink ref="F1" location="CL6_6MV_RDF" display="RDF"/>
    <hyperlink ref="G1" location="CL6_6MV_Enhanced_Dynamic_Wedge_Factors" display="EDW Wedge Factors"/>
    <hyperlink ref="K1" location="CL6_6MV_Peak_Scatter_Factor" display="Peak Scatter Factors"/>
    <hyperlink ref="P1" location="CL6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H337"/>
  <sheetViews>
    <sheetView zoomScale="75" zoomScaleNormal="75" workbookViewId="0">
      <selection activeCell="O21" sqref="O21"/>
    </sheetView>
  </sheetViews>
  <sheetFormatPr defaultColWidth="5.28515625" defaultRowHeight="12.75" x14ac:dyDescent="0.2"/>
  <cols>
    <col min="1" max="1" width="13.140625" style="233" customWidth="1"/>
    <col min="2" max="8" width="8.28515625" style="232" customWidth="1"/>
    <col min="9" max="16384" width="5.28515625" style="232"/>
  </cols>
  <sheetData>
    <row r="1" spans="1:19" x14ac:dyDescent="0.2">
      <c r="E1" s="231"/>
      <c r="F1" s="15" t="s">
        <v>9</v>
      </c>
      <c r="G1" s="15" t="s">
        <v>57</v>
      </c>
      <c r="H1" s="15"/>
      <c r="I1" s="15"/>
      <c r="J1" s="231"/>
      <c r="K1" s="15"/>
      <c r="L1" s="15"/>
      <c r="M1" s="15" t="s">
        <v>143</v>
      </c>
      <c r="N1" s="15"/>
      <c r="O1" s="15"/>
      <c r="P1" s="231"/>
      <c r="Q1" s="14" t="s">
        <v>91</v>
      </c>
      <c r="R1" s="231"/>
      <c r="S1" s="231"/>
    </row>
    <row r="2" spans="1:19" ht="13.5" thickBot="1" x14ac:dyDescent="0.25"/>
    <row r="3" spans="1:19" ht="21.75" thickTop="1" thickBot="1" x14ac:dyDescent="0.25">
      <c r="A3" s="693" t="s">
        <v>197</v>
      </c>
      <c r="B3" s="694"/>
      <c r="C3" s="694"/>
      <c r="D3" s="695"/>
    </row>
    <row r="4" spans="1:19" ht="13.5" thickBot="1" x14ac:dyDescent="0.25">
      <c r="A4" s="234"/>
      <c r="B4" s="235" t="s">
        <v>201</v>
      </c>
      <c r="C4" s="236" t="s">
        <v>200</v>
      </c>
      <c r="D4" s="237"/>
    </row>
    <row r="5" spans="1:19" x14ac:dyDescent="0.2">
      <c r="A5" s="238" t="s">
        <v>199</v>
      </c>
      <c r="B5" s="239">
        <v>-2</v>
      </c>
      <c r="C5" s="240">
        <v>20</v>
      </c>
      <c r="D5" s="237"/>
    </row>
    <row r="6" spans="1:19" x14ac:dyDescent="0.2">
      <c r="A6" s="238" t="s">
        <v>202</v>
      </c>
      <c r="B6" s="241">
        <v>-2</v>
      </c>
      <c r="C6" s="242">
        <v>20</v>
      </c>
      <c r="D6" s="237"/>
    </row>
    <row r="7" spans="1:19" x14ac:dyDescent="0.2">
      <c r="A7" s="238" t="s">
        <v>203</v>
      </c>
      <c r="B7" s="241">
        <v>-10</v>
      </c>
      <c r="C7" s="242">
        <v>20</v>
      </c>
      <c r="D7" s="237"/>
    </row>
    <row r="8" spans="1:19" x14ac:dyDescent="0.2">
      <c r="A8" s="238" t="s">
        <v>204</v>
      </c>
      <c r="B8" s="241">
        <v>-10</v>
      </c>
      <c r="C8" s="242">
        <v>20</v>
      </c>
      <c r="D8" s="237"/>
    </row>
    <row r="9" spans="1:19" x14ac:dyDescent="0.2">
      <c r="A9" s="238" t="s">
        <v>295</v>
      </c>
      <c r="B9" s="241">
        <f>MIN(MIN(A87:A123),MIN(A298:A334))</f>
        <v>4</v>
      </c>
      <c r="C9" s="242">
        <f>MAX(MAX(A87:A123),MAX(A298:A334))</f>
        <v>40</v>
      </c>
      <c r="D9" s="237"/>
    </row>
    <row r="10" spans="1:19" x14ac:dyDescent="0.2">
      <c r="A10" s="238" t="s">
        <v>296</v>
      </c>
      <c r="B10" s="241">
        <f>MIN(MIN(B86:AL86),MIN(B297:AL297))</f>
        <v>4</v>
      </c>
      <c r="C10" s="242">
        <f>MAX(MAX(B86:AL86),MAX(B297:AL297))</f>
        <v>40</v>
      </c>
      <c r="D10" s="237"/>
    </row>
    <row r="11" spans="1:19" x14ac:dyDescent="0.2">
      <c r="A11" s="238" t="s">
        <v>31</v>
      </c>
      <c r="B11" s="241">
        <f>MIN(B29:BF29)</f>
        <v>4</v>
      </c>
      <c r="C11" s="242">
        <f>MAX(B29:BF29)</f>
        <v>60</v>
      </c>
      <c r="D11" s="237"/>
    </row>
    <row r="12" spans="1:19" ht="13.5" thickBot="1" x14ac:dyDescent="0.25">
      <c r="A12" s="243" t="s">
        <v>24</v>
      </c>
      <c r="B12" s="343">
        <f>MIN(A30:A80)</f>
        <v>0</v>
      </c>
      <c r="C12" s="344">
        <f>MAX(A30:A80)</f>
        <v>30</v>
      </c>
      <c r="D12" s="237"/>
    </row>
    <row r="13" spans="1:19" ht="13.5" thickBot="1" x14ac:dyDescent="0.25">
      <c r="A13" s="246"/>
      <c r="B13" s="247"/>
      <c r="C13" s="247"/>
      <c r="D13" s="248"/>
    </row>
    <row r="14" spans="1:19" ht="17.45" customHeight="1" thickTop="1" thickBot="1" x14ac:dyDescent="0.25">
      <c r="A14" s="249"/>
      <c r="B14" s="231"/>
      <c r="C14" s="231"/>
      <c r="D14" s="231"/>
    </row>
    <row r="15" spans="1:19" ht="22.5" customHeight="1" thickTop="1" thickBot="1" x14ac:dyDescent="0.25">
      <c r="A15" s="693" t="s">
        <v>139</v>
      </c>
      <c r="B15" s="694"/>
      <c r="C15" s="694"/>
      <c r="D15" s="695"/>
    </row>
    <row r="16" spans="1:19" ht="17.45" customHeight="1" thickBot="1" x14ac:dyDescent="0.25">
      <c r="A16" s="250" t="s">
        <v>139</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7.45" customHeight="1" thickTop="1" thickBot="1" x14ac:dyDescent="0.25">
      <c r="A19" s="693" t="s">
        <v>348</v>
      </c>
      <c r="B19" s="694"/>
      <c r="C19" s="694"/>
      <c r="D19" s="695"/>
    </row>
    <row r="20" spans="1:60" ht="17.45" customHeight="1" thickBot="1" x14ac:dyDescent="0.25">
      <c r="A20" s="252"/>
      <c r="B20" s="253" t="s">
        <v>250</v>
      </c>
      <c r="C20" s="92"/>
      <c r="D20" s="237"/>
    </row>
    <row r="21" spans="1:60" ht="17.45" customHeight="1" x14ac:dyDescent="0.2">
      <c r="A21" s="254" t="s">
        <v>78</v>
      </c>
      <c r="B21" s="255">
        <v>1</v>
      </c>
      <c r="C21" s="231"/>
      <c r="D21" s="237"/>
    </row>
    <row r="22" spans="1:60" ht="17.45" customHeight="1" x14ac:dyDescent="0.2">
      <c r="A22" s="256" t="s">
        <v>71</v>
      </c>
      <c r="B22" s="257">
        <v>0.95</v>
      </c>
      <c r="C22" s="231"/>
      <c r="D22" s="237"/>
    </row>
    <row r="23" spans="1:60" ht="17.45" customHeight="1" x14ac:dyDescent="0.2">
      <c r="A23" s="256" t="s">
        <v>72</v>
      </c>
      <c r="B23" s="257">
        <v>0.97</v>
      </c>
      <c r="C23" s="231"/>
      <c r="D23" s="237"/>
    </row>
    <row r="24" spans="1:60" ht="17.45" customHeight="1" thickBot="1" x14ac:dyDescent="0.25">
      <c r="A24" s="258" t="s">
        <v>73</v>
      </c>
      <c r="B24" s="259">
        <v>0.98</v>
      </c>
      <c r="C24" s="231"/>
      <c r="D24" s="237"/>
    </row>
    <row r="25" spans="1:60" ht="17.45" customHeight="1" thickBot="1" x14ac:dyDescent="0.25">
      <c r="A25" s="246"/>
      <c r="B25" s="247"/>
      <c r="C25" s="247"/>
      <c r="D25" s="248"/>
    </row>
    <row r="26" spans="1:60" ht="14.25" thickTop="1" thickBot="1" x14ac:dyDescent="0.25"/>
    <row r="27" spans="1:60" ht="21" thickTop="1" x14ac:dyDescent="0.2">
      <c r="A27" s="693" t="s">
        <v>8</v>
      </c>
      <c r="B27" s="694"/>
      <c r="C27" s="694"/>
      <c r="D27" s="694"/>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A28" s="238"/>
      <c r="B28" s="262" t="s">
        <v>31</v>
      </c>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7"/>
    </row>
    <row r="29" spans="1:60" s="272" customFormat="1" ht="14.25" thickTop="1" thickBot="1" x14ac:dyDescent="0.25">
      <c r="A29" s="263" t="s">
        <v>5</v>
      </c>
      <c r="B29" s="264">
        <v>4</v>
      </c>
      <c r="C29" s="264">
        <v>5</v>
      </c>
      <c r="D29" s="264">
        <v>6</v>
      </c>
      <c r="E29" s="264">
        <v>7</v>
      </c>
      <c r="F29" s="264">
        <v>8</v>
      </c>
      <c r="G29" s="264">
        <v>9</v>
      </c>
      <c r="H29" s="265">
        <v>10</v>
      </c>
      <c r="I29" s="265">
        <v>11</v>
      </c>
      <c r="J29" s="266">
        <v>12</v>
      </c>
      <c r="K29" s="265">
        <v>13</v>
      </c>
      <c r="L29" s="265">
        <v>14</v>
      </c>
      <c r="M29" s="265">
        <v>15</v>
      </c>
      <c r="N29" s="265">
        <v>16</v>
      </c>
      <c r="O29" s="265">
        <v>17</v>
      </c>
      <c r="P29" s="265">
        <v>18</v>
      </c>
      <c r="Q29" s="265">
        <v>19</v>
      </c>
      <c r="R29" s="265">
        <v>20</v>
      </c>
      <c r="S29" s="266">
        <v>21</v>
      </c>
      <c r="T29" s="265">
        <v>22</v>
      </c>
      <c r="U29" s="265">
        <v>23</v>
      </c>
      <c r="V29" s="265">
        <v>24</v>
      </c>
      <c r="W29" s="265">
        <v>25</v>
      </c>
      <c r="X29" s="265">
        <v>26</v>
      </c>
      <c r="Y29" s="265">
        <v>27</v>
      </c>
      <c r="Z29" s="265">
        <v>28</v>
      </c>
      <c r="AA29" s="265">
        <v>29</v>
      </c>
      <c r="AB29" s="266">
        <v>30</v>
      </c>
      <c r="AC29" s="265">
        <v>31</v>
      </c>
      <c r="AD29" s="265">
        <v>32</v>
      </c>
      <c r="AE29" s="265">
        <v>33</v>
      </c>
      <c r="AF29" s="265">
        <v>34</v>
      </c>
      <c r="AG29" s="265">
        <v>35</v>
      </c>
      <c r="AH29" s="265">
        <v>36</v>
      </c>
      <c r="AI29" s="265">
        <v>37</v>
      </c>
      <c r="AJ29" s="265">
        <v>38</v>
      </c>
      <c r="AK29" s="265">
        <v>39</v>
      </c>
      <c r="AL29" s="266">
        <v>40</v>
      </c>
      <c r="AM29" s="264">
        <v>41</v>
      </c>
      <c r="AN29" s="264">
        <v>42</v>
      </c>
      <c r="AO29" s="264">
        <v>43</v>
      </c>
      <c r="AP29" s="264">
        <v>44</v>
      </c>
      <c r="AQ29" s="264">
        <v>45</v>
      </c>
      <c r="AR29" s="264">
        <v>46</v>
      </c>
      <c r="AS29" s="264">
        <v>47</v>
      </c>
      <c r="AT29" s="264">
        <v>48</v>
      </c>
      <c r="AU29" s="264">
        <v>49</v>
      </c>
      <c r="AV29" s="267">
        <v>50</v>
      </c>
      <c r="AW29" s="268">
        <v>51</v>
      </c>
      <c r="AX29" s="269">
        <v>52</v>
      </c>
      <c r="AY29" s="269">
        <v>53</v>
      </c>
      <c r="AZ29" s="269">
        <v>54</v>
      </c>
      <c r="BA29" s="269">
        <v>55</v>
      </c>
      <c r="BB29" s="269">
        <v>56</v>
      </c>
      <c r="BC29" s="269">
        <v>57</v>
      </c>
      <c r="BD29" s="269">
        <v>58</v>
      </c>
      <c r="BE29" s="269">
        <v>59</v>
      </c>
      <c r="BF29" s="270">
        <v>60</v>
      </c>
      <c r="BG29" s="270">
        <f>BF29+0.001</f>
        <v>60.000999999999998</v>
      </c>
      <c r="BH29" s="271"/>
    </row>
    <row r="30" spans="1:60" ht="13.5" thickTop="1" x14ac:dyDescent="0.2">
      <c r="A30" s="273">
        <v>0</v>
      </c>
      <c r="B30" s="274">
        <v>8.069528120000001E-2</v>
      </c>
      <c r="C30" s="275">
        <v>9.3745772499999991E-2</v>
      </c>
      <c r="D30" s="275">
        <v>0.10660123519999999</v>
      </c>
      <c r="E30" s="275">
        <v>0.1192616693</v>
      </c>
      <c r="F30" s="275">
        <v>0.13172707480000001</v>
      </c>
      <c r="G30" s="275">
        <v>0.1439974517</v>
      </c>
      <c r="H30" s="275">
        <v>0.15607279999999998</v>
      </c>
      <c r="I30" s="275">
        <v>0.16795311970000001</v>
      </c>
      <c r="J30" s="276">
        <v>0.17963841079999998</v>
      </c>
      <c r="K30" s="274">
        <v>0.1911286733</v>
      </c>
      <c r="L30" s="275">
        <v>0.2024239072</v>
      </c>
      <c r="M30" s="275">
        <v>0.21352411250000003</v>
      </c>
      <c r="N30" s="275">
        <v>0.22442928919999999</v>
      </c>
      <c r="O30" s="275">
        <v>0.2351394373</v>
      </c>
      <c r="P30" s="275">
        <v>0.24565455680000003</v>
      </c>
      <c r="Q30" s="275">
        <v>0.2559746477</v>
      </c>
      <c r="R30" s="275">
        <v>0.26609970999999999</v>
      </c>
      <c r="S30" s="276">
        <v>0.27602974370000005</v>
      </c>
      <c r="T30" s="274">
        <v>0.28576474880000002</v>
      </c>
      <c r="U30" s="275">
        <v>0.29530472530000001</v>
      </c>
      <c r="V30" s="275">
        <v>0.30464967320000003</v>
      </c>
      <c r="W30" s="275">
        <v>0.3137995925</v>
      </c>
      <c r="X30" s="275">
        <v>0.32275448320000005</v>
      </c>
      <c r="Y30" s="275">
        <v>0.33151434530000001</v>
      </c>
      <c r="Z30" s="275">
        <v>0.34007917880000005</v>
      </c>
      <c r="AA30" s="275">
        <v>0.34844898369999999</v>
      </c>
      <c r="AB30" s="276">
        <v>0.35662376000000007</v>
      </c>
      <c r="AC30" s="274">
        <v>0.36460350770000005</v>
      </c>
      <c r="AD30" s="275">
        <v>0.37238822680000006</v>
      </c>
      <c r="AE30" s="275">
        <v>0.37997791730000002</v>
      </c>
      <c r="AF30" s="275">
        <v>0.38737257919999996</v>
      </c>
      <c r="AG30" s="275">
        <v>0.39457221250000007</v>
      </c>
      <c r="AH30" s="275">
        <v>0.40157681720000005</v>
      </c>
      <c r="AI30" s="275">
        <v>0.40838639330000004</v>
      </c>
      <c r="AJ30" s="275">
        <v>0.41500094080000005</v>
      </c>
      <c r="AK30" s="275">
        <v>0.42142045970000003</v>
      </c>
      <c r="AL30" s="276">
        <v>0.42764495000000002</v>
      </c>
      <c r="AM30" s="274">
        <v>0.43363956271999998</v>
      </c>
      <c r="AN30" s="275">
        <v>0.43946909568000003</v>
      </c>
      <c r="AO30" s="275">
        <v>0.44510337087999996</v>
      </c>
      <c r="AP30" s="275">
        <v>0.45054238832000004</v>
      </c>
      <c r="AQ30" s="275">
        <v>0.455786148</v>
      </c>
      <c r="AR30" s="275">
        <v>0.46083464992000006</v>
      </c>
      <c r="AS30" s="275">
        <v>0.46568789408</v>
      </c>
      <c r="AT30" s="275">
        <v>0.47034588047999992</v>
      </c>
      <c r="AU30" s="275">
        <v>0.47480860912</v>
      </c>
      <c r="AV30" s="276">
        <v>0.47907607999999996</v>
      </c>
      <c r="AW30" s="274">
        <v>0.48314829311999996</v>
      </c>
      <c r="AX30" s="275">
        <v>0.48702524848000001</v>
      </c>
      <c r="AY30" s="275">
        <v>0.49070694608000004</v>
      </c>
      <c r="AZ30" s="275">
        <v>0.49419338591999995</v>
      </c>
      <c r="BA30" s="275">
        <v>0.49748456800000007</v>
      </c>
      <c r="BB30" s="275">
        <v>0.50058049232000001</v>
      </c>
      <c r="BC30" s="275">
        <v>0.50348115888000011</v>
      </c>
      <c r="BD30" s="275">
        <v>0.50618656768000003</v>
      </c>
      <c r="BE30" s="275">
        <v>0.50869671872</v>
      </c>
      <c r="BF30" s="276">
        <v>0.511011612</v>
      </c>
      <c r="BG30" s="276">
        <f>BF30</f>
        <v>0.511011612</v>
      </c>
      <c r="BH30" s="237"/>
    </row>
    <row r="31" spans="1:60" x14ac:dyDescent="0.2">
      <c r="A31" s="273">
        <v>0.5</v>
      </c>
      <c r="B31" s="277">
        <v>0.79699426799999995</v>
      </c>
      <c r="C31" s="278">
        <v>0.8028395975</v>
      </c>
      <c r="D31" s="278">
        <v>0.80855243200000004</v>
      </c>
      <c r="E31" s="278">
        <v>0.81413277149999996</v>
      </c>
      <c r="F31" s="278">
        <v>0.81958061599999998</v>
      </c>
      <c r="G31" s="278">
        <v>0.82489596549999999</v>
      </c>
      <c r="H31" s="278">
        <v>0.83007882</v>
      </c>
      <c r="I31" s="278">
        <v>0.83512917949999999</v>
      </c>
      <c r="J31" s="279">
        <v>0.84004704399999997</v>
      </c>
      <c r="K31" s="277">
        <v>0.84483241349999993</v>
      </c>
      <c r="L31" s="278">
        <v>0.84948528800000001</v>
      </c>
      <c r="M31" s="278">
        <v>0.85400566749999995</v>
      </c>
      <c r="N31" s="278">
        <v>0.858393552</v>
      </c>
      <c r="O31" s="278">
        <v>0.86264894149999993</v>
      </c>
      <c r="P31" s="278">
        <v>0.86677183599999996</v>
      </c>
      <c r="Q31" s="278">
        <v>0.87076223549999998</v>
      </c>
      <c r="R31" s="278">
        <v>0.87462013999999988</v>
      </c>
      <c r="S31" s="279">
        <v>0.87834554949999999</v>
      </c>
      <c r="T31" s="277">
        <v>0.88193846399999987</v>
      </c>
      <c r="U31" s="278">
        <v>0.88539888349999996</v>
      </c>
      <c r="V31" s="278">
        <v>0.88872680800000003</v>
      </c>
      <c r="W31" s="278">
        <v>0.89192223749999999</v>
      </c>
      <c r="X31" s="278">
        <v>0.89498517199999994</v>
      </c>
      <c r="Y31" s="278">
        <v>0.89791561149999999</v>
      </c>
      <c r="Z31" s="278">
        <v>0.90071355599999992</v>
      </c>
      <c r="AA31" s="278">
        <v>0.90337900549999994</v>
      </c>
      <c r="AB31" s="279">
        <v>0.90591196000000007</v>
      </c>
      <c r="AC31" s="277">
        <v>0.90831241949999997</v>
      </c>
      <c r="AD31" s="278">
        <v>0.91058038399999996</v>
      </c>
      <c r="AE31" s="278">
        <v>0.91271585349999995</v>
      </c>
      <c r="AF31" s="278">
        <v>0.91471882799999993</v>
      </c>
      <c r="AG31" s="278">
        <v>0.91658930750000001</v>
      </c>
      <c r="AH31" s="278">
        <v>0.91832729200000007</v>
      </c>
      <c r="AI31" s="278">
        <v>0.91993278149999991</v>
      </c>
      <c r="AJ31" s="278">
        <v>0.92140577599999995</v>
      </c>
      <c r="AK31" s="278">
        <v>0.92274627549999999</v>
      </c>
      <c r="AL31" s="279">
        <v>0.92395428000000002</v>
      </c>
      <c r="AM31" s="277">
        <v>0.92673946427999998</v>
      </c>
      <c r="AN31" s="278">
        <v>0.92792125631999989</v>
      </c>
      <c r="AO31" s="278">
        <v>0.92898170412000003</v>
      </c>
      <c r="AP31" s="278">
        <v>0.92992080768000018</v>
      </c>
      <c r="AQ31" s="278">
        <v>0.93073856700000002</v>
      </c>
      <c r="AR31" s="278">
        <v>0.9314349820800002</v>
      </c>
      <c r="AS31" s="278">
        <v>0.93201005292000005</v>
      </c>
      <c r="AT31" s="278">
        <v>0.93246377951999981</v>
      </c>
      <c r="AU31" s="278">
        <v>0.93279616188000003</v>
      </c>
      <c r="AV31" s="279">
        <v>0.93300719999999981</v>
      </c>
      <c r="AW31" s="277">
        <v>0.93309689388000006</v>
      </c>
      <c r="AX31" s="278">
        <v>0.93306524351999975</v>
      </c>
      <c r="AY31" s="278">
        <v>0.93291224892000002</v>
      </c>
      <c r="AZ31" s="278">
        <v>0.93263791007999985</v>
      </c>
      <c r="BA31" s="278">
        <v>0.93224222700000003</v>
      </c>
      <c r="BB31" s="278">
        <v>0.93172519967999978</v>
      </c>
      <c r="BC31" s="278">
        <v>0.9310868281200001</v>
      </c>
      <c r="BD31" s="278">
        <v>0.93032711231999987</v>
      </c>
      <c r="BE31" s="278">
        <v>0.9294460522800001</v>
      </c>
      <c r="BF31" s="279">
        <v>0.92844364799999979</v>
      </c>
      <c r="BG31" s="279">
        <f t="shared" ref="BG31:BG80" si="0">BF31</f>
        <v>0.92844364799999979</v>
      </c>
      <c r="BH31" s="237"/>
    </row>
    <row r="32" spans="1:60" x14ac:dyDescent="0.2">
      <c r="A32" s="273">
        <v>1</v>
      </c>
      <c r="B32" s="277">
        <v>0.96200944640000008</v>
      </c>
      <c r="C32" s="278">
        <v>0.96362953250000005</v>
      </c>
      <c r="D32" s="278">
        <v>0.96521029840000006</v>
      </c>
      <c r="E32" s="278">
        <v>0.96675174409999998</v>
      </c>
      <c r="F32" s="278">
        <v>0.96825386960000004</v>
      </c>
      <c r="G32" s="278">
        <v>0.96971667490000002</v>
      </c>
      <c r="H32" s="278">
        <v>0.97114016000000003</v>
      </c>
      <c r="I32" s="278">
        <v>0.97252432490000007</v>
      </c>
      <c r="J32" s="279">
        <v>0.97386916960000003</v>
      </c>
      <c r="K32" s="277">
        <v>0.97517469410000002</v>
      </c>
      <c r="L32" s="278">
        <v>0.97644089840000003</v>
      </c>
      <c r="M32" s="278">
        <v>0.97766778250000008</v>
      </c>
      <c r="N32" s="278">
        <v>0.97885534640000005</v>
      </c>
      <c r="O32" s="278">
        <v>0.98000359010000004</v>
      </c>
      <c r="P32" s="278">
        <v>0.98111251360000007</v>
      </c>
      <c r="Q32" s="278">
        <v>0.98218211690000001</v>
      </c>
      <c r="R32" s="278">
        <v>0.9832124000000001</v>
      </c>
      <c r="S32" s="279">
        <v>0.98420336289999999</v>
      </c>
      <c r="T32" s="277">
        <v>0.98515500560000002</v>
      </c>
      <c r="U32" s="278">
        <v>0.98606732809999997</v>
      </c>
      <c r="V32" s="278">
        <v>0.98694033040000007</v>
      </c>
      <c r="W32" s="278">
        <v>0.98777401250000019</v>
      </c>
      <c r="X32" s="278">
        <v>0.98856837440000001</v>
      </c>
      <c r="Y32" s="278">
        <v>0.98932341610000007</v>
      </c>
      <c r="Z32" s="278">
        <v>0.99003913760000006</v>
      </c>
      <c r="AA32" s="278">
        <v>0.99071553889999997</v>
      </c>
      <c r="AB32" s="279">
        <v>0.99135262000000002</v>
      </c>
      <c r="AC32" s="277">
        <v>0.99195038090000009</v>
      </c>
      <c r="AD32" s="278">
        <v>0.99250882160000009</v>
      </c>
      <c r="AE32" s="278">
        <v>0.99302794210000001</v>
      </c>
      <c r="AF32" s="278">
        <v>0.99350774240000006</v>
      </c>
      <c r="AG32" s="278">
        <v>0.99394822250000014</v>
      </c>
      <c r="AH32" s="278">
        <v>0.99434938239999993</v>
      </c>
      <c r="AI32" s="278">
        <v>0.99471122209999996</v>
      </c>
      <c r="AJ32" s="278">
        <v>0.99503374160000002</v>
      </c>
      <c r="AK32" s="278">
        <v>0.99531694090000011</v>
      </c>
      <c r="AL32" s="279">
        <v>0.99556082000000001</v>
      </c>
      <c r="AM32" s="277">
        <v>0.99651510345000005</v>
      </c>
      <c r="AN32" s="278">
        <v>0.9967850358</v>
      </c>
      <c r="AO32" s="278">
        <v>0.99702053705000004</v>
      </c>
      <c r="AP32" s="278">
        <v>0.99722160720000008</v>
      </c>
      <c r="AQ32" s="278">
        <v>0.99738824625</v>
      </c>
      <c r="AR32" s="278">
        <v>0.99752045419999991</v>
      </c>
      <c r="AS32" s="278">
        <v>0.99761823104999992</v>
      </c>
      <c r="AT32" s="278">
        <v>0.99768157680000003</v>
      </c>
      <c r="AU32" s="278">
        <v>0.99771049145000013</v>
      </c>
      <c r="AV32" s="279">
        <v>0.99770497499999988</v>
      </c>
      <c r="AW32" s="277">
        <v>0.99766502745000007</v>
      </c>
      <c r="AX32" s="278">
        <v>0.99759064879999992</v>
      </c>
      <c r="AY32" s="278">
        <v>0.99748183905000021</v>
      </c>
      <c r="AZ32" s="278">
        <v>0.99733859819999993</v>
      </c>
      <c r="BA32" s="278">
        <v>0.99716092625000008</v>
      </c>
      <c r="BB32" s="278">
        <v>0.99694882319999989</v>
      </c>
      <c r="BC32" s="278">
        <v>0.99670228905000002</v>
      </c>
      <c r="BD32" s="278">
        <v>0.99642132379999993</v>
      </c>
      <c r="BE32" s="278">
        <v>0.99610592744999993</v>
      </c>
      <c r="BF32" s="279">
        <v>0.99575609999999992</v>
      </c>
      <c r="BG32" s="279">
        <f t="shared" si="0"/>
        <v>0.99575609999999992</v>
      </c>
      <c r="BH32" s="237"/>
    </row>
    <row r="33" spans="1:60" x14ac:dyDescent="0.2">
      <c r="A33" s="273">
        <v>1.5</v>
      </c>
      <c r="B33" s="277">
        <v>1.0007341888000001</v>
      </c>
      <c r="C33" s="278">
        <v>1.0010269267499998</v>
      </c>
      <c r="D33" s="278">
        <v>1.0013087710000002</v>
      </c>
      <c r="E33" s="278">
        <v>1.00157972155</v>
      </c>
      <c r="F33" s="278">
        <v>1.0018397783999999</v>
      </c>
      <c r="G33" s="278">
        <v>1.0020889415500001</v>
      </c>
      <c r="H33" s="278">
        <v>1.0023272110000001</v>
      </c>
      <c r="I33" s="278">
        <v>1.0025545867499999</v>
      </c>
      <c r="J33" s="279">
        <v>1.0027710688</v>
      </c>
      <c r="K33" s="277">
        <v>1.0029766571500001</v>
      </c>
      <c r="L33" s="278">
        <v>1.0031713518000001</v>
      </c>
      <c r="M33" s="278">
        <v>1.00335515275</v>
      </c>
      <c r="N33" s="278">
        <v>1.0035280600000001</v>
      </c>
      <c r="O33" s="278">
        <v>1.0036900735500001</v>
      </c>
      <c r="P33" s="278">
        <v>1.0038411934</v>
      </c>
      <c r="Q33" s="278">
        <v>1.0039814195500001</v>
      </c>
      <c r="R33" s="278">
        <v>1.0041107520000001</v>
      </c>
      <c r="S33" s="279">
        <v>1.0042291907500001</v>
      </c>
      <c r="T33" s="277">
        <v>1.0043367357999999</v>
      </c>
      <c r="U33" s="278">
        <v>1.0044333871500002</v>
      </c>
      <c r="V33" s="278">
        <v>1.0045191447999999</v>
      </c>
      <c r="W33" s="278">
        <v>1.00459400875</v>
      </c>
      <c r="X33" s="278">
        <v>1.0046579790000001</v>
      </c>
      <c r="Y33" s="278">
        <v>1.0047110555500001</v>
      </c>
      <c r="Z33" s="278">
        <v>1.0047532384</v>
      </c>
      <c r="AA33" s="278">
        <v>1.00478452755</v>
      </c>
      <c r="AB33" s="279">
        <v>1.004804923</v>
      </c>
      <c r="AC33" s="277">
        <v>1.0048144247499999</v>
      </c>
      <c r="AD33" s="278">
        <v>1.0048130328</v>
      </c>
      <c r="AE33" s="278">
        <v>1.00480074715</v>
      </c>
      <c r="AF33" s="278">
        <v>1.0047775678000002</v>
      </c>
      <c r="AG33" s="278">
        <v>1.00474349475</v>
      </c>
      <c r="AH33" s="278">
        <v>1.0046985279999998</v>
      </c>
      <c r="AI33" s="278">
        <v>1.00464266755</v>
      </c>
      <c r="AJ33" s="278">
        <v>1.0045759134000001</v>
      </c>
      <c r="AK33" s="278">
        <v>1.0049999999999999</v>
      </c>
      <c r="AL33" s="279">
        <v>1.0049999999999999</v>
      </c>
      <c r="AM33" s="277">
        <v>1.0050262087450001</v>
      </c>
      <c r="AN33" s="278">
        <v>1.0050159111800001</v>
      </c>
      <c r="AO33" s="278">
        <v>1.0049993913050002</v>
      </c>
      <c r="AP33" s="278">
        <v>1.0049766491200001</v>
      </c>
      <c r="AQ33" s="278">
        <v>1.0049476846250001</v>
      </c>
      <c r="AR33" s="278">
        <v>1.0049124978200001</v>
      </c>
      <c r="AS33" s="278">
        <v>1.0048710887050001</v>
      </c>
      <c r="AT33" s="278">
        <v>1.0048234572800001</v>
      </c>
      <c r="AU33" s="278">
        <v>1.004769603545</v>
      </c>
      <c r="AV33" s="279">
        <v>1.0047095275</v>
      </c>
      <c r="AW33" s="277">
        <v>1.004643229145</v>
      </c>
      <c r="AX33" s="278">
        <v>1.00457070848</v>
      </c>
      <c r="AY33" s="278">
        <v>1.0044919655050002</v>
      </c>
      <c r="AZ33" s="278">
        <v>1.0044070002200001</v>
      </c>
      <c r="BA33" s="278">
        <v>1.004315812625</v>
      </c>
      <c r="BB33" s="278">
        <v>1.0042184027200001</v>
      </c>
      <c r="BC33" s="278">
        <v>1.004114770505</v>
      </c>
      <c r="BD33" s="278">
        <v>1.0040049159800002</v>
      </c>
      <c r="BE33" s="278">
        <v>1.003888839145</v>
      </c>
      <c r="BF33" s="279">
        <v>1.00376654</v>
      </c>
      <c r="BG33" s="279">
        <f t="shared" si="0"/>
        <v>1.00376654</v>
      </c>
      <c r="BH33" s="237"/>
    </row>
    <row r="34" spans="1:60" x14ac:dyDescent="0.2">
      <c r="A34" s="280">
        <v>2</v>
      </c>
      <c r="B34" s="281">
        <v>1</v>
      </c>
      <c r="C34" s="282">
        <v>1</v>
      </c>
      <c r="D34" s="282">
        <v>1</v>
      </c>
      <c r="E34" s="282">
        <v>1</v>
      </c>
      <c r="F34" s="282">
        <v>1</v>
      </c>
      <c r="G34" s="282">
        <v>1</v>
      </c>
      <c r="H34" s="282">
        <v>1</v>
      </c>
      <c r="I34" s="282">
        <v>1</v>
      </c>
      <c r="J34" s="283">
        <v>1</v>
      </c>
      <c r="K34" s="281">
        <v>1</v>
      </c>
      <c r="L34" s="282">
        <v>1</v>
      </c>
      <c r="M34" s="282">
        <v>1</v>
      </c>
      <c r="N34" s="282">
        <v>1</v>
      </c>
      <c r="O34" s="282">
        <v>1</v>
      </c>
      <c r="P34" s="282">
        <v>1</v>
      </c>
      <c r="Q34" s="282">
        <v>1</v>
      </c>
      <c r="R34" s="282">
        <v>1</v>
      </c>
      <c r="S34" s="283">
        <v>1</v>
      </c>
      <c r="T34" s="281">
        <v>1</v>
      </c>
      <c r="U34" s="282">
        <v>1</v>
      </c>
      <c r="V34" s="282">
        <v>1</v>
      </c>
      <c r="W34" s="282">
        <v>1</v>
      </c>
      <c r="X34" s="282">
        <v>1</v>
      </c>
      <c r="Y34" s="282">
        <v>1</v>
      </c>
      <c r="Z34" s="282">
        <v>1</v>
      </c>
      <c r="AA34" s="282">
        <v>1</v>
      </c>
      <c r="AB34" s="283">
        <v>1</v>
      </c>
      <c r="AC34" s="281">
        <v>1</v>
      </c>
      <c r="AD34" s="282">
        <v>1</v>
      </c>
      <c r="AE34" s="282">
        <v>1</v>
      </c>
      <c r="AF34" s="282">
        <v>1</v>
      </c>
      <c r="AG34" s="282">
        <v>1</v>
      </c>
      <c r="AH34" s="282">
        <v>1</v>
      </c>
      <c r="AI34" s="282">
        <v>1</v>
      </c>
      <c r="AJ34" s="282">
        <v>1</v>
      </c>
      <c r="AK34" s="282">
        <v>1</v>
      </c>
      <c r="AL34" s="283">
        <v>1</v>
      </c>
      <c r="AM34" s="281">
        <v>1</v>
      </c>
      <c r="AN34" s="282">
        <v>1</v>
      </c>
      <c r="AO34" s="282">
        <v>1</v>
      </c>
      <c r="AP34" s="282">
        <v>1</v>
      </c>
      <c r="AQ34" s="282">
        <v>1</v>
      </c>
      <c r="AR34" s="282">
        <v>1</v>
      </c>
      <c r="AS34" s="282">
        <v>1</v>
      </c>
      <c r="AT34" s="282">
        <v>1</v>
      </c>
      <c r="AU34" s="282">
        <v>1</v>
      </c>
      <c r="AV34" s="283">
        <v>1</v>
      </c>
      <c r="AW34" s="281">
        <v>1</v>
      </c>
      <c r="AX34" s="282">
        <v>1</v>
      </c>
      <c r="AY34" s="282">
        <v>1</v>
      </c>
      <c r="AZ34" s="282">
        <v>1</v>
      </c>
      <c r="BA34" s="282">
        <v>1</v>
      </c>
      <c r="BB34" s="282">
        <v>1</v>
      </c>
      <c r="BC34" s="282">
        <v>1</v>
      </c>
      <c r="BD34" s="282">
        <v>1</v>
      </c>
      <c r="BE34" s="282">
        <v>1</v>
      </c>
      <c r="BF34" s="283">
        <v>1</v>
      </c>
      <c r="BG34" s="283">
        <f t="shared" si="0"/>
        <v>1</v>
      </c>
      <c r="BH34" s="237"/>
    </row>
    <row r="35" spans="1:60" x14ac:dyDescent="0.2">
      <c r="A35" s="273">
        <v>2.5</v>
      </c>
      <c r="B35" s="284">
        <v>0.98281445135428569</v>
      </c>
      <c r="C35" s="285">
        <v>0.98310235484550612</v>
      </c>
      <c r="D35" s="285">
        <v>0.98357264455091964</v>
      </c>
      <c r="E35" s="285">
        <v>0.9840638055433093</v>
      </c>
      <c r="F35" s="285">
        <v>0.98452369742912027</v>
      </c>
      <c r="G35" s="285">
        <v>0.98493793084417658</v>
      </c>
      <c r="H35" s="285">
        <v>0.98530575314865609</v>
      </c>
      <c r="I35" s="285">
        <v>0.98563112387300611</v>
      </c>
      <c r="J35" s="286">
        <v>0.98591924610172399</v>
      </c>
      <c r="K35" s="284">
        <v>0.98617521662119256</v>
      </c>
      <c r="L35" s="285">
        <v>0.98640353929760127</v>
      </c>
      <c r="M35" s="285">
        <v>0.98660799671778932</v>
      </c>
      <c r="N35" s="285">
        <v>0.98679166753491609</v>
      </c>
      <c r="O35" s="285">
        <v>0.9869569977364846</v>
      </c>
      <c r="P35" s="285">
        <v>0.98710588611638439</v>
      </c>
      <c r="Q35" s="285">
        <v>0.98723976731834584</v>
      </c>
      <c r="R35" s="285">
        <v>0.98735968618349612</v>
      </c>
      <c r="S35" s="286">
        <v>0.98746669502302453</v>
      </c>
      <c r="T35" s="284">
        <v>0.98756290768398125</v>
      </c>
      <c r="U35" s="285">
        <v>0.98765054523602647</v>
      </c>
      <c r="V35" s="285">
        <v>0.98773164012758274</v>
      </c>
      <c r="W35" s="285">
        <v>0.98780806714267577</v>
      </c>
      <c r="X35" s="285">
        <v>0.98788156904834978</v>
      </c>
      <c r="Y35" s="285">
        <v>0.98795377786362137</v>
      </c>
      <c r="Z35" s="285">
        <v>0.98802623252795674</v>
      </c>
      <c r="AA35" s="285">
        <v>0.98810039361116975</v>
      </c>
      <c r="AB35" s="286">
        <v>0.9881776555906856</v>
      </c>
      <c r="AC35" s="284">
        <v>0.9882593571255901</v>
      </c>
      <c r="AD35" s="285">
        <v>0.9883467896776571</v>
      </c>
      <c r="AE35" s="285">
        <v>0.98844120476500008</v>
      </c>
      <c r="AF35" s="285">
        <v>0.98854382008161112</v>
      </c>
      <c r="AG35" s="285">
        <v>0.98865582467364266</v>
      </c>
      <c r="AH35" s="285">
        <v>0.9887783833289232</v>
      </c>
      <c r="AI35" s="285">
        <v>0.98891264030837411</v>
      </c>
      <c r="AJ35" s="285">
        <v>0.98905972252537755</v>
      </c>
      <c r="AK35" s="285">
        <v>0.98922074226077494</v>
      </c>
      <c r="AL35" s="286">
        <v>0.98939679948618309</v>
      </c>
      <c r="AM35" s="287">
        <v>0.99063521227858609</v>
      </c>
      <c r="AN35" s="288">
        <v>0.99086533495103735</v>
      </c>
      <c r="AO35" s="288">
        <v>0.99109995620190572</v>
      </c>
      <c r="AP35" s="288">
        <v>0.99133897459876641</v>
      </c>
      <c r="AQ35" s="288">
        <v>0.9915822888614283</v>
      </c>
      <c r="AR35" s="288">
        <v>0.9918297982925095</v>
      </c>
      <c r="AS35" s="288">
        <v>0.99208140312742454</v>
      </c>
      <c r="AT35" s="288">
        <v>0.99233700481699272</v>
      </c>
      <c r="AU35" s="288">
        <v>0.9925965062536628</v>
      </c>
      <c r="AV35" s="289">
        <v>0.99285981195054718</v>
      </c>
      <c r="AW35" s="287">
        <v>0.99312682818095155</v>
      </c>
      <c r="AX35" s="288">
        <v>0.99339746308484778</v>
      </c>
      <c r="AY35" s="288">
        <v>0.99367162674770104</v>
      </c>
      <c r="AZ35" s="288">
        <v>0.99394923125620194</v>
      </c>
      <c r="BA35" s="288">
        <v>0.99423019073473595</v>
      </c>
      <c r="BB35" s="288">
        <v>0.99451442136581569</v>
      </c>
      <c r="BC35" s="288">
        <v>0.9948018413972084</v>
      </c>
      <c r="BD35" s="288">
        <v>0.99509237113804971</v>
      </c>
      <c r="BE35" s="288">
        <v>0.99538593294589472</v>
      </c>
      <c r="BF35" s="289">
        <v>0.99568245120634513</v>
      </c>
      <c r="BG35" s="289">
        <f t="shared" si="0"/>
        <v>0.99568245120634513</v>
      </c>
      <c r="BH35" s="237"/>
    </row>
    <row r="36" spans="1:60" x14ac:dyDescent="0.2">
      <c r="A36" s="273">
        <v>3</v>
      </c>
      <c r="B36" s="277">
        <v>0.96561163423278562</v>
      </c>
      <c r="C36" s="278">
        <v>0.96908004838255446</v>
      </c>
      <c r="D36" s="278">
        <v>0.97106859681398783</v>
      </c>
      <c r="E36" s="278">
        <v>0.97235038402194818</v>
      </c>
      <c r="F36" s="278">
        <v>0.97326895509772837</v>
      </c>
      <c r="G36" s="278">
        <v>0.97399084901526423</v>
      </c>
      <c r="H36" s="278">
        <v>0.97460162110156168</v>
      </c>
      <c r="I36" s="278">
        <v>0.97514684927798712</v>
      </c>
      <c r="J36" s="279">
        <v>0.97565122288924178</v>
      </c>
      <c r="K36" s="277">
        <v>0.97612803759968281</v>
      </c>
      <c r="L36" s="278">
        <v>0.97658417072880799</v>
      </c>
      <c r="M36" s="278">
        <v>0.97702279872862274</v>
      </c>
      <c r="N36" s="278">
        <v>0.97744493146856526</v>
      </c>
      <c r="O36" s="278">
        <v>0.97785030158339414</v>
      </c>
      <c r="P36" s="278">
        <v>0.97823789060217914</v>
      </c>
      <c r="Q36" s="278">
        <v>0.9786062448888222</v>
      </c>
      <c r="R36" s="278">
        <v>0.97895366718995958</v>
      </c>
      <c r="S36" s="279">
        <v>0.97927890784530491</v>
      </c>
      <c r="T36" s="277">
        <v>0.97958296088348207</v>
      </c>
      <c r="U36" s="278">
        <v>0.97986738491901848</v>
      </c>
      <c r="V36" s="278">
        <v>0.98013375335278585</v>
      </c>
      <c r="W36" s="278">
        <v>0.98038366781214703</v>
      </c>
      <c r="X36" s="278">
        <v>0.98061876472965548</v>
      </c>
      <c r="Y36" s="278">
        <v>0.98084071768975356</v>
      </c>
      <c r="Z36" s="278">
        <v>0.98105123721514575</v>
      </c>
      <c r="AA36" s="278">
        <v>0.98125206905807882</v>
      </c>
      <c r="AB36" s="279">
        <v>0.98144499167432286</v>
      </c>
      <c r="AC36" s="277">
        <v>0.98163181330837868</v>
      </c>
      <c r="AD36" s="278">
        <v>0.98181436895733831</v>
      </c>
      <c r="AE36" s="278">
        <v>0.98199451737642141</v>
      </c>
      <c r="AF36" s="278">
        <v>0.98217413822164523</v>
      </c>
      <c r="AG36" s="278">
        <v>0.98235512938148473</v>
      </c>
      <c r="AH36" s="278">
        <v>0.98253940452154565</v>
      </c>
      <c r="AI36" s="278">
        <v>0.98272889084874959</v>
      </c>
      <c r="AJ36" s="278">
        <v>0.98292552709079117</v>
      </c>
      <c r="AK36" s="278">
        <v>0.98313126168034159</v>
      </c>
      <c r="AL36" s="279">
        <v>0.98334805113008195</v>
      </c>
      <c r="AM36" s="277">
        <v>0.98469168850852162</v>
      </c>
      <c r="AN36" s="278">
        <v>0.98496946907310357</v>
      </c>
      <c r="AO36" s="278">
        <v>0.98524459108444351</v>
      </c>
      <c r="AP36" s="278">
        <v>0.98551701841537831</v>
      </c>
      <c r="AQ36" s="278">
        <v>0.98578672110581445</v>
      </c>
      <c r="AR36" s="278">
        <v>0.98605367481405426</v>
      </c>
      <c r="AS36" s="278">
        <v>0.98631786030877755</v>
      </c>
      <c r="AT36" s="278">
        <v>0.98657926300026866</v>
      </c>
      <c r="AU36" s="278">
        <v>0.98683787250901889</v>
      </c>
      <c r="AV36" s="279">
        <v>0.98709368226957006</v>
      </c>
      <c r="AW36" s="277">
        <v>0.98734668916734114</v>
      </c>
      <c r="AX36" s="278">
        <v>0.98759689320614097</v>
      </c>
      <c r="AY36" s="278">
        <v>0.98784429720410583</v>
      </c>
      <c r="AZ36" s="278">
        <v>0.98808890651587189</v>
      </c>
      <c r="BA36" s="278">
        <v>0.98833072877889516</v>
      </c>
      <c r="BB36" s="278">
        <v>0.98856977368195198</v>
      </c>
      <c r="BC36" s="278">
        <v>0.98880605275396904</v>
      </c>
      <c r="BD36" s="278">
        <v>0.98903957917147589</v>
      </c>
      <c r="BE36" s="278">
        <v>0.98927036758307929</v>
      </c>
      <c r="BF36" s="279">
        <v>0.98949843394950709</v>
      </c>
      <c r="BG36" s="279">
        <f t="shared" si="0"/>
        <v>0.98949843394950709</v>
      </c>
      <c r="BH36" s="237"/>
    </row>
    <row r="37" spans="1:60" x14ac:dyDescent="0.2">
      <c r="A37" s="273">
        <v>3.5</v>
      </c>
      <c r="B37" s="277">
        <v>0.95014656040463441</v>
      </c>
      <c r="C37" s="278">
        <v>0.95343943342032456</v>
      </c>
      <c r="D37" s="278">
        <v>0.95591361239867001</v>
      </c>
      <c r="E37" s="278">
        <v>0.95786662731011907</v>
      </c>
      <c r="F37" s="278">
        <v>0.95946724840808062</v>
      </c>
      <c r="G37" s="278">
        <v>0.96081835897072998</v>
      </c>
      <c r="H37" s="278">
        <v>0.96198605681160521</v>
      </c>
      <c r="I37" s="278">
        <v>0.96301450455370763</v>
      </c>
      <c r="J37" s="279">
        <v>0.96393409213504078</v>
      </c>
      <c r="K37" s="277">
        <v>0.96476619441173472</v>
      </c>
      <c r="L37" s="278">
        <v>0.96552607930308043</v>
      </c>
      <c r="M37" s="278">
        <v>0.96622475690292897</v>
      </c>
      <c r="N37" s="278">
        <v>0.96687019493301118</v>
      </c>
      <c r="O37" s="278">
        <v>0.96746814069603126</v>
      </c>
      <c r="P37" s="278">
        <v>0.96802269074781644</v>
      </c>
      <c r="Q37" s="278">
        <v>0.96853669428864242</v>
      </c>
      <c r="R37" s="278">
        <v>0.96901204426687848</v>
      </c>
      <c r="S37" s="279">
        <v>0.96945062526321668</v>
      </c>
      <c r="T37" s="277">
        <v>0.9698566778894856</v>
      </c>
      <c r="U37" s="278">
        <v>0.97023472031621361</v>
      </c>
      <c r="V37" s="278">
        <v>0.9705889060421794</v>
      </c>
      <c r="W37" s="278">
        <v>0.97092309453859293</v>
      </c>
      <c r="X37" s="278">
        <v>0.97124090643383465</v>
      </c>
      <c r="Y37" s="278">
        <v>0.97154576702592388</v>
      </c>
      <c r="Z37" s="278">
        <v>0.97184094088726636</v>
      </c>
      <c r="AA37" s="278">
        <v>0.97212955960405301</v>
      </c>
      <c r="AB37" s="279">
        <v>0.97241464417593415</v>
      </c>
      <c r="AC37" s="277">
        <v>0.97269912322729513</v>
      </c>
      <c r="AD37" s="278">
        <v>0.9729858479073008</v>
      </c>
      <c r="AE37" s="278">
        <v>0.97327760415290787</v>
      </c>
      <c r="AF37" s="278">
        <v>0.97357712283735065</v>
      </c>
      <c r="AG37" s="278">
        <v>0.97388708821217362</v>
      </c>
      <c r="AH37" s="278">
        <v>0.97421014496381975</v>
      </c>
      <c r="AI37" s="278">
        <v>0.97454890413902218</v>
      </c>
      <c r="AJ37" s="278">
        <v>0.97490594814165654</v>
      </c>
      <c r="AK37" s="278">
        <v>0.97528383496356785</v>
      </c>
      <c r="AL37" s="279">
        <v>0.97568510178043566</v>
      </c>
      <c r="AM37" s="277">
        <v>0.97666050422834894</v>
      </c>
      <c r="AN37" s="278">
        <v>0.97700268111085264</v>
      </c>
      <c r="AO37" s="278">
        <v>0.97734219079683238</v>
      </c>
      <c r="AP37" s="278">
        <v>0.97767912252818623</v>
      </c>
      <c r="AQ37" s="278">
        <v>0.97801355835911774</v>
      </c>
      <c r="AR37" s="278">
        <v>0.978345573996099</v>
      </c>
      <c r="AS37" s="278">
        <v>0.97867523952070523</v>
      </c>
      <c r="AT37" s="278">
        <v>0.97900262001370431</v>
      </c>
      <c r="AU37" s="278">
        <v>0.97932777609561805</v>
      </c>
      <c r="AV37" s="279">
        <v>0.97965076439637522</v>
      </c>
      <c r="AW37" s="277">
        <v>0.97997163796458986</v>
      </c>
      <c r="AX37" s="278">
        <v>0.98029044662525555</v>
      </c>
      <c r="AY37" s="278">
        <v>0.98060723729325228</v>
      </c>
      <c r="AZ37" s="278">
        <v>0.98092205424887224</v>
      </c>
      <c r="BA37" s="278">
        <v>0.98123493938062356</v>
      </c>
      <c r="BB37" s="278">
        <v>0.9815459323997543</v>
      </c>
      <c r="BC37" s="278">
        <v>0.98185507103027891</v>
      </c>
      <c r="BD37" s="278">
        <v>0.98216239117772208</v>
      </c>
      <c r="BE37" s="278">
        <v>0.98246792707933395</v>
      </c>
      <c r="BF37" s="279">
        <v>0.98277171143812914</v>
      </c>
      <c r="BG37" s="279">
        <f t="shared" si="0"/>
        <v>0.98277171143812914</v>
      </c>
      <c r="BH37" s="237"/>
    </row>
    <row r="38" spans="1:60" x14ac:dyDescent="0.2">
      <c r="A38" s="273">
        <v>4</v>
      </c>
      <c r="B38" s="277">
        <v>0.93283098772394613</v>
      </c>
      <c r="C38" s="278">
        <v>0.93823804361810337</v>
      </c>
      <c r="D38" s="278">
        <v>0.94183977586680756</v>
      </c>
      <c r="E38" s="278">
        <v>0.94449333733444374</v>
      </c>
      <c r="F38" s="278">
        <v>0.94659808059125805</v>
      </c>
      <c r="G38" s="278">
        <v>0.94835913529379579</v>
      </c>
      <c r="H38" s="278">
        <v>0.9498896814397999</v>
      </c>
      <c r="I38" s="278">
        <v>0.95125564449323585</v>
      </c>
      <c r="J38" s="279">
        <v>0.95249705638656834</v>
      </c>
      <c r="K38" s="277">
        <v>0.95363900580828209</v>
      </c>
      <c r="L38" s="278">
        <v>0.95469757842341352</v>
      </c>
      <c r="M38" s="278">
        <v>0.955683233564665</v>
      </c>
      <c r="N38" s="278">
        <v>0.95660280088043781</v>
      </c>
      <c r="O38" s="278">
        <v>0.95746070153978202</v>
      </c>
      <c r="P38" s="278">
        <v>0.95825971744487382</v>
      </c>
      <c r="Q38" s="278">
        <v>0.95900148847500988</v>
      </c>
      <c r="R38" s="278">
        <v>0.95968684145903116</v>
      </c>
      <c r="S38" s="279">
        <v>0.96031683698495418</v>
      </c>
      <c r="T38" s="277">
        <v>0.96089540011349439</v>
      </c>
      <c r="U38" s="278">
        <v>0.96142696031278063</v>
      </c>
      <c r="V38" s="278">
        <v>0.96191570301316875</v>
      </c>
      <c r="W38" s="278">
        <v>0.96236562368266443</v>
      </c>
      <c r="X38" s="278">
        <v>0.9627805673533667</v>
      </c>
      <c r="Y38" s="278">
        <v>0.96316425790263893</v>
      </c>
      <c r="Z38" s="278">
        <v>0.96352032002548071</v>
      </c>
      <c r="AA38" s="278">
        <v>0.96385229592907662</v>
      </c>
      <c r="AB38" s="279">
        <v>0.9641636581720171</v>
      </c>
      <c r="AC38" s="277">
        <v>0.96445781965627453</v>
      </c>
      <c r="AD38" s="278">
        <v>0.96473814149427373</v>
      </c>
      <c r="AE38" s="278">
        <v>0.96500793927400441</v>
      </c>
      <c r="AF38" s="278">
        <v>0.96527048810455818</v>
      </c>
      <c r="AG38" s="278">
        <v>0.96552902672426755</v>
      </c>
      <c r="AH38" s="278">
        <v>0.96578676088159388</v>
      </c>
      <c r="AI38" s="278">
        <v>0.96604686614658097</v>
      </c>
      <c r="AJ38" s="278">
        <v>0.96631249027240496</v>
      </c>
      <c r="AK38" s="278">
        <v>0.96658675519826998</v>
      </c>
      <c r="AL38" s="279">
        <v>0.96687275876386869</v>
      </c>
      <c r="AM38" s="277">
        <v>0.96853808220458304</v>
      </c>
      <c r="AN38" s="278">
        <v>0.96890564948322866</v>
      </c>
      <c r="AO38" s="278">
        <v>0.96926829985916263</v>
      </c>
      <c r="AP38" s="278">
        <v>0.9696262227671375</v>
      </c>
      <c r="AQ38" s="278">
        <v>0.96997959352371266</v>
      </c>
      <c r="AR38" s="278">
        <v>0.97032857482309465</v>
      </c>
      <c r="AS38" s="278">
        <v>0.97067331803825674</v>
      </c>
      <c r="AT38" s="278">
        <v>0.97101396435658149</v>
      </c>
      <c r="AU38" s="278">
        <v>0.97135064577434449</v>
      </c>
      <c r="AV38" s="279">
        <v>0.97168348597036747</v>
      </c>
      <c r="AW38" s="277">
        <v>0.97201260107588283</v>
      </c>
      <c r="AX38" s="278">
        <v>0.97233810035495505</v>
      </c>
      <c r="AY38" s="278">
        <v>0.97266008680757887</v>
      </c>
      <c r="AZ38" s="278">
        <v>0.97297865770572733</v>
      </c>
      <c r="BA38" s="278">
        <v>0.97329390507107993</v>
      </c>
      <c r="BB38" s="278">
        <v>0.97360591610188985</v>
      </c>
      <c r="BC38" s="278">
        <v>0.97391477355536227</v>
      </c>
      <c r="BD38" s="278">
        <v>0.97422055609101443</v>
      </c>
      <c r="BE38" s="278">
        <v>0.97452333857973705</v>
      </c>
      <c r="BF38" s="279">
        <v>0.97482319238261295</v>
      </c>
      <c r="BG38" s="279">
        <f t="shared" si="0"/>
        <v>0.97482319238261295</v>
      </c>
      <c r="BH38" s="237"/>
    </row>
    <row r="39" spans="1:60" x14ac:dyDescent="0.2">
      <c r="A39" s="280">
        <v>4.5</v>
      </c>
      <c r="B39" s="290">
        <v>0.91509617981194724</v>
      </c>
      <c r="C39" s="291">
        <v>0.92249227050121163</v>
      </c>
      <c r="D39" s="291">
        <v>0.92727051181687103</v>
      </c>
      <c r="E39" s="291">
        <v>0.93068624994043914</v>
      </c>
      <c r="F39" s="291">
        <v>0.93332530810853065</v>
      </c>
      <c r="G39" s="291">
        <v>0.93548823966766936</v>
      </c>
      <c r="H39" s="291">
        <v>0.93734031097813619</v>
      </c>
      <c r="I39" s="291">
        <v>0.93897728263131131</v>
      </c>
      <c r="J39" s="292">
        <v>0.94045690920974245</v>
      </c>
      <c r="K39" s="290">
        <v>0.9418150969509983</v>
      </c>
      <c r="L39" s="291">
        <v>0.94307466393589912</v>
      </c>
      <c r="M39" s="291">
        <v>0.94425031144229454</v>
      </c>
      <c r="N39" s="291">
        <v>0.94535155530718595</v>
      </c>
      <c r="O39" s="291">
        <v>0.94638451172566573</v>
      </c>
      <c r="P39" s="291">
        <v>0.94735301623477175</v>
      </c>
      <c r="Q39" s="291">
        <v>0.94825934232478515</v>
      </c>
      <c r="R39" s="291">
        <v>0.94910467306020385</v>
      </c>
      <c r="S39" s="292">
        <v>0.94989027131219095</v>
      </c>
      <c r="T39" s="290">
        <v>0.9506202638374539</v>
      </c>
      <c r="U39" s="291">
        <v>0.95129923431647989</v>
      </c>
      <c r="V39" s="291">
        <v>0.95193147276068113</v>
      </c>
      <c r="W39" s="291">
        <v>0.95252104824372374</v>
      </c>
      <c r="X39" s="291">
        <v>0.95307186103365871</v>
      </c>
      <c r="Y39" s="291">
        <v>0.9535876803666905</v>
      </c>
      <c r="Z39" s="291">
        <v>0.95407217209712303</v>
      </c>
      <c r="AA39" s="291">
        <v>0.95452891913343496</v>
      </c>
      <c r="AB39" s="292">
        <v>0.95496143668364253</v>
      </c>
      <c r="AC39" s="290">
        <v>0.95537318373172697</v>
      </c>
      <c r="AD39" s="291">
        <v>0.9557675717542341</v>
      </c>
      <c r="AE39" s="291">
        <v>0.95614797139983831</v>
      </c>
      <c r="AF39" s="291">
        <v>0.95651771765404692</v>
      </c>
      <c r="AG39" s="291">
        <v>0.95688011386924821</v>
      </c>
      <c r="AH39" s="291">
        <v>0.95723843493903571</v>
      </c>
      <c r="AI39" s="291">
        <v>0.9575959298228397</v>
      </c>
      <c r="AJ39" s="291">
        <v>0.9579558235740675</v>
      </c>
      <c r="AK39" s="291">
        <v>0.95832131898636752</v>
      </c>
      <c r="AL39" s="292">
        <v>0.95869559794427162</v>
      </c>
      <c r="AM39" s="281">
        <v>0.96016241695670945</v>
      </c>
      <c r="AN39" s="282">
        <v>0.96056678199433088</v>
      </c>
      <c r="AO39" s="282">
        <v>0.9609608450736582</v>
      </c>
      <c r="AP39" s="282">
        <v>0.96134487865349016</v>
      </c>
      <c r="AQ39" s="282">
        <v>0.9617191421260004</v>
      </c>
      <c r="AR39" s="282">
        <v>0.96208388294341129</v>
      </c>
      <c r="AS39" s="282">
        <v>0.96243933759877409</v>
      </c>
      <c r="AT39" s="282">
        <v>0.96278573248444466</v>
      </c>
      <c r="AU39" s="282">
        <v>0.9631232846475144</v>
      </c>
      <c r="AV39" s="283">
        <v>0.96345220245798491</v>
      </c>
      <c r="AW39" s="281">
        <v>0.96377268620271062</v>
      </c>
      <c r="AX39" s="282">
        <v>0.96408492861587369</v>
      </c>
      <c r="AY39" s="282">
        <v>0.96438911535494831</v>
      </c>
      <c r="AZ39" s="282">
        <v>0.96468542542962543</v>
      </c>
      <c r="BA39" s="282">
        <v>0.9649740315899642</v>
      </c>
      <c r="BB39" s="282">
        <v>0.96525510067903642</v>
      </c>
      <c r="BC39" s="282">
        <v>0.96552879395452718</v>
      </c>
      <c r="BD39" s="282">
        <v>0.96579526738306753</v>
      </c>
      <c r="BE39" s="282">
        <v>0.96605467191051708</v>
      </c>
      <c r="BF39" s="283">
        <v>0.96630715371095277</v>
      </c>
      <c r="BG39" s="283">
        <f t="shared" si="0"/>
        <v>0.96630715371095277</v>
      </c>
      <c r="BH39" s="237"/>
    </row>
    <row r="40" spans="1:60" x14ac:dyDescent="0.2">
      <c r="A40" s="273">
        <v>5</v>
      </c>
      <c r="B40" s="287">
        <v>0.89768275625010097</v>
      </c>
      <c r="C40" s="288">
        <v>0.90532224350757506</v>
      </c>
      <c r="D40" s="288">
        <v>0.91069547803933859</v>
      </c>
      <c r="E40" s="288">
        <v>0.91479442897065677</v>
      </c>
      <c r="F40" s="288">
        <v>0.91810604127988227</v>
      </c>
      <c r="G40" s="288">
        <v>0.92089434517854152</v>
      </c>
      <c r="H40" s="288">
        <v>0.92331348516258183</v>
      </c>
      <c r="I40" s="288">
        <v>0.92545873818678459</v>
      </c>
      <c r="J40" s="289">
        <v>0.92739171346151106</v>
      </c>
      <c r="K40" s="287">
        <v>0.92915371479628017</v>
      </c>
      <c r="L40" s="288">
        <v>0.93077324598770428</v>
      </c>
      <c r="M40" s="288">
        <v>0.93227043305216706</v>
      </c>
      <c r="N40" s="288">
        <v>0.93365973760554111</v>
      </c>
      <c r="O40" s="288">
        <v>0.93495168083004088</v>
      </c>
      <c r="P40" s="288">
        <v>0.93615397265848643</v>
      </c>
      <c r="Q40" s="288">
        <v>0.93727227151977066</v>
      </c>
      <c r="R40" s="288">
        <v>0.93831070790946058</v>
      </c>
      <c r="S40" s="289">
        <v>0.93927308890341166</v>
      </c>
      <c r="T40" s="287">
        <v>0.94016567668191253</v>
      </c>
      <c r="U40" s="288">
        <v>0.94099488439287882</v>
      </c>
      <c r="V40" s="288">
        <v>0.94176658351320519</v>
      </c>
      <c r="W40" s="288">
        <v>0.94248621033905167</v>
      </c>
      <c r="X40" s="288">
        <v>0.94315884723494137</v>
      </c>
      <c r="Y40" s="288">
        <v>0.94378928541538953</v>
      </c>
      <c r="Z40" s="288">
        <v>0.94438207403226182</v>
      </c>
      <c r="AA40" s="288">
        <v>0.94494155897968457</v>
      </c>
      <c r="AB40" s="289">
        <v>0.94547191388778107</v>
      </c>
      <c r="AC40" s="287">
        <v>0.94597716511745544</v>
      </c>
      <c r="AD40" s="288">
        <v>0.94646121210060496</v>
      </c>
      <c r="AE40" s="288">
        <v>0.94692784403389063</v>
      </c>
      <c r="AF40" s="288">
        <v>0.94738075368982066</v>
      </c>
      <c r="AG40" s="288">
        <v>0.94782354892928244</v>
      </c>
      <c r="AH40" s="288">
        <v>0.94825976236639764</v>
      </c>
      <c r="AI40" s="288">
        <v>0.94869285953666582</v>
      </c>
      <c r="AJ40" s="288">
        <v>0.94912624584384953</v>
      </c>
      <c r="AK40" s="288">
        <v>0.94956327250344408</v>
      </c>
      <c r="AL40" s="289">
        <v>0.95000724165629036</v>
      </c>
      <c r="AM40" s="287">
        <v>0.95126385409362013</v>
      </c>
      <c r="AN40" s="288">
        <v>0.95168674777075135</v>
      </c>
      <c r="AO40" s="288">
        <v>0.95209625870285797</v>
      </c>
      <c r="AP40" s="288">
        <v>0.95249286838359681</v>
      </c>
      <c r="AQ40" s="288">
        <v>0.95287702964548171</v>
      </c>
      <c r="AR40" s="288">
        <v>0.95324916916341629</v>
      </c>
      <c r="AS40" s="288">
        <v>0.95360968967076143</v>
      </c>
      <c r="AT40" s="288">
        <v>0.95395897192806611</v>
      </c>
      <c r="AU40" s="288">
        <v>0.95429737647812474</v>
      </c>
      <c r="AV40" s="289">
        <v>0.9546252452157008</v>
      </c>
      <c r="AW40" s="287">
        <v>0.95494290279590377</v>
      </c>
      <c r="AX40" s="288">
        <v>0.95525065790158215</v>
      </c>
      <c r="AY40" s="288">
        <v>0.95554880438710577</v>
      </c>
      <c r="AZ40" s="288">
        <v>0.95583762231340352</v>
      </c>
      <c r="BA40" s="288">
        <v>0.95611737888702708</v>
      </c>
      <c r="BB40" s="288">
        <v>0.95638832931425655</v>
      </c>
      <c r="BC40" s="288">
        <v>0.95665071757977571</v>
      </c>
      <c r="BD40" s="288">
        <v>0.95690477715818001</v>
      </c>
      <c r="BE40" s="288">
        <v>0.95715073166552367</v>
      </c>
      <c r="BF40" s="289">
        <v>0.95738879545718891</v>
      </c>
      <c r="BG40" s="289">
        <f t="shared" si="0"/>
        <v>0.95738879545718891</v>
      </c>
      <c r="BH40" s="237"/>
    </row>
    <row r="41" spans="1:60" x14ac:dyDescent="0.2">
      <c r="A41" s="273">
        <v>5.5</v>
      </c>
      <c r="B41" s="277">
        <v>0.88001081438342477</v>
      </c>
      <c r="C41" s="278">
        <v>0.88867441042907158</v>
      </c>
      <c r="D41" s="278">
        <v>0.89486723475403951</v>
      </c>
      <c r="E41" s="278">
        <v>0.89963987813473012</v>
      </c>
      <c r="F41" s="278">
        <v>0.90351705370313706</v>
      </c>
      <c r="G41" s="278">
        <v>0.90678825255751416</v>
      </c>
      <c r="H41" s="278">
        <v>0.90962547243892389</v>
      </c>
      <c r="I41" s="278">
        <v>0.91213693271218055</v>
      </c>
      <c r="J41" s="279">
        <v>0.91439389295139406</v>
      </c>
      <c r="K41" s="277">
        <v>0.91644502766564151</v>
      </c>
      <c r="L41" s="278">
        <v>0.9183245880698867</v>
      </c>
      <c r="M41" s="278">
        <v>0.92005726348223638</v>
      </c>
      <c r="N41" s="278">
        <v>0.92166119671629021</v>
      </c>
      <c r="O41" s="278">
        <v>0.92314992080753489</v>
      </c>
      <c r="P41" s="278">
        <v>0.92453364130266391</v>
      </c>
      <c r="Q41" s="278">
        <v>0.92582010828188266</v>
      </c>
      <c r="R41" s="278">
        <v>0.92701522366568212</v>
      </c>
      <c r="S41" s="279">
        <v>0.92812425116863029</v>
      </c>
      <c r="T41" s="277">
        <v>0.92915447010512198</v>
      </c>
      <c r="U41" s="278">
        <v>0.93011308369875001</v>
      </c>
      <c r="V41" s="278">
        <v>0.931006613991331</v>
      </c>
      <c r="W41" s="278">
        <v>0.93184103171368937</v>
      </c>
      <c r="X41" s="278">
        <v>0.93262185628044281</v>
      </c>
      <c r="Y41" s="278">
        <v>0.93335423373373716</v>
      </c>
      <c r="Z41" s="278">
        <v>0.93404299819406289</v>
      </c>
      <c r="AA41" s="278">
        <v>0.93469272082264565</v>
      </c>
      <c r="AB41" s="279">
        <v>0.93530774921884718</v>
      </c>
      <c r="AC41" s="277">
        <v>0.93589223941307353</v>
      </c>
      <c r="AD41" s="278">
        <v>0.93645018207025554</v>
      </c>
      <c r="AE41" s="278">
        <v>0.93698542412417163</v>
      </c>
      <c r="AF41" s="278">
        <v>0.93750168677392109</v>
      </c>
      <c r="AG41" s="278">
        <v>0.93800258056001751</v>
      </c>
      <c r="AH41" s="278">
        <v>0.93849161807779102</v>
      </c>
      <c r="AI41" s="278">
        <v>0.93897222476520259</v>
      </c>
      <c r="AJ41" s="278">
        <v>0.93944774811041865</v>
      </c>
      <c r="AK41" s="278">
        <v>0.93992146555402056</v>
      </c>
      <c r="AL41" s="279">
        <v>0.94039659130620779</v>
      </c>
      <c r="AM41" s="277">
        <v>0.94171208521856553</v>
      </c>
      <c r="AN41" s="278">
        <v>0.94216830680949715</v>
      </c>
      <c r="AO41" s="278">
        <v>0.94260862304017623</v>
      </c>
      <c r="AP41" s="278">
        <v>0.94303363447406763</v>
      </c>
      <c r="AQ41" s="278">
        <v>0.94344390507251108</v>
      </c>
      <c r="AR41" s="278">
        <v>0.94383996539643567</v>
      </c>
      <c r="AS41" s="278">
        <v>0.94422231544479185</v>
      </c>
      <c r="AT41" s="278">
        <v>0.94459142717957023</v>
      </c>
      <c r="AU41" s="278">
        <v>0.94494774677935389</v>
      </c>
      <c r="AV41" s="279">
        <v>0.94529169665686041</v>
      </c>
      <c r="AW41" s="277">
        <v>0.94562367727055197</v>
      </c>
      <c r="AX41" s="278">
        <v>0.94594406875593851</v>
      </c>
      <c r="AY41" s="278">
        <v>0.94625323239848802</v>
      </c>
      <c r="AZ41" s="278">
        <v>0.94655151196695064</v>
      </c>
      <c r="BA41" s="278">
        <v>0.94683923492330446</v>
      </c>
      <c r="BB41" s="278">
        <v>0.94711671352330995</v>
      </c>
      <c r="BC41" s="278">
        <v>0.94738424581983138</v>
      </c>
      <c r="BD41" s="278">
        <v>0.94764211657947128</v>
      </c>
      <c r="BE41" s="278">
        <v>0.94789059812174081</v>
      </c>
      <c r="BF41" s="279">
        <v>0.94812995108882137</v>
      </c>
      <c r="BG41" s="279">
        <f t="shared" si="0"/>
        <v>0.94812995108882137</v>
      </c>
      <c r="BH41" s="237"/>
    </row>
    <row r="42" spans="1:60" x14ac:dyDescent="0.2">
      <c r="A42" s="273">
        <v>6</v>
      </c>
      <c r="B42" s="277">
        <v>0.86211362561427496</v>
      </c>
      <c r="C42" s="278">
        <v>0.87187713001086797</v>
      </c>
      <c r="D42" s="278">
        <v>0.87870830229904628</v>
      </c>
      <c r="E42" s="278">
        <v>0.88393675918581494</v>
      </c>
      <c r="F42" s="278">
        <v>0.88819558752996552</v>
      </c>
      <c r="G42" s="278">
        <v>0.89181828936955521</v>
      </c>
      <c r="H42" s="278">
        <v>0.89499451609178149</v>
      </c>
      <c r="I42" s="278">
        <v>0.89783884080279863</v>
      </c>
      <c r="J42" s="279">
        <v>0.9004239800845607</v>
      </c>
      <c r="K42" s="277">
        <v>0.90279802103342344</v>
      </c>
      <c r="L42" s="278">
        <v>0.90499388482061272</v>
      </c>
      <c r="M42" s="278">
        <v>0.90703478173396868</v>
      </c>
      <c r="N42" s="278">
        <v>0.90893748708253164</v>
      </c>
      <c r="O42" s="278">
        <v>0.91071437951549061</v>
      </c>
      <c r="P42" s="278">
        <v>0.91237474948692954</v>
      </c>
      <c r="Q42" s="278">
        <v>0.91392566288586419</v>
      </c>
      <c r="R42" s="278">
        <v>0.91537254553797498</v>
      </c>
      <c r="S42" s="279">
        <v>0.91672027867762884</v>
      </c>
      <c r="T42" s="277">
        <v>0.91797556476879205</v>
      </c>
      <c r="U42" s="278">
        <v>0.91914507319334848</v>
      </c>
      <c r="V42" s="278">
        <v>0.92023490007725373</v>
      </c>
      <c r="W42" s="278">
        <v>0.92125067882057932</v>
      </c>
      <c r="X42" s="278">
        <v>0.92219766363331901</v>
      </c>
      <c r="Y42" s="278">
        <v>0.9230807935993337</v>
      </c>
      <c r="Z42" s="278">
        <v>0.92390474248982557</v>
      </c>
      <c r="AA42" s="278">
        <v>0.92467395800451735</v>
      </c>
      <c r="AB42" s="279">
        <v>0.92539269306767846</v>
      </c>
      <c r="AC42" s="277">
        <v>0.92606503107995652</v>
      </c>
      <c r="AD42" s="278">
        <v>0.92669490651849495</v>
      </c>
      <c r="AE42" s="278">
        <v>0.92728612191721482</v>
      </c>
      <c r="AF42" s="278">
        <v>0.92784236200042891</v>
      </c>
      <c r="AG42" s="278">
        <v>0.92836720555518248</v>
      </c>
      <c r="AH42" s="278">
        <v>0.92886413549002944</v>
      </c>
      <c r="AI42" s="278">
        <v>0.92933654742593985</v>
      </c>
      <c r="AJ42" s="278">
        <v>0.92978775708871775</v>
      </c>
      <c r="AK42" s="278">
        <v>0.93022100671471608</v>
      </c>
      <c r="AL42" s="279">
        <v>0.93063947063774688</v>
      </c>
      <c r="AM42" s="277">
        <v>0.93231126721819979</v>
      </c>
      <c r="AN42" s="278">
        <v>0.93279168954319835</v>
      </c>
      <c r="AO42" s="278">
        <v>0.93325068492149632</v>
      </c>
      <c r="AP42" s="278">
        <v>0.93368903211866916</v>
      </c>
      <c r="AQ42" s="278">
        <v>0.93410746582132276</v>
      </c>
      <c r="AR42" s="278">
        <v>0.93450668023531447</v>
      </c>
      <c r="AS42" s="278">
        <v>0.93488733229593857</v>
      </c>
      <c r="AT42" s="278">
        <v>0.93525004454165694</v>
      </c>
      <c r="AU42" s="278">
        <v>0.93559540769492822</v>
      </c>
      <c r="AV42" s="279">
        <v>0.93592398298703983</v>
      </c>
      <c r="AW42" s="277">
        <v>0.93623630425840587</v>
      </c>
      <c r="AX42" s="278">
        <v>0.93653287986120548</v>
      </c>
      <c r="AY42" s="278">
        <v>0.93681419438745628</v>
      </c>
      <c r="AZ42" s="278">
        <v>0.93708071024241468</v>
      </c>
      <c r="BA42" s="278">
        <v>0.93733286908051638</v>
      </c>
      <c r="BB42" s="278">
        <v>0.93757109311879028</v>
      </c>
      <c r="BC42" s="278">
        <v>0.93779578634076266</v>
      </c>
      <c r="BD42" s="278">
        <v>0.93800733560221172</v>
      </c>
      <c r="BE42" s="278">
        <v>0.93820611164874257</v>
      </c>
      <c r="BF42" s="279">
        <v>0.93839247005393289</v>
      </c>
      <c r="BG42" s="279">
        <f t="shared" si="0"/>
        <v>0.93839247005393289</v>
      </c>
      <c r="BH42" s="237"/>
    </row>
    <row r="43" spans="1:60" x14ac:dyDescent="0.2">
      <c r="A43" s="273">
        <v>6.5</v>
      </c>
      <c r="B43" s="277">
        <v>0.84440038294764141</v>
      </c>
      <c r="C43" s="278">
        <v>0.85474224967943591</v>
      </c>
      <c r="D43" s="278">
        <v>0.86232762654835937</v>
      </c>
      <c r="E43" s="278">
        <v>0.86830190093154547</v>
      </c>
      <c r="F43" s="278">
        <v>0.87323944618521676</v>
      </c>
      <c r="G43" s="278">
        <v>0.87745947684010028</v>
      </c>
      <c r="H43" s="278">
        <v>0.88115365532756895</v>
      </c>
      <c r="I43" s="278">
        <v>0.88444423007563555</v>
      </c>
      <c r="J43" s="279">
        <v>0.88741305429979445</v>
      </c>
      <c r="K43" s="277">
        <v>0.89011715358125987</v>
      </c>
      <c r="L43" s="278">
        <v>0.89259758259092592</v>
      </c>
      <c r="M43" s="278">
        <v>0.89488471674180503</v>
      </c>
      <c r="N43" s="278">
        <v>0.8970015480702872</v>
      </c>
      <c r="O43" s="278">
        <v>0.89896581302287304</v>
      </c>
      <c r="P43" s="278">
        <v>0.90079140984112849</v>
      </c>
      <c r="Q43" s="278">
        <v>0.90248936919090472</v>
      </c>
      <c r="R43" s="278">
        <v>0.90406853541627408</v>
      </c>
      <c r="S43" s="279">
        <v>0.90553663942109708</v>
      </c>
      <c r="T43" s="277">
        <v>0.90690241550276851</v>
      </c>
      <c r="U43" s="278">
        <v>0.90817412645731066</v>
      </c>
      <c r="V43" s="278">
        <v>0.90935918057398135</v>
      </c>
      <c r="W43" s="278">
        <v>0.91046428457084072</v>
      </c>
      <c r="X43" s="278">
        <v>0.9114955626512683</v>
      </c>
      <c r="Y43" s="278">
        <v>0.91245865035956408</v>
      </c>
      <c r="Z43" s="278">
        <v>0.91335876943276706</v>
      </c>
      <c r="AA43" s="278">
        <v>0.91420078813928896</v>
      </c>
      <c r="AB43" s="279">
        <v>0.91498927040280231</v>
      </c>
      <c r="AC43" s="277">
        <v>0.91572851616487361</v>
      </c>
      <c r="AD43" s="278">
        <v>0.91642259483294297</v>
      </c>
      <c r="AE43" s="278">
        <v>0.91707537321881627</v>
      </c>
      <c r="AF43" s="278">
        <v>0.91769053904800757</v>
      </c>
      <c r="AG43" s="278">
        <v>0.91827162087858494</v>
      </c>
      <c r="AH43" s="278">
        <v>0.91882200508650735</v>
      </c>
      <c r="AI43" s="278">
        <v>0.91934495043652931</v>
      </c>
      <c r="AJ43" s="278">
        <v>0.919843600652131</v>
      </c>
      <c r="AK43" s="278">
        <v>0.92032099531629996</v>
      </c>
      <c r="AL43" s="279">
        <v>0.92078007937141049</v>
      </c>
      <c r="AM43" s="277">
        <v>0.92235852936509743</v>
      </c>
      <c r="AN43" s="278">
        <v>0.92285743237859286</v>
      </c>
      <c r="AO43" s="278">
        <v>0.9233337747088779</v>
      </c>
      <c r="AP43" s="278">
        <v>0.92378848203232578</v>
      </c>
      <c r="AQ43" s="278">
        <v>0.92422242250655884</v>
      </c>
      <c r="AR43" s="278">
        <v>0.92463641169894062</v>
      </c>
      <c r="AS43" s="278">
        <v>0.9250312169779551</v>
      </c>
      <c r="AT43" s="278">
        <v>0.92540756143788372</v>
      </c>
      <c r="AU43" s="278">
        <v>0.92576612741650433</v>
      </c>
      <c r="AV43" s="279">
        <v>0.92610755965667979</v>
      </c>
      <c r="AW43" s="277">
        <v>0.92643246815532787</v>
      </c>
      <c r="AX43" s="278">
        <v>0.92674143073709581</v>
      </c>
      <c r="AY43" s="278">
        <v>0.92703499538488343</v>
      </c>
      <c r="AZ43" s="278">
        <v>0.92731368235499201</v>
      </c>
      <c r="BA43" s="278">
        <v>0.92757798610098074</v>
      </c>
      <c r="BB43" s="278">
        <v>0.92782837702717735</v>
      </c>
      <c r="BC43" s="278">
        <v>0.92806530309011304</v>
      </c>
      <c r="BD43" s="278">
        <v>0.92828919126386145</v>
      </c>
      <c r="BE43" s="278">
        <v>0.92850044888330929</v>
      </c>
      <c r="BF43" s="279">
        <v>0.92869946487769173</v>
      </c>
      <c r="BG43" s="279">
        <f t="shared" si="0"/>
        <v>0.92869946487769173</v>
      </c>
      <c r="BH43" s="237"/>
    </row>
    <row r="44" spans="1:60" x14ac:dyDescent="0.2">
      <c r="A44" s="280">
        <v>7</v>
      </c>
      <c r="B44" s="281">
        <v>0.82736784106306793</v>
      </c>
      <c r="C44" s="282">
        <v>0.8374593394802724</v>
      </c>
      <c r="D44" s="282">
        <v>0.84561821101286339</v>
      </c>
      <c r="E44" s="282">
        <v>0.85237463408341441</v>
      </c>
      <c r="F44" s="282">
        <v>0.85808184960755685</v>
      </c>
      <c r="G44" s="282">
        <v>0.8629827710677378</v>
      </c>
      <c r="H44" s="282">
        <v>0.86724968281731074</v>
      </c>
      <c r="I44" s="282">
        <v>0.87100813611431849</v>
      </c>
      <c r="J44" s="283">
        <v>0.87435177302139344</v>
      </c>
      <c r="K44" s="281">
        <v>0.87735182694206526</v>
      </c>
      <c r="L44" s="282">
        <v>0.88006340067175848</v>
      </c>
      <c r="M44" s="282">
        <v>0.88252973112010058</v>
      </c>
      <c r="N44" s="282">
        <v>0.88478515849350114</v>
      </c>
      <c r="O44" s="282">
        <v>0.88685723917612791</v>
      </c>
      <c r="P44" s="282">
        <v>0.88876827880888898</v>
      </c>
      <c r="Q44" s="282">
        <v>0.89053646418359667</v>
      </c>
      <c r="R44" s="282">
        <v>0.89217671207906957</v>
      </c>
      <c r="S44" s="283">
        <v>0.8937017809956368</v>
      </c>
      <c r="T44" s="281">
        <v>0.89512417264254351</v>
      </c>
      <c r="U44" s="282">
        <v>0.89645512989286935</v>
      </c>
      <c r="V44" s="282">
        <v>0.89770447513523355</v>
      </c>
      <c r="W44" s="282">
        <v>0.89888085117011907</v>
      </c>
      <c r="X44" s="282">
        <v>0.89999191449576432</v>
      </c>
      <c r="Y44" s="282">
        <v>0.90104449167405298</v>
      </c>
      <c r="Z44" s="282">
        <v>0.90204470679499682</v>
      </c>
      <c r="AA44" s="282">
        <v>0.90299808611814836</v>
      </c>
      <c r="AB44" s="283">
        <v>0.90390964454390976</v>
      </c>
      <c r="AC44" s="281">
        <v>0.90478395750918095</v>
      </c>
      <c r="AD44" s="282">
        <v>0.90562522110781218</v>
      </c>
      <c r="AE44" s="282">
        <v>0.90643730263512878</v>
      </c>
      <c r="AF44" s="282">
        <v>0.90722378329658537</v>
      </c>
      <c r="AG44" s="282">
        <v>0.90798799446692702</v>
      </c>
      <c r="AH44" s="282">
        <v>0.90873304861174464</v>
      </c>
      <c r="AI44" s="282">
        <v>0.90946186576868893</v>
      </c>
      <c r="AJ44" s="282">
        <v>0.9101771963166837</v>
      </c>
      <c r="AK44" s="282">
        <v>0.91088164062761001</v>
      </c>
      <c r="AL44" s="283">
        <v>0.9115776660882321</v>
      </c>
      <c r="AM44" s="281">
        <v>0.91223279045828765</v>
      </c>
      <c r="AN44" s="282">
        <v>0.9127607458068453</v>
      </c>
      <c r="AO44" s="282">
        <v>0.91326497676750718</v>
      </c>
      <c r="AP44" s="282">
        <v>0.91374655221081835</v>
      </c>
      <c r="AQ44" s="282">
        <v>0.91420647067338023</v>
      </c>
      <c r="AR44" s="282">
        <v>0.91464566652691037</v>
      </c>
      <c r="AS44" s="282">
        <v>0.91506501547459118</v>
      </c>
      <c r="AT44" s="282">
        <v>0.91546533946176156</v>
      </c>
      <c r="AU44" s="282">
        <v>0.91584741107506129</v>
      </c>
      <c r="AV44" s="283">
        <v>0.91621195749335138</v>
      </c>
      <c r="AW44" s="281">
        <v>0.9165596640447079</v>
      </c>
      <c r="AX44" s="282">
        <v>0.91689117741621717</v>
      </c>
      <c r="AY44" s="282">
        <v>0.91720710855691223</v>
      </c>
      <c r="AZ44" s="282">
        <v>0.91750803530878078</v>
      </c>
      <c r="BA44" s="282">
        <v>0.91779450479620128</v>
      </c>
      <c r="BB44" s="282">
        <v>0.91806703560023584</v>
      </c>
      <c r="BC44" s="282">
        <v>0.91832611974088463</v>
      </c>
      <c r="BD44" s="282">
        <v>0.91857222448753417</v>
      </c>
      <c r="BE44" s="282">
        <v>0.91880579401536355</v>
      </c>
      <c r="BF44" s="283">
        <v>0.91902725092336157</v>
      </c>
      <c r="BG44" s="283">
        <f t="shared" si="0"/>
        <v>0.91902725092336157</v>
      </c>
      <c r="BH44" s="237"/>
    </row>
    <row r="45" spans="1:60" x14ac:dyDescent="0.2">
      <c r="A45" s="273">
        <v>7.5</v>
      </c>
      <c r="B45" s="284">
        <v>0.80927686460426473</v>
      </c>
      <c r="C45" s="285">
        <v>0.81982523404042329</v>
      </c>
      <c r="D45" s="285">
        <v>0.82851163300108532</v>
      </c>
      <c r="E45" s="285">
        <v>0.83580744032047827</v>
      </c>
      <c r="F45" s="285">
        <v>0.84203995505214435</v>
      </c>
      <c r="G45" s="285">
        <v>0.84744058519492882</v>
      </c>
      <c r="H45" s="285">
        <v>0.85217696972349677</v>
      </c>
      <c r="I45" s="285">
        <v>0.85637343069827265</v>
      </c>
      <c r="J45" s="286">
        <v>0.86012411678685285</v>
      </c>
      <c r="K45" s="284">
        <v>0.86350164148068576</v>
      </c>
      <c r="L45" s="285">
        <v>0.86656290306466011</v>
      </c>
      <c r="M45" s="285">
        <v>0.86935310096101615</v>
      </c>
      <c r="N45" s="285">
        <v>0.87190856945377915</v>
      </c>
      <c r="O45" s="285">
        <v>0.87425881763561886</v>
      </c>
      <c r="P45" s="285">
        <v>0.87642802484872839</v>
      </c>
      <c r="Q45" s="285">
        <v>0.87843615508232198</v>
      </c>
      <c r="R45" s="285">
        <v>0.8802997998178943</v>
      </c>
      <c r="S45" s="286">
        <v>0.88203317015421057</v>
      </c>
      <c r="T45" s="284">
        <v>0.88364964116568556</v>
      </c>
      <c r="U45" s="285">
        <v>0.88516111471577441</v>
      </c>
      <c r="V45" s="285">
        <v>0.88657798457270276</v>
      </c>
      <c r="W45" s="285">
        <v>0.88790938429536226</v>
      </c>
      <c r="X45" s="285">
        <v>0.88916338729960409</v>
      </c>
      <c r="Y45" s="285">
        <v>0.89034716962371496</v>
      </c>
      <c r="Z45" s="285">
        <v>0.89146714333051236</v>
      </c>
      <c r="AA45" s="285">
        <v>0.89252906659718234</v>
      </c>
      <c r="AB45" s="286">
        <v>0.89353813515007963</v>
      </c>
      <c r="AC45" s="284">
        <v>0.89449905866078616</v>
      </c>
      <c r="AD45" s="285">
        <v>0.89541612493485057</v>
      </c>
      <c r="AE45" s="285">
        <v>0.89629325412732441</v>
      </c>
      <c r="AF45" s="285">
        <v>0.89713404476081071</v>
      </c>
      <c r="AG45" s="285">
        <v>0.89794181296703524</v>
      </c>
      <c r="AH45" s="285">
        <v>0.89871962609647937</v>
      </c>
      <c r="AI45" s="285">
        <v>0.89947033162350043</v>
      </c>
      <c r="AJ45" s="285">
        <v>0.90019658210278319</v>
      </c>
      <c r="AK45" s="285">
        <v>0.90090085679646503</v>
      </c>
      <c r="AL45" s="286">
        <v>0.90158548048203124</v>
      </c>
      <c r="AM45" s="287">
        <v>0.90232430975051803</v>
      </c>
      <c r="AN45" s="288">
        <v>0.902867371984859</v>
      </c>
      <c r="AO45" s="288">
        <v>0.90338279484162076</v>
      </c>
      <c r="AP45" s="288">
        <v>0.90387186023895716</v>
      </c>
      <c r="AQ45" s="288">
        <v>0.90433576574175134</v>
      </c>
      <c r="AR45" s="288">
        <v>0.9047756318631609</v>
      </c>
      <c r="AS45" s="288">
        <v>0.90519250858508737</v>
      </c>
      <c r="AT45" s="288">
        <v>0.90558738119650417</v>
      </c>
      <c r="AU45" s="288">
        <v>0.90596117553418232</v>
      </c>
      <c r="AV45" s="289">
        <v>0.90631476269830313</v>
      </c>
      <c r="AW45" s="287">
        <v>0.90664896330534162</v>
      </c>
      <c r="AX45" s="288">
        <v>0.90696455133206599</v>
      </c>
      <c r="AY45" s="288">
        <v>0.90726225759730239</v>
      </c>
      <c r="AZ45" s="288">
        <v>0.9075427729219655</v>
      </c>
      <c r="BA45" s="288">
        <v>0.90780675100265673</v>
      </c>
      <c r="BB45" s="288">
        <v>0.90805481102965735</v>
      </c>
      <c r="BC45" s="288">
        <v>0.90828754007632218</v>
      </c>
      <c r="BD45" s="288">
        <v>0.90850549528359004</v>
      </c>
      <c r="BE45" s="288">
        <v>0.90870920586048876</v>
      </c>
      <c r="BF45" s="289">
        <v>0.90889917491905514</v>
      </c>
      <c r="BG45" s="289">
        <f t="shared" si="0"/>
        <v>0.90889917491905514</v>
      </c>
      <c r="BH45" s="237"/>
    </row>
    <row r="46" spans="1:60" x14ac:dyDescent="0.2">
      <c r="A46" s="273">
        <v>8</v>
      </c>
      <c r="B46" s="277">
        <v>0.79160020921395735</v>
      </c>
      <c r="C46" s="278">
        <v>0.80323884164869697</v>
      </c>
      <c r="D46" s="278">
        <v>0.81243692022759484</v>
      </c>
      <c r="E46" s="278">
        <v>0.82002597792000098</v>
      </c>
      <c r="F46" s="278">
        <v>0.82647439276490908</v>
      </c>
      <c r="G46" s="278">
        <v>0.83207119603245783</v>
      </c>
      <c r="H46" s="278">
        <v>0.83700698996015144</v>
      </c>
      <c r="I46" s="278">
        <v>0.84141396163033499</v>
      </c>
      <c r="J46" s="279">
        <v>0.84538747104657641</v>
      </c>
      <c r="K46" s="277">
        <v>0.84899851696010731</v>
      </c>
      <c r="L46" s="278">
        <v>0.85230133869968672</v>
      </c>
      <c r="M46" s="278">
        <v>0.85533826427811976</v>
      </c>
      <c r="N46" s="278">
        <v>0.85814292034071349</v>
      </c>
      <c r="O46" s="278">
        <v>0.86074242615997776</v>
      </c>
      <c r="P46" s="278">
        <v>0.86315893477859051</v>
      </c>
      <c r="Q46" s="278">
        <v>0.8654107415709108</v>
      </c>
      <c r="R46" s="278">
        <v>0.86751309840915569</v>
      </c>
      <c r="S46" s="279">
        <v>0.86947905410975068</v>
      </c>
      <c r="T46" s="277">
        <v>0.87132061553061968</v>
      </c>
      <c r="U46" s="278">
        <v>0.87304841656172194</v>
      </c>
      <c r="V46" s="278">
        <v>0.87467176559204285</v>
      </c>
      <c r="W46" s="278">
        <v>0.87619886526393531</v>
      </c>
      <c r="X46" s="278">
        <v>0.87763698818781777</v>
      </c>
      <c r="Y46" s="278">
        <v>0.87899261883914515</v>
      </c>
      <c r="Z46" s="278">
        <v>0.88027156918907334</v>
      </c>
      <c r="AA46" s="278">
        <v>0.88147907371920897</v>
      </c>
      <c r="AB46" s="279">
        <v>0.88261986809840132</v>
      </c>
      <c r="AC46" s="277">
        <v>0.88369825479582376</v>
      </c>
      <c r="AD46" s="278">
        <v>0.88471815816168375</v>
      </c>
      <c r="AE46" s="278">
        <v>0.88568317095090365</v>
      </c>
      <c r="AF46" s="278">
        <v>0.88659659384468381</v>
      </c>
      <c r="AG46" s="278">
        <v>0.88746146920388125</v>
      </c>
      <c r="AH46" s="278">
        <v>0.88828061004085257</v>
      </c>
      <c r="AI46" s="278">
        <v>0.88905662500432103</v>
      </c>
      <c r="AJ46" s="278">
        <v>0.8897919400213945</v>
      </c>
      <c r="AK46" s="278">
        <v>0.89048881712223305</v>
      </c>
      <c r="AL46" s="279">
        <v>0.89114937087857071</v>
      </c>
      <c r="AM46" s="277">
        <v>0.89219369239895396</v>
      </c>
      <c r="AN46" s="278">
        <v>0.89277979442010524</v>
      </c>
      <c r="AO46" s="278">
        <v>0.89333180991885586</v>
      </c>
      <c r="AP46" s="278">
        <v>0.89385115562211925</v>
      </c>
      <c r="AQ46" s="278">
        <v>0.89433916305863648</v>
      </c>
      <c r="AR46" s="278">
        <v>0.89479708552035131</v>
      </c>
      <c r="AS46" s="278">
        <v>0.8952261043026013</v>
      </c>
      <c r="AT46" s="278">
        <v>0.89562733431322661</v>
      </c>
      <c r="AU46" s="278">
        <v>0.89600182912760029</v>
      </c>
      <c r="AV46" s="279">
        <v>0.89635058555564295</v>
      </c>
      <c r="AW46" s="277">
        <v>0.89667454777771038</v>
      </c>
      <c r="AX46" s="278">
        <v>0.89697461109850818</v>
      </c>
      <c r="AY46" s="278">
        <v>0.89725162536165681</v>
      </c>
      <c r="AZ46" s="278">
        <v>0.89750639806197563</v>
      </c>
      <c r="BA46" s="278">
        <v>0.89773969718783242</v>
      </c>
      <c r="BB46" s="278">
        <v>0.89795225382185939</v>
      </c>
      <c r="BC46" s="278">
        <v>0.89814476452487058</v>
      </c>
      <c r="BD46" s="278">
        <v>0.8983178935248366</v>
      </c>
      <c r="BE46" s="278">
        <v>0.89847227473018898</v>
      </c>
      <c r="BF46" s="279">
        <v>0.89860851358450988</v>
      </c>
      <c r="BG46" s="279">
        <f t="shared" si="0"/>
        <v>0.89860851358450988</v>
      </c>
      <c r="BH46" s="237"/>
    </row>
    <row r="47" spans="1:60" x14ac:dyDescent="0.2">
      <c r="A47" s="273">
        <v>8.5</v>
      </c>
      <c r="B47" s="277">
        <v>0.77529265975166417</v>
      </c>
      <c r="C47" s="278">
        <v>0.7868106524601618</v>
      </c>
      <c r="D47" s="278">
        <v>0.79617539064766507</v>
      </c>
      <c r="E47" s="278">
        <v>0.80407877751454349</v>
      </c>
      <c r="F47" s="278">
        <v>0.81091462088398625</v>
      </c>
      <c r="G47" s="278">
        <v>0.81692990809402721</v>
      </c>
      <c r="H47" s="278">
        <v>0.82229070438935081</v>
      </c>
      <c r="I47" s="278">
        <v>0.82711462191565155</v>
      </c>
      <c r="J47" s="279">
        <v>0.83148836060415243</v>
      </c>
      <c r="K47" s="277">
        <v>0.8354778870592543</v>
      </c>
      <c r="L47" s="278">
        <v>0.83913468877952047</v>
      </c>
      <c r="M47" s="278">
        <v>0.84249980057927298</v>
      </c>
      <c r="N47" s="278">
        <v>0.84560649931224741</v>
      </c>
      <c r="O47" s="278">
        <v>0.8484821673173496</v>
      </c>
      <c r="P47" s="278">
        <v>0.85114961751457285</v>
      </c>
      <c r="Q47" s="278">
        <v>0.85362805865713198</v>
      </c>
      <c r="R47" s="278">
        <v>0.85593381336429408</v>
      </c>
      <c r="S47" s="279">
        <v>0.8580809926516596</v>
      </c>
      <c r="T47" s="277">
        <v>0.8600823086945546</v>
      </c>
      <c r="U47" s="278">
        <v>0.86194901438068972</v>
      </c>
      <c r="V47" s="278">
        <v>0.86369103156570715</v>
      </c>
      <c r="W47" s="278">
        <v>0.865317157709104</v>
      </c>
      <c r="X47" s="278">
        <v>0.86683523307943933</v>
      </c>
      <c r="Y47" s="278">
        <v>0.86825227735747335</v>
      </c>
      <c r="Z47" s="278">
        <v>0.86957460221934046</v>
      </c>
      <c r="AA47" s="278">
        <v>0.87080790487033044</v>
      </c>
      <c r="AB47" s="279">
        <v>0.87195734632729816</v>
      </c>
      <c r="AC47" s="277">
        <v>0.87302761738333379</v>
      </c>
      <c r="AD47" s="278">
        <v>0.87402299454342702</v>
      </c>
      <c r="AE47" s="278">
        <v>0.87494738773328029</v>
      </c>
      <c r="AF47" s="278">
        <v>0.8758043812125571</v>
      </c>
      <c r="AG47" s="278">
        <v>0.87659726883837996</v>
      </c>
      <c r="AH47" s="278">
        <v>0.87732908460324333</v>
      </c>
      <c r="AI47" s="278">
        <v>0.87800262919791805</v>
      </c>
      <c r="AJ47" s="278">
        <v>0.87862049321295066</v>
      </c>
      <c r="AK47" s="278">
        <v>0.87918507748344377</v>
      </c>
      <c r="AL47" s="279">
        <v>0.87969861099462876</v>
      </c>
      <c r="AM47" s="277">
        <v>0.88149422983925207</v>
      </c>
      <c r="AN47" s="278">
        <v>0.88209493709513676</v>
      </c>
      <c r="AO47" s="278">
        <v>0.88266202405463212</v>
      </c>
      <c r="AP47" s="278">
        <v>0.88319709472201369</v>
      </c>
      <c r="AQ47" s="278">
        <v>0.88370164777762372</v>
      </c>
      <c r="AR47" s="278">
        <v>0.88417708554574792</v>
      </c>
      <c r="AS47" s="278">
        <v>0.88462472202547515</v>
      </c>
      <c r="AT47" s="278">
        <v>0.88504579010006912</v>
      </c>
      <c r="AU47" s="278">
        <v>0.88544144802404934</v>
      </c>
      <c r="AV47" s="279">
        <v>0.88581278527341645</v>
      </c>
      <c r="AW47" s="277">
        <v>0.88616082783286643</v>
      </c>
      <c r="AX47" s="278">
        <v>0.88648654298399521</v>
      </c>
      <c r="AY47" s="278">
        <v>0.88679084365013927</v>
      </c>
      <c r="AZ47" s="278">
        <v>0.88707459234636754</v>
      </c>
      <c r="BA47" s="278">
        <v>0.8873386047770373</v>
      </c>
      <c r="BB47" s="278">
        <v>0.8875836531180874</v>
      </c>
      <c r="BC47" s="278">
        <v>0.88781046901673599</v>
      </c>
      <c r="BD47" s="278">
        <v>0.88801974633735192</v>
      </c>
      <c r="BE47" s="278">
        <v>0.88821214367890289</v>
      </c>
      <c r="BF47" s="279">
        <v>0.88838828668645753</v>
      </c>
      <c r="BG47" s="279">
        <f t="shared" si="0"/>
        <v>0.88838828668645753</v>
      </c>
      <c r="BH47" s="237"/>
    </row>
    <row r="48" spans="1:60" x14ac:dyDescent="0.2">
      <c r="A48" s="273">
        <v>9</v>
      </c>
      <c r="B48" s="277">
        <v>0.75812848167727176</v>
      </c>
      <c r="C48" s="278">
        <v>0.77014127262768406</v>
      </c>
      <c r="D48" s="278">
        <v>0.78003671295881971</v>
      </c>
      <c r="E48" s="278">
        <v>0.78843177181948754</v>
      </c>
      <c r="F48" s="278">
        <v>0.79570188556885635</v>
      </c>
      <c r="G48" s="278">
        <v>0.8020940867749633</v>
      </c>
      <c r="H48" s="278">
        <v>0.80778032494288809</v>
      </c>
      <c r="I48" s="278">
        <v>0.81288547501206543</v>
      </c>
      <c r="J48" s="279">
        <v>0.81750328045100651</v>
      </c>
      <c r="K48" s="277">
        <v>0.82170600977722974</v>
      </c>
      <c r="L48" s="278">
        <v>0.82555060219725063</v>
      </c>
      <c r="M48" s="278">
        <v>0.82908274020608275</v>
      </c>
      <c r="N48" s="278">
        <v>0.8323396408191559</v>
      </c>
      <c r="O48" s="278">
        <v>0.83535202385600604</v>
      </c>
      <c r="P48" s="278">
        <v>0.83814553420920335</v>
      </c>
      <c r="Q48" s="278">
        <v>0.84074179155089235</v>
      </c>
      <c r="R48" s="278">
        <v>0.84315917955912212</v>
      </c>
      <c r="S48" s="279">
        <v>0.845413499038699</v>
      </c>
      <c r="T48" s="277">
        <v>0.84751858646102363</v>
      </c>
      <c r="U48" s="278">
        <v>0.84948653304100852</v>
      </c>
      <c r="V48" s="278">
        <v>0.85132792671954405</v>
      </c>
      <c r="W48" s="278">
        <v>0.85305208647134878</v>
      </c>
      <c r="X48" s="278">
        <v>0.85466725236268293</v>
      </c>
      <c r="Y48" s="278">
        <v>0.85618074108363917</v>
      </c>
      <c r="Z48" s="278">
        <v>0.85759907426241966</v>
      </c>
      <c r="AA48" s="278">
        <v>0.85892808511749297</v>
      </c>
      <c r="AB48" s="279">
        <v>0.86017300771770899</v>
      </c>
      <c r="AC48" s="277">
        <v>0.86133855216512978</v>
      </c>
      <c r="AD48" s="278">
        <v>0.86242896829760241</v>
      </c>
      <c r="AE48" s="278">
        <v>0.86344809996331029</v>
      </c>
      <c r="AF48" s="278">
        <v>0.86439943150203158</v>
      </c>
      <c r="AG48" s="278">
        <v>0.86528612774499902</v>
      </c>
      <c r="AH48" s="278">
        <v>0.86611106859355436</v>
      </c>
      <c r="AI48" s="278">
        <v>0.86687687903899013</v>
      </c>
      <c r="AJ48" s="278">
        <v>0.86758595532940519</v>
      </c>
      <c r="AK48" s="278">
        <v>0.86824048786460994</v>
      </c>
      <c r="AL48" s="279">
        <v>0.86884248129999075</v>
      </c>
      <c r="AM48" s="277">
        <v>0.87056892830974686</v>
      </c>
      <c r="AN48" s="278">
        <v>0.87122337805536809</v>
      </c>
      <c r="AO48" s="278">
        <v>0.87184265742303269</v>
      </c>
      <c r="AP48" s="278">
        <v>0.87242844446600309</v>
      </c>
      <c r="AQ48" s="278">
        <v>0.87298230683524025</v>
      </c>
      <c r="AR48" s="278">
        <v>0.87350571119981624</v>
      </c>
      <c r="AS48" s="278">
        <v>0.87400003168104223</v>
      </c>
      <c r="AT48" s="278">
        <v>0.87446655742215174</v>
      </c>
      <c r="AU48" s="278">
        <v>0.87490649939809528</v>
      </c>
      <c r="AV48" s="279">
        <v>0.87532099655550111</v>
      </c>
      <c r="AW48" s="277">
        <v>0.87571112136059925</v>
      </c>
      <c r="AX48" s="278">
        <v>0.8760778848225349</v>
      </c>
      <c r="AY48" s="278">
        <v>0.87642224105066824</v>
      </c>
      <c r="AZ48" s="278">
        <v>0.87674509139694901</v>
      </c>
      <c r="BA48" s="278">
        <v>0.87704728822800759</v>
      </c>
      <c r="BB48" s="278">
        <v>0.87732963836608646</v>
      </c>
      <c r="BC48" s="278">
        <v>0.8775929062331852</v>
      </c>
      <c r="BD48" s="278">
        <v>0.87783781672868477</v>
      </c>
      <c r="BE48" s="278">
        <v>0.87806505786716693</v>
      </c>
      <c r="BF48" s="279">
        <v>0.87827528320006765</v>
      </c>
      <c r="BG48" s="279">
        <f t="shared" si="0"/>
        <v>0.87827528320006765</v>
      </c>
      <c r="BH48" s="237"/>
    </row>
    <row r="49" spans="1:60" x14ac:dyDescent="0.2">
      <c r="A49" s="280">
        <v>9.5</v>
      </c>
      <c r="B49" s="290">
        <v>0.74184573215937488</v>
      </c>
      <c r="C49" s="291">
        <v>0.75381141596872048</v>
      </c>
      <c r="D49" s="291">
        <v>0.76403649074801594</v>
      </c>
      <c r="E49" s="291">
        <v>0.77284983857728129</v>
      </c>
      <c r="F49" s="291">
        <v>0.7805253469929333</v>
      </c>
      <c r="G49" s="291">
        <v>0.78727631588791247</v>
      </c>
      <c r="H49" s="291">
        <v>0.79326729956425535</v>
      </c>
      <c r="I49" s="291">
        <v>0.79862607590412915</v>
      </c>
      <c r="J49" s="292">
        <v>0.80345299144276427</v>
      </c>
      <c r="K49" s="290">
        <v>0.80782782806633224</v>
      </c>
      <c r="L49" s="291">
        <v>0.81181478471930946</v>
      </c>
      <c r="M49" s="291">
        <v>0.81546610445070034</v>
      </c>
      <c r="N49" s="291">
        <v>0.81882474093828839</v>
      </c>
      <c r="O49" s="291">
        <v>0.8219263423860903</v>
      </c>
      <c r="P49" s="291">
        <v>0.82480074605776221</v>
      </c>
      <c r="Q49" s="291">
        <v>0.82747311802507073</v>
      </c>
      <c r="R49" s="291">
        <v>0.82996483257354325</v>
      </c>
      <c r="S49" s="292">
        <v>0.83229415513246485</v>
      </c>
      <c r="T49" s="290">
        <v>0.83447677360907446</v>
      </c>
      <c r="U49" s="291">
        <v>0.83652623791159764</v>
      </c>
      <c r="V49" s="291">
        <v>0.83845430854690328</v>
      </c>
      <c r="W49" s="291">
        <v>0.84027123633535306</v>
      </c>
      <c r="X49" s="291">
        <v>0.84198599061710666</v>
      </c>
      <c r="Y49" s="291">
        <v>0.84360644677908958</v>
      </c>
      <c r="Z49" s="291">
        <v>0.84513954139198832</v>
      </c>
      <c r="AA49" s="291">
        <v>0.84659140135960687</v>
      </c>
      <c r="AB49" s="292">
        <v>0.84796745206738899</v>
      </c>
      <c r="AC49" s="290">
        <v>0.84927250844537594</v>
      </c>
      <c r="AD49" s="291">
        <v>0.85051085204266386</v>
      </c>
      <c r="AE49" s="291">
        <v>0.85168629658060757</v>
      </c>
      <c r="AF49" s="291">
        <v>0.85280224396340343</v>
      </c>
      <c r="AG49" s="291">
        <v>0.853861732342865</v>
      </c>
      <c r="AH49" s="291">
        <v>0.85486747753378001</v>
      </c>
      <c r="AI49" s="291">
        <v>0.85582190883825515</v>
      </c>
      <c r="AJ49" s="291">
        <v>0.85672720014782866</v>
      </c>
      <c r="AK49" s="291">
        <v>0.85758529704007713</v>
      </c>
      <c r="AL49" s="292">
        <v>0.85839794046386475</v>
      </c>
      <c r="AM49" s="281">
        <v>0.8595812765786508</v>
      </c>
      <c r="AN49" s="282">
        <v>0.8603000697670099</v>
      </c>
      <c r="AO49" s="282">
        <v>0.86098162498525899</v>
      </c>
      <c r="AP49" s="282">
        <v>0.86162768369985265</v>
      </c>
      <c r="AQ49" s="282">
        <v>0.86223987425664161</v>
      </c>
      <c r="AR49" s="282">
        <v>0.86281972145754882</v>
      </c>
      <c r="AS49" s="282">
        <v>0.86336865513936167</v>
      </c>
      <c r="AT49" s="282">
        <v>0.8638880178775683</v>
      </c>
      <c r="AU49" s="282">
        <v>0.8643790719207709</v>
      </c>
      <c r="AV49" s="283">
        <v>0.86484300544658144</v>
      </c>
      <c r="AW49" s="281">
        <v>0.86528093821755858</v>
      </c>
      <c r="AX49" s="282">
        <v>0.86569392670528111</v>
      </c>
      <c r="AY49" s="282">
        <v>0.86608296874176915</v>
      </c>
      <c r="AZ49" s="282">
        <v>0.8664490077498711</v>
      </c>
      <c r="BA49" s="282">
        <v>0.86679293659775514</v>
      </c>
      <c r="BB49" s="282">
        <v>0.86711560111706465</v>
      </c>
      <c r="BC49" s="282">
        <v>0.8674178033195088</v>
      </c>
      <c r="BD49" s="282">
        <v>0.86770030434251488</v>
      </c>
      <c r="BE49" s="282">
        <v>0.86796382715098908</v>
      </c>
      <c r="BF49" s="283">
        <v>0.86820905901911838</v>
      </c>
      <c r="BG49" s="283">
        <f t="shared" si="0"/>
        <v>0.86820905901911838</v>
      </c>
      <c r="BH49" s="237"/>
    </row>
    <row r="50" spans="1:60" x14ac:dyDescent="0.2">
      <c r="A50" s="273">
        <v>10</v>
      </c>
      <c r="B50" s="287">
        <v>0.72448664541432695</v>
      </c>
      <c r="C50" s="288">
        <v>0.73725576321682462</v>
      </c>
      <c r="D50" s="288">
        <v>0.74818005183591985</v>
      </c>
      <c r="E50" s="288">
        <v>0.75761509789272896</v>
      </c>
      <c r="F50" s="288">
        <v>0.76584736814496879</v>
      </c>
      <c r="G50" s="288">
        <v>0.77309776134302111</v>
      </c>
      <c r="H50" s="288">
        <v>0.77953634277089734</v>
      </c>
      <c r="I50" s="288">
        <v>0.78529535225230063</v>
      </c>
      <c r="J50" s="289">
        <v>0.79047896589124078</v>
      </c>
      <c r="K50" s="287">
        <v>0.79517035042058815</v>
      </c>
      <c r="L50" s="288">
        <v>0.79943674158678135</v>
      </c>
      <c r="M50" s="288">
        <v>0.80333312898023446</v>
      </c>
      <c r="N50" s="288">
        <v>0.80690496225225194</v>
      </c>
      <c r="O50" s="288">
        <v>0.81019016534489596</v>
      </c>
      <c r="P50" s="288">
        <v>0.81322065585189718</v>
      </c>
      <c r="Q50" s="288">
        <v>0.81602350590188033</v>
      </c>
      <c r="R50" s="288">
        <v>0.81862183993428228</v>
      </c>
      <c r="S50" s="289">
        <v>0.82103551441335254</v>
      </c>
      <c r="T50" s="287">
        <v>0.82328160494541414</v>
      </c>
      <c r="U50" s="288">
        <v>0.82537491587756595</v>
      </c>
      <c r="V50" s="288">
        <v>0.827328359538685</v>
      </c>
      <c r="W50" s="288">
        <v>0.82915324607291907</v>
      </c>
      <c r="X50" s="288">
        <v>0.83085952063628821</v>
      </c>
      <c r="Y50" s="288">
        <v>0.83245595892140656</v>
      </c>
      <c r="Z50" s="288">
        <v>0.83395032941853864</v>
      </c>
      <c r="AA50" s="288">
        <v>0.83534952891951553</v>
      </c>
      <c r="AB50" s="289">
        <v>0.83665969634268211</v>
      </c>
      <c r="AC50" s="287">
        <v>0.8378863088741898</v>
      </c>
      <c r="AD50" s="288">
        <v>0.83903426359283451</v>
      </c>
      <c r="AE50" s="288">
        <v>0.84010794710708481</v>
      </c>
      <c r="AF50" s="288">
        <v>0.84111129523670425</v>
      </c>
      <c r="AG50" s="288">
        <v>0.84204784438287161</v>
      </c>
      <c r="AH50" s="288">
        <v>0.84292077592445147</v>
      </c>
      <c r="AI50" s="288">
        <v>0.84373295473500887</v>
      </c>
      <c r="AJ50" s="288">
        <v>0.84448696272111068</v>
      </c>
      <c r="AK50" s="288">
        <v>0.8451851281265389</v>
      </c>
      <c r="AL50" s="289">
        <v>0.84582955122112358</v>
      </c>
      <c r="AM50" s="287">
        <v>0.84802740405910315</v>
      </c>
      <c r="AN50" s="288">
        <v>0.84877294438156203</v>
      </c>
      <c r="AO50" s="288">
        <v>0.84948618892804384</v>
      </c>
      <c r="AP50" s="288">
        <v>0.85016894677631549</v>
      </c>
      <c r="AQ50" s="288">
        <v>0.85082289588175919</v>
      </c>
      <c r="AR50" s="288">
        <v>0.85144959488447358</v>
      </c>
      <c r="AS50" s="288">
        <v>0.8520504936456651</v>
      </c>
      <c r="AT50" s="288">
        <v>0.85262694267199091</v>
      </c>
      <c r="AU50" s="288">
        <v>0.85318020156404895</v>
      </c>
      <c r="AV50" s="289">
        <v>0.85371144660627796</v>
      </c>
      <c r="AW50" s="287">
        <v>0.85422177759954843</v>
      </c>
      <c r="AX50" s="288">
        <v>0.85471222402415581</v>
      </c>
      <c r="AY50" s="288">
        <v>0.85518375060940366</v>
      </c>
      <c r="AZ50" s="288">
        <v>0.8556372623761096</v>
      </c>
      <c r="BA50" s="288">
        <v>0.8560736092099569</v>
      </c>
      <c r="BB50" s="288">
        <v>0.85649359001637992</v>
      </c>
      <c r="BC50" s="288">
        <v>0.85689795650144551</v>
      </c>
      <c r="BD50" s="288">
        <v>0.8572874166178327</v>
      </c>
      <c r="BE50" s="288">
        <v>0.85766263771036522</v>
      </c>
      <c r="BF50" s="289">
        <v>0.85802424939151523</v>
      </c>
      <c r="BG50" s="289">
        <f t="shared" si="0"/>
        <v>0.85802424939151523</v>
      </c>
      <c r="BH50" s="237"/>
    </row>
    <row r="51" spans="1:60" x14ac:dyDescent="0.2">
      <c r="A51" s="273">
        <v>10.5</v>
      </c>
      <c r="B51" s="277">
        <v>0.70826460191612384</v>
      </c>
      <c r="C51" s="278">
        <v>0.72237409624967186</v>
      </c>
      <c r="D51" s="278">
        <v>0.73350171547670184</v>
      </c>
      <c r="E51" s="278">
        <v>0.74277908689186423</v>
      </c>
      <c r="F51" s="278">
        <v>0.7507868598005184</v>
      </c>
      <c r="G51" s="278">
        <v>0.75785810063076808</v>
      </c>
      <c r="H51" s="278">
        <v>0.76420071405008305</v>
      </c>
      <c r="I51" s="278">
        <v>0.76995337150595433</v>
      </c>
      <c r="J51" s="279">
        <v>0.7752136089654732</v>
      </c>
      <c r="K51" s="277">
        <v>0.78005305158225691</v>
      </c>
      <c r="L51" s="278">
        <v>0.78452619024662218</v>
      </c>
      <c r="M51" s="278">
        <v>0.78867571025010508</v>
      </c>
      <c r="N51" s="278">
        <v>0.79253587256160174</v>
      </c>
      <c r="O51" s="278">
        <v>0.7961347426263693</v>
      </c>
      <c r="P51" s="278">
        <v>0.79949570901734457</v>
      </c>
      <c r="Q51" s="278">
        <v>0.80263854877096708</v>
      </c>
      <c r="R51" s="278">
        <v>0.80558019419375171</v>
      </c>
      <c r="S51" s="279">
        <v>0.80833529210674371</v>
      </c>
      <c r="T51" s="277">
        <v>0.8109166117901857</v>
      </c>
      <c r="U51" s="278">
        <v>0.81333538595387966</v>
      </c>
      <c r="V51" s="278">
        <v>0.81560156895582525</v>
      </c>
      <c r="W51" s="278">
        <v>0.81772403643795422</v>
      </c>
      <c r="X51" s="278">
        <v>0.81971074508590092</v>
      </c>
      <c r="Y51" s="278">
        <v>0.82156886203036228</v>
      </c>
      <c r="Z51" s="278">
        <v>0.82330487081338333</v>
      </c>
      <c r="AA51" s="278">
        <v>0.82492465903277035</v>
      </c>
      <c r="AB51" s="279">
        <v>0.82643359149415674</v>
      </c>
      <c r="AC51" s="277">
        <v>0.82783657177613512</v>
      </c>
      <c r="AD51" s="278">
        <v>0.82913809443932962</v>
      </c>
      <c r="AE51" s="278">
        <v>0.8303422896114242</v>
      </c>
      <c r="AF51" s="278">
        <v>0.83145296130684831</v>
      </c>
      <c r="AG51" s="278">
        <v>0.8324736205572143</v>
      </c>
      <c r="AH51" s="278">
        <v>0.83340751421245463</v>
      </c>
      <c r="AI51" s="278">
        <v>0.83425765010562825</v>
      </c>
      <c r="AJ51" s="278">
        <v>0.83502681914418941</v>
      </c>
      <c r="AK51" s="278">
        <v>0.835717614788137</v>
      </c>
      <c r="AL51" s="279">
        <v>0.83633245029429326</v>
      </c>
      <c r="AM51" s="277">
        <v>0.83876052902217291</v>
      </c>
      <c r="AN51" s="278">
        <v>0.83953684082546842</v>
      </c>
      <c r="AO51" s="278">
        <v>0.8402666630836334</v>
      </c>
      <c r="AP51" s="278">
        <v>0.84095197218392315</v>
      </c>
      <c r="AQ51" s="278">
        <v>0.84159462610706071</v>
      </c>
      <c r="AR51" s="278">
        <v>0.84219637393484026</v>
      </c>
      <c r="AS51" s="278">
        <v>0.84275886439737724</v>
      </c>
      <c r="AT51" s="278">
        <v>0.84328365357649648</v>
      </c>
      <c r="AU51" s="278">
        <v>0.84377221186533857</v>
      </c>
      <c r="AV51" s="279">
        <v>0.84422593027046622</v>
      </c>
      <c r="AW51" s="277">
        <v>0.84464612613111867</v>
      </c>
      <c r="AX51" s="278">
        <v>0.84503404832040618</v>
      </c>
      <c r="AY51" s="278">
        <v>0.84539088198485723</v>
      </c>
      <c r="AZ51" s="278">
        <v>0.84571775287158124</v>
      </c>
      <c r="BA51" s="278">
        <v>0.84601573128619456</v>
      </c>
      <c r="BB51" s="278">
        <v>0.84628583571939286</v>
      </c>
      <c r="BC51" s="278">
        <v>0.84652903617554076</v>
      </c>
      <c r="BD51" s="278">
        <v>0.84674625723271646</v>
      </c>
      <c r="BE51" s="278">
        <v>0.84693838086027873</v>
      </c>
      <c r="BF51" s="279">
        <v>0.84710624901706377</v>
      </c>
      <c r="BG51" s="279">
        <f t="shared" si="0"/>
        <v>0.84710624901706377</v>
      </c>
      <c r="BH51" s="237"/>
    </row>
    <row r="52" spans="1:60" x14ac:dyDescent="0.2">
      <c r="A52" s="273">
        <v>11</v>
      </c>
      <c r="B52" s="277">
        <v>0.69378085727565375</v>
      </c>
      <c r="C52" s="278">
        <v>0.70686015930178137</v>
      </c>
      <c r="D52" s="278">
        <v>0.71785647423172927</v>
      </c>
      <c r="E52" s="278">
        <v>0.72735020587829213</v>
      </c>
      <c r="F52" s="278">
        <v>0.73569616746349087</v>
      </c>
      <c r="G52" s="278">
        <v>0.74312999845952099</v>
      </c>
      <c r="H52" s="278">
        <v>0.74981761822119197</v>
      </c>
      <c r="I52" s="278">
        <v>0.75588103899367298</v>
      </c>
      <c r="J52" s="279">
        <v>0.76141303935677285</v>
      </c>
      <c r="K52" s="277">
        <v>0.76648606850568768</v>
      </c>
      <c r="L52" s="278">
        <v>0.77115793591410087</v>
      </c>
      <c r="M52" s="278">
        <v>0.77547560217074341</v>
      </c>
      <c r="N52" s="278">
        <v>0.77947779349594781</v>
      </c>
      <c r="O52" s="278">
        <v>0.78319685808180139</v>
      </c>
      <c r="P52" s="278">
        <v>0.78666011713130735</v>
      </c>
      <c r="Q52" s="278">
        <v>0.78989086934227615</v>
      </c>
      <c r="R52" s="278">
        <v>0.79290915174102483</v>
      </c>
      <c r="S52" s="279">
        <v>0.79573236304436601</v>
      </c>
      <c r="T52" s="277">
        <v>0.7983758349499438</v>
      </c>
      <c r="U52" s="278">
        <v>0.80085308293814539</v>
      </c>
      <c r="V52" s="278">
        <v>0.80317605839001882</v>
      </c>
      <c r="W52" s="278">
        <v>0.80535538271316687</v>
      </c>
      <c r="X52" s="278">
        <v>0.807400538535336</v>
      </c>
      <c r="Y52" s="278">
        <v>0.80932002719752283</v>
      </c>
      <c r="Z52" s="278">
        <v>0.81112149952042178</v>
      </c>
      <c r="AA52" s="278">
        <v>0.81281186517454374</v>
      </c>
      <c r="AB52" s="279">
        <v>0.81439738477235546</v>
      </c>
      <c r="AC52" s="277">
        <v>0.81588374789610907</v>
      </c>
      <c r="AD52" s="278">
        <v>0.81727613959224843</v>
      </c>
      <c r="AE52" s="278">
        <v>0.81857929734257262</v>
      </c>
      <c r="AF52" s="278">
        <v>0.81979756012146399</v>
      </c>
      <c r="AG52" s="278">
        <v>0.82093491083708681</v>
      </c>
      <c r="AH52" s="278">
        <v>0.82199501321057089</v>
      </c>
      <c r="AI52" s="278">
        <v>0.82298124395465644</v>
      </c>
      <c r="AJ52" s="278">
        <v>0.82389672096021582</v>
      </c>
      <c r="AK52" s="278">
        <v>0.82474432807650699</v>
      </c>
      <c r="AL52" s="279">
        <v>0.82552673697227663</v>
      </c>
      <c r="AM52" s="277">
        <v>0.82759268808139941</v>
      </c>
      <c r="AN52" s="278">
        <v>0.8284188073656199</v>
      </c>
      <c r="AO52" s="278">
        <v>0.82919861526381622</v>
      </c>
      <c r="AP52" s="278">
        <v>0.82993419563375193</v>
      </c>
      <c r="AQ52" s="278">
        <v>0.83062750270526775</v>
      </c>
      <c r="AR52" s="278">
        <v>0.83128037165389101</v>
      </c>
      <c r="AS52" s="278">
        <v>0.83189452810646769</v>
      </c>
      <c r="AT52" s="278">
        <v>0.83247159670697035</v>
      </c>
      <c r="AU52" s="278">
        <v>0.83301310885290325</v>
      </c>
      <c r="AV52" s="279">
        <v>0.83352050969776126</v>
      </c>
      <c r="AW52" s="277">
        <v>0.83399516450231126</v>
      </c>
      <c r="AX52" s="278">
        <v>0.83443836440670371</v>
      </c>
      <c r="AY52" s="278">
        <v>0.83485133168621528</v>
      </c>
      <c r="AZ52" s="278">
        <v>0.83523522454557009</v>
      </c>
      <c r="BA52" s="278">
        <v>0.83559114150002389</v>
      </c>
      <c r="BB52" s="278">
        <v>0.83592012538558635</v>
      </c>
      <c r="BC52" s="278">
        <v>0.83622316703573896</v>
      </c>
      <c r="BD52" s="278">
        <v>0.83650120865764177</v>
      </c>
      <c r="BE52" s="278">
        <v>0.83675514693707087</v>
      </c>
      <c r="BF52" s="279">
        <v>0.83698583589801789</v>
      </c>
      <c r="BG52" s="279">
        <f t="shared" si="0"/>
        <v>0.83698583589801789</v>
      </c>
      <c r="BH52" s="237"/>
    </row>
    <row r="53" spans="1:60" x14ac:dyDescent="0.2">
      <c r="A53" s="273">
        <v>11.5</v>
      </c>
      <c r="B53" s="277">
        <v>0.67659663777149859</v>
      </c>
      <c r="C53" s="278">
        <v>0.69077508572350654</v>
      </c>
      <c r="D53" s="278">
        <v>0.70245334688002836</v>
      </c>
      <c r="E53" s="278">
        <v>0.71241004793102669</v>
      </c>
      <c r="F53" s="278">
        <v>0.72109522678971305</v>
      </c>
      <c r="G53" s="278">
        <v>0.72879454592912474</v>
      </c>
      <c r="H53" s="278">
        <v>0.73570193333019263</v>
      </c>
      <c r="I53" s="278">
        <v>0.74195583397269527</v>
      </c>
      <c r="J53" s="279">
        <v>0.7476590050555475</v>
      </c>
      <c r="K53" s="277">
        <v>0.75289010705470949</v>
      </c>
      <c r="L53" s="278">
        <v>0.75771087999022968</v>
      </c>
      <c r="M53" s="278">
        <v>0.76217079327224102</v>
      </c>
      <c r="N53" s="278">
        <v>0.76631017468330431</v>
      </c>
      <c r="O53" s="278">
        <v>0.77016238418242555</v>
      </c>
      <c r="P53" s="278">
        <v>0.77375536582228988</v>
      </c>
      <c r="Q53" s="278">
        <v>0.77711278205549061</v>
      </c>
      <c r="R53" s="278">
        <v>0.78025485997272792</v>
      </c>
      <c r="S53" s="279">
        <v>0.78319912778957235</v>
      </c>
      <c r="T53" s="277">
        <v>0.7859611945657824</v>
      </c>
      <c r="U53" s="278">
        <v>0.7885548614560397</v>
      </c>
      <c r="V53" s="278">
        <v>0.79099233559081927</v>
      </c>
      <c r="W53" s="278">
        <v>0.79328447613454989</v>
      </c>
      <c r="X53" s="278">
        <v>0.79544099364361809</v>
      </c>
      <c r="Y53" s="278">
        <v>0.79747061312015566</v>
      </c>
      <c r="Z53" s="278">
        <v>0.79938120852806938</v>
      </c>
      <c r="AA53" s="278">
        <v>0.8011799146470403</v>
      </c>
      <c r="AB53" s="279">
        <v>0.80287322076154477</v>
      </c>
      <c r="AC53" s="277">
        <v>0.8044670496636217</v>
      </c>
      <c r="AD53" s="278">
        <v>0.80596682468699532</v>
      </c>
      <c r="AE53" s="278">
        <v>0.80737752691500375</v>
      </c>
      <c r="AF53" s="278">
        <v>0.80870374426570901</v>
      </c>
      <c r="AG53" s="278">
        <v>0.80994971381918979</v>
      </c>
      <c r="AH53" s="278">
        <v>0.81111935848893024</v>
      </c>
      <c r="AI53" s="278">
        <v>0.81221631893298318</v>
      </c>
      <c r="AJ53" s="278">
        <v>0.81324398143765519</v>
      </c>
      <c r="AK53" s="278">
        <v>0.81420550237681644</v>
      </c>
      <c r="AL53" s="279">
        <v>0.81510382974604967</v>
      </c>
      <c r="AM53" s="277">
        <v>0.81698432522609743</v>
      </c>
      <c r="AN53" s="278">
        <v>0.81785838979902825</v>
      </c>
      <c r="AO53" s="278">
        <v>0.81868174078417966</v>
      </c>
      <c r="AP53" s="278">
        <v>0.81945651121426655</v>
      </c>
      <c r="AQ53" s="278">
        <v>0.82018470786883257</v>
      </c>
      <c r="AR53" s="278">
        <v>0.8208682213015992</v>
      </c>
      <c r="AS53" s="278">
        <v>0.82150883486468917</v>
      </c>
      <c r="AT53" s="278">
        <v>0.82210823285036272</v>
      </c>
      <c r="AU53" s="278">
        <v>0.82266800785404481</v>
      </c>
      <c r="AV53" s="279">
        <v>0.82318966744821931</v>
      </c>
      <c r="AW53" s="277">
        <v>0.8236746402447872</v>
      </c>
      <c r="AX53" s="278">
        <v>0.82412428141329863</v>
      </c>
      <c r="AY53" s="278">
        <v>0.82453987771383197</v>
      </c>
      <c r="AZ53" s="278">
        <v>0.82492265209589355</v>
      </c>
      <c r="BA53" s="278">
        <v>0.82527376790837259</v>
      </c>
      <c r="BB53" s="278">
        <v>0.82559433276015004</v>
      </c>
      <c r="BC53" s="278">
        <v>0.82588540206625483</v>
      </c>
      <c r="BD53" s="278">
        <v>0.82614798231039666</v>
      </c>
      <c r="BE53" s="278">
        <v>0.82638303405118807</v>
      </c>
      <c r="BF53" s="279">
        <v>0.82659147469629457</v>
      </c>
      <c r="BG53" s="279">
        <f t="shared" si="0"/>
        <v>0.82659147469629457</v>
      </c>
      <c r="BH53" s="237"/>
    </row>
    <row r="54" spans="1:60" x14ac:dyDescent="0.2">
      <c r="A54" s="280">
        <v>12</v>
      </c>
      <c r="B54" s="281">
        <v>0.66217581204800235</v>
      </c>
      <c r="C54" s="282">
        <v>0.67494864422738254</v>
      </c>
      <c r="D54" s="282">
        <v>0.68645331854808034</v>
      </c>
      <c r="E54" s="282">
        <v>0.69671943654105273</v>
      </c>
      <c r="F54" s="282">
        <v>0.70588695958460235</v>
      </c>
      <c r="G54" s="282">
        <v>0.71410550479138002</v>
      </c>
      <c r="H54" s="282">
        <v>0.72150887903960559</v>
      </c>
      <c r="I54" s="282">
        <v>0.72821060123521919</v>
      </c>
      <c r="J54" s="283">
        <v>0.73430536610500263</v>
      </c>
      <c r="K54" s="281">
        <v>0.73987189545851195</v>
      </c>
      <c r="L54" s="282">
        <v>0.74497577928316694</v>
      </c>
      <c r="M54" s="282">
        <v>0.74967192376248326</v>
      </c>
      <c r="N54" s="282">
        <v>0.75400655420013918</v>
      </c>
      <c r="O54" s="282">
        <v>0.75801882137142396</v>
      </c>
      <c r="P54" s="282">
        <v>0.76174208161287194</v>
      </c>
      <c r="Q54" s="282">
        <v>0.7652049170163735</v>
      </c>
      <c r="R54" s="282">
        <v>0.76843195123868058</v>
      </c>
      <c r="S54" s="283">
        <v>0.77144465598722067</v>
      </c>
      <c r="T54" s="281">
        <v>0.77426233777360576</v>
      </c>
      <c r="U54" s="282">
        <v>0.77690212311925078</v>
      </c>
      <c r="V54" s="282">
        <v>0.77937915998430429</v>
      </c>
      <c r="W54" s="282">
        <v>0.78170690688157585</v>
      </c>
      <c r="X54" s="282">
        <v>0.7838973723850412</v>
      </c>
      <c r="Y54" s="282">
        <v>0.78596131468523756</v>
      </c>
      <c r="Z54" s="282">
        <v>0.78790840877136958</v>
      </c>
      <c r="AA54" s="282">
        <v>0.78974738722712423</v>
      </c>
      <c r="AB54" s="283">
        <v>0.79148615939706335</v>
      </c>
      <c r="AC54" s="281">
        <v>0.7931319127253269</v>
      </c>
      <c r="AD54" s="282">
        <v>0.79469119932255317</v>
      </c>
      <c r="AE54" s="282">
        <v>0.79617001023123379</v>
      </c>
      <c r="AF54" s="282">
        <v>0.79757383939713766</v>
      </c>
      <c r="AG54" s="282">
        <v>0.79890773898703349</v>
      </c>
      <c r="AH54" s="282">
        <v>0.80017636739954923</v>
      </c>
      <c r="AI54" s="282">
        <v>0.80138403108042844</v>
      </c>
      <c r="AJ54" s="282">
        <v>0.80253472106335666</v>
      </c>
      <c r="AK54" s="282">
        <v>0.80363214500333635</v>
      </c>
      <c r="AL54" s="283">
        <v>0.8046797553439512</v>
      </c>
      <c r="AM54" s="281">
        <v>0.80610636183232409</v>
      </c>
      <c r="AN54" s="282">
        <v>0.80700043139191746</v>
      </c>
      <c r="AO54" s="282">
        <v>0.80784500035672768</v>
      </c>
      <c r="AP54" s="282">
        <v>0.80864238529168786</v>
      </c>
      <c r="AQ54" s="282">
        <v>0.80939475583230069</v>
      </c>
      <c r="AR54" s="282">
        <v>0.81010414672594933</v>
      </c>
      <c r="AS54" s="282">
        <v>0.81077246866277353</v>
      </c>
      <c r="AT54" s="282">
        <v>0.81140151803976546</v>
      </c>
      <c r="AU54" s="282">
        <v>0.81199298578216172</v>
      </c>
      <c r="AV54" s="283">
        <v>0.81254846532962755</v>
      </c>
      <c r="AW54" s="281">
        <v>0.81306945988065349</v>
      </c>
      <c r="AX54" s="282">
        <v>0.81355738897656782</v>
      </c>
      <c r="AY54" s="282">
        <v>0.8140135944963065</v>
      </c>
      <c r="AZ54" s="282">
        <v>0.81443934612426627</v>
      </c>
      <c r="BA54" s="282">
        <v>0.81483584634598538</v>
      </c>
      <c r="BB54" s="282">
        <v>0.81520423501985584</v>
      </c>
      <c r="BC54" s="282">
        <v>0.81554559356740841</v>
      </c>
      <c r="BD54" s="282">
        <v>0.81586094881979931</v>
      </c>
      <c r="BE54" s="282">
        <v>0.81615127655385444</v>
      </c>
      <c r="BF54" s="283">
        <v>0.8164175047473059</v>
      </c>
      <c r="BG54" s="283">
        <f t="shared" si="0"/>
        <v>0.8164175047473059</v>
      </c>
      <c r="BH54" s="237"/>
    </row>
    <row r="55" spans="1:60" x14ac:dyDescent="0.2">
      <c r="A55" s="273">
        <v>12.5</v>
      </c>
      <c r="B55" s="284">
        <v>0.64668793563459637</v>
      </c>
      <c r="C55" s="285">
        <v>0.65993432200058888</v>
      </c>
      <c r="D55" s="285">
        <v>0.67167060316642513</v>
      </c>
      <c r="E55" s="285">
        <v>0.68209634400713659</v>
      </c>
      <c r="F55" s="285">
        <v>0.69141158635704836</v>
      </c>
      <c r="G55" s="285">
        <v>0.69978635475941453</v>
      </c>
      <c r="H55" s="285">
        <v>0.70735950135364023</v>
      </c>
      <c r="I55" s="285">
        <v>0.71424358149306222</v>
      </c>
      <c r="J55" s="286">
        <v>0.72053015432778378</v>
      </c>
      <c r="K55" s="284">
        <v>0.72629425404486592</v>
      </c>
      <c r="L55" s="285">
        <v>0.73159790660902846</v>
      </c>
      <c r="M55" s="285">
        <v>0.73649283674524235</v>
      </c>
      <c r="N55" s="285">
        <v>0.74102254388157596</v>
      </c>
      <c r="O55" s="285">
        <v>0.74522390024396801</v>
      </c>
      <c r="P55" s="285">
        <v>0.7491283898956963</v>
      </c>
      <c r="Q55" s="285">
        <v>0.75276307760148631</v>
      </c>
      <c r="R55" s="285">
        <v>0.75615137323756665</v>
      </c>
      <c r="S55" s="286">
        <v>0.75931383768718475</v>
      </c>
      <c r="T55" s="284">
        <v>0.76226926955207597</v>
      </c>
      <c r="U55" s="285">
        <v>0.76503451766049624</v>
      </c>
      <c r="V55" s="285">
        <v>0.76762460551498302</v>
      </c>
      <c r="W55" s="285">
        <v>0.77005299444238406</v>
      </c>
      <c r="X55" s="285">
        <v>0.77233180136022306</v>
      </c>
      <c r="Y55" s="285">
        <v>0.77447198016403695</v>
      </c>
      <c r="Z55" s="285">
        <v>0.77648347374044979</v>
      </c>
      <c r="AA55" s="285">
        <v>0.7783753420977787</v>
      </c>
      <c r="AB55" s="286">
        <v>0.78015587095213712</v>
      </c>
      <c r="AC55" s="284">
        <v>0.78183266422010544</v>
      </c>
      <c r="AD55" s="285">
        <v>0.78341272318218225</v>
      </c>
      <c r="AE55" s="285">
        <v>0.78490251454540771</v>
      </c>
      <c r="AF55" s="285">
        <v>0.7863080292126452</v>
      </c>
      <c r="AG55" s="285">
        <v>0.78763483323315142</v>
      </c>
      <c r="AH55" s="285">
        <v>0.78888811214420784</v>
      </c>
      <c r="AI55" s="285">
        <v>0.79007270970150301</v>
      </c>
      <c r="AJ55" s="285">
        <v>0.79119316182520649</v>
      </c>
      <c r="AK55" s="285">
        <v>0.79225372645039782</v>
      </c>
      <c r="AL55" s="286">
        <v>0.79325840985797746</v>
      </c>
      <c r="AM55" s="287">
        <v>0.79520404988597404</v>
      </c>
      <c r="AN55" s="288">
        <v>0.79613833055601058</v>
      </c>
      <c r="AO55" s="288">
        <v>0.79702094485907671</v>
      </c>
      <c r="AP55" s="288">
        <v>0.79785428865432062</v>
      </c>
      <c r="AQ55" s="288">
        <v>0.79864060712941554</v>
      </c>
      <c r="AR55" s="288">
        <v>0.79938200706450835</v>
      </c>
      <c r="AS55" s="288">
        <v>0.80008046787010645</v>
      </c>
      <c r="AT55" s="288">
        <v>0.80073785154375698</v>
      </c>
      <c r="AU55" s="288">
        <v>0.80135591167069664</v>
      </c>
      <c r="AV55" s="289">
        <v>0.80193630157700635</v>
      </c>
      <c r="AW55" s="287">
        <v>0.80248058172962344</v>
      </c>
      <c r="AX55" s="288">
        <v>0.80299022646549389</v>
      </c>
      <c r="AY55" s="288">
        <v>0.80346663012180286</v>
      </c>
      <c r="AZ55" s="288">
        <v>0.80391111263034387</v>
      </c>
      <c r="BA55" s="288">
        <v>0.80432492463145033</v>
      </c>
      <c r="BB55" s="288">
        <v>0.80470925215630973</v>
      </c>
      <c r="BC55" s="288">
        <v>0.80506522092077237</v>
      </c>
      <c r="BD55" s="288">
        <v>0.80539390026881019</v>
      </c>
      <c r="BE55" s="288">
        <v>0.80569630679945536</v>
      </c>
      <c r="BF55" s="289">
        <v>0.8059734077073003</v>
      </c>
      <c r="BG55" s="289">
        <f t="shared" si="0"/>
        <v>0.8059734077073003</v>
      </c>
      <c r="BH55" s="237"/>
    </row>
    <row r="56" spans="1:60" x14ac:dyDescent="0.2">
      <c r="A56" s="273">
        <v>13</v>
      </c>
      <c r="B56" s="277">
        <v>0.63132996548429787</v>
      </c>
      <c r="C56" s="278">
        <v>0.64519874083385631</v>
      </c>
      <c r="D56" s="278">
        <v>0.65729039973831271</v>
      </c>
      <c r="E56" s="278">
        <v>0.66795293247095677</v>
      </c>
      <c r="F56" s="278">
        <v>0.67744928853583297</v>
      </c>
      <c r="G56" s="278">
        <v>0.68597823051477835</v>
      </c>
      <c r="H56" s="278">
        <v>0.693692244549727</v>
      </c>
      <c r="I56" s="278">
        <v>0.70071037680923121</v>
      </c>
      <c r="J56" s="279">
        <v>0.70712714956355571</v>
      </c>
      <c r="K56" s="277">
        <v>0.71301877853803575</v>
      </c>
      <c r="L56" s="278">
        <v>0.71844757149385785</v>
      </c>
      <c r="M56" s="278">
        <v>0.72346509455938401</v>
      </c>
      <c r="N56" s="278">
        <v>0.72811449184205235</v>
      </c>
      <c r="O56" s="278">
        <v>0.73243221336454634</v>
      </c>
      <c r="P56" s="278">
        <v>0.73644932238388139</v>
      </c>
      <c r="Q56" s="278">
        <v>0.74019249870117498</v>
      </c>
      <c r="R56" s="278">
        <v>0.74368481878933723</v>
      </c>
      <c r="S56" s="279">
        <v>0.74694659232067018</v>
      </c>
      <c r="T56" s="277">
        <v>0.74999652550566098</v>
      </c>
      <c r="U56" s="278">
        <v>0.75285145649778529</v>
      </c>
      <c r="V56" s="278">
        <v>0.75552645002056529</v>
      </c>
      <c r="W56" s="278">
        <v>0.75803505520609982</v>
      </c>
      <c r="X56" s="278">
        <v>0.76038951808839228</v>
      </c>
      <c r="Y56" s="278">
        <v>0.76260095800338512</v>
      </c>
      <c r="Z56" s="278">
        <v>0.76467951501736497</v>
      </c>
      <c r="AA56" s="278">
        <v>0.76663447391753836</v>
      </c>
      <c r="AB56" s="279">
        <v>0.76847436910277844</v>
      </c>
      <c r="AC56" s="277">
        <v>0.77020707380319409</v>
      </c>
      <c r="AD56" s="278">
        <v>0.77183987635941897</v>
      </c>
      <c r="AE56" s="278">
        <v>0.77337954575250423</v>
      </c>
      <c r="AF56" s="278">
        <v>0.77483238815404709</v>
      </c>
      <c r="AG56" s="278">
        <v>0.77620429593507434</v>
      </c>
      <c r="AH56" s="278">
        <v>0.77750079031010233</v>
      </c>
      <c r="AI56" s="278">
        <v>0.77872705858393154</v>
      </c>
      <c r="AJ56" s="278">
        <v>0.77988798680122129</v>
      </c>
      <c r="AK56" s="278">
        <v>0.78098818846376794</v>
      </c>
      <c r="AL56" s="279">
        <v>0.78203202987075426</v>
      </c>
      <c r="AM56" s="277">
        <v>0.78419204982337876</v>
      </c>
      <c r="AN56" s="278">
        <v>0.78517753857312622</v>
      </c>
      <c r="AO56" s="278">
        <v>0.78610939587485085</v>
      </c>
      <c r="AP56" s="278">
        <v>0.78699004186122024</v>
      </c>
      <c r="AQ56" s="278">
        <v>0.78782174705104824</v>
      </c>
      <c r="AR56" s="278">
        <v>0.78860664442333428</v>
      </c>
      <c r="AS56" s="278">
        <v>0.78934674028761809</v>
      </c>
      <c r="AT56" s="278">
        <v>0.79004392409301538</v>
      </c>
      <c r="AU56" s="278">
        <v>0.79069997729888686</v>
      </c>
      <c r="AV56" s="279">
        <v>0.79131658141368866</v>
      </c>
      <c r="AW56" s="277">
        <v>0.79189532529459195</v>
      </c>
      <c r="AX56" s="278">
        <v>0.79243771178858058</v>
      </c>
      <c r="AY56" s="278">
        <v>0.79294516378557189</v>
      </c>
      <c r="AZ56" s="278">
        <v>0.79341902974538303</v>
      </c>
      <c r="BA56" s="278">
        <v>0.79386058875286547</v>
      </c>
      <c r="BB56" s="278">
        <v>0.79427105514905516</v>
      </c>
      <c r="BC56" s="278">
        <v>0.79465158278058856</v>
      </c>
      <c r="BD56" s="278">
        <v>0.79500326890476736</v>
      </c>
      <c r="BE56" s="278">
        <v>0.79532715778342866</v>
      </c>
      <c r="BF56" s="279">
        <v>0.79562424399509168</v>
      </c>
      <c r="BG56" s="279">
        <f t="shared" si="0"/>
        <v>0.79562424399509168</v>
      </c>
      <c r="BH56" s="237"/>
    </row>
    <row r="57" spans="1:60" x14ac:dyDescent="0.2">
      <c r="A57" s="273">
        <v>13.5</v>
      </c>
      <c r="B57" s="277">
        <v>0.617991424576116</v>
      </c>
      <c r="C57" s="278">
        <v>0.63043579273951322</v>
      </c>
      <c r="D57" s="278">
        <v>0.64217040089552946</v>
      </c>
      <c r="E57" s="278">
        <v>0.65292344370812772</v>
      </c>
      <c r="F57" s="278">
        <v>0.66269478579990038</v>
      </c>
      <c r="G57" s="278">
        <v>0.67156308454428537</v>
      </c>
      <c r="H57" s="278">
        <v>0.67962429203177799</v>
      </c>
      <c r="I57" s="278">
        <v>0.68697120361651343</v>
      </c>
      <c r="J57" s="279">
        <v>0.69368716621001347</v>
      </c>
      <c r="K57" s="277">
        <v>0.69984489757123047</v>
      </c>
      <c r="L57" s="278">
        <v>0.70550711759727536</v>
      </c>
      <c r="M57" s="278">
        <v>0.71072773406675394</v>
      </c>
      <c r="N57" s="278">
        <v>0.71555310067952815</v>
      </c>
      <c r="O57" s="278">
        <v>0.72002317254068438</v>
      </c>
      <c r="P57" s="278">
        <v>0.72417250804818023</v>
      </c>
      <c r="Q57" s="278">
        <v>0.72803111508146923</v>
      </c>
      <c r="R57" s="278">
        <v>0.73162515711187259</v>
      </c>
      <c r="S57" s="279">
        <v>0.73497775631274342</v>
      </c>
      <c r="T57" s="277">
        <v>0.73811013743381926</v>
      </c>
      <c r="U57" s="278">
        <v>0.74104139293876159</v>
      </c>
      <c r="V57" s="278">
        <v>0.74378860206583208</v>
      </c>
      <c r="W57" s="278">
        <v>0.74636710992076294</v>
      </c>
      <c r="X57" s="278">
        <v>0.74879076172453729</v>
      </c>
      <c r="Y57" s="278">
        <v>0.75107210022296467</v>
      </c>
      <c r="Z57" s="278">
        <v>0.75322253274116557</v>
      </c>
      <c r="AA57" s="278">
        <v>0.75525247313493715</v>
      </c>
      <c r="AB57" s="279">
        <v>0.75717146290177895</v>
      </c>
      <c r="AC57" s="277">
        <v>0.75898827492110921</v>
      </c>
      <c r="AD57" s="278">
        <v>0.76071100265697034</v>
      </c>
      <c r="AE57" s="278">
        <v>0.76234713714543267</v>
      </c>
      <c r="AF57" s="278">
        <v>0.76390363367728442</v>
      </c>
      <c r="AG57" s="278">
        <v>0.76538696975411469</v>
      </c>
      <c r="AH57" s="278">
        <v>0.76680319562637789</v>
      </c>
      <c r="AI57" s="278">
        <v>0.768157978502787</v>
      </c>
      <c r="AJ57" s="278">
        <v>0.76945664134133374</v>
      </c>
      <c r="AK57" s="278">
        <v>0.77070419698550485</v>
      </c>
      <c r="AL57" s="279">
        <v>0.77190537828848915</v>
      </c>
      <c r="AM57" s="277">
        <v>0.77356433177094275</v>
      </c>
      <c r="AN57" s="278">
        <v>0.77457399866712018</v>
      </c>
      <c r="AO57" s="278">
        <v>0.77552883003096995</v>
      </c>
      <c r="AP57" s="278">
        <v>0.77643142366089379</v>
      </c>
      <c r="AQ57" s="278">
        <v>0.7772842131774228</v>
      </c>
      <c r="AR57" s="278">
        <v>0.77808948130389655</v>
      </c>
      <c r="AS57" s="278">
        <v>0.77884937183682157</v>
      </c>
      <c r="AT57" s="278">
        <v>0.77956590045796337</v>
      </c>
      <c r="AU57" s="278">
        <v>0.78024096452001634</v>
      </c>
      <c r="AV57" s="279">
        <v>0.78087635192050908</v>
      </c>
      <c r="AW57" s="277">
        <v>0.78147374916393098</v>
      </c>
      <c r="AX57" s="278">
        <v>0.78203474869949652</v>
      </c>
      <c r="AY57" s="278">
        <v>0.78256085561117295</v>
      </c>
      <c r="AZ57" s="278">
        <v>0.78305349372730393</v>
      </c>
      <c r="BA57" s="278">
        <v>0.78351401120913144</v>
      </c>
      <c r="BB57" s="278">
        <v>0.78394368567056882</v>
      </c>
      <c r="BC57" s="278">
        <v>0.78434372887554216</v>
      </c>
      <c r="BD57" s="278">
        <v>0.78471529105396287</v>
      </c>
      <c r="BE57" s="278">
        <v>0.78505946487281442</v>
      </c>
      <c r="BF57" s="279">
        <v>0.78537728909482907</v>
      </c>
      <c r="BG57" s="279">
        <f t="shared" si="0"/>
        <v>0.78537728909482907</v>
      </c>
      <c r="BH57" s="237"/>
    </row>
    <row r="58" spans="1:60" x14ac:dyDescent="0.2">
      <c r="A58" s="273">
        <v>14</v>
      </c>
      <c r="B58" s="277">
        <v>0.60292920960067997</v>
      </c>
      <c r="C58" s="278">
        <v>0.61674195553404076</v>
      </c>
      <c r="D58" s="278">
        <v>0.6287237795866869</v>
      </c>
      <c r="E58" s="278">
        <v>0.63936820203059441</v>
      </c>
      <c r="F58" s="278">
        <v>0.64896107570230555</v>
      </c>
      <c r="G58" s="278">
        <v>0.65768846151772942</v>
      </c>
      <c r="H58" s="278">
        <v>0.66568148696398488</v>
      </c>
      <c r="I58" s="278">
        <v>0.67303789215151355</v>
      </c>
      <c r="J58" s="279">
        <v>0.67983356796979477</v>
      </c>
      <c r="K58" s="277">
        <v>0.68612927859625383</v>
      </c>
      <c r="L58" s="278">
        <v>0.69197484788328345</v>
      </c>
      <c r="M58" s="278">
        <v>0.6974119091385832</v>
      </c>
      <c r="N58" s="278">
        <v>0.7024757910662931</v>
      </c>
      <c r="O58" s="278">
        <v>0.70719685794273734</v>
      </c>
      <c r="P58" s="278">
        <v>0.71160149042105592</v>
      </c>
      <c r="Q58" s="278">
        <v>0.71571282129529523</v>
      </c>
      <c r="R58" s="278">
        <v>0.71955129914515659</v>
      </c>
      <c r="S58" s="279">
        <v>0.72313529823084133</v>
      </c>
      <c r="T58" s="277">
        <v>0.72648198369766359</v>
      </c>
      <c r="U58" s="278">
        <v>0.7296070898667677</v>
      </c>
      <c r="V58" s="278">
        <v>0.73252497624793667</v>
      </c>
      <c r="W58" s="278">
        <v>0.73524881187814395</v>
      </c>
      <c r="X58" s="278">
        <v>0.73779072806788726</v>
      </c>
      <c r="Y58" s="278">
        <v>0.74016194605707686</v>
      </c>
      <c r="Z58" s="278">
        <v>0.74237288453114747</v>
      </c>
      <c r="AA58" s="278">
        <v>0.74443325081499556</v>
      </c>
      <c r="AB58" s="279">
        <v>0.74635211872254437</v>
      </c>
      <c r="AC58" s="277">
        <v>0.7481379954090247</v>
      </c>
      <c r="AD58" s="278">
        <v>0.74979887909364407</v>
      </c>
      <c r="AE58" s="278">
        <v>0.75134230915188482</v>
      </c>
      <c r="AF58" s="278">
        <v>0.75277540979062474</v>
      </c>
      <c r="AG58" s="278">
        <v>0.75410492829515274</v>
      </c>
      <c r="AH58" s="278">
        <v>0.75533726865998063</v>
      </c>
      <c r="AI58" s="278">
        <v>0.75647852127422421</v>
      </c>
      <c r="AJ58" s="278">
        <v>0.75753448921902689</v>
      </c>
      <c r="AK58" s="278">
        <v>0.7585107116429427</v>
      </c>
      <c r="AL58" s="279">
        <v>0.75941248460670285</v>
      </c>
      <c r="AM58" s="277">
        <v>0.76270136557201795</v>
      </c>
      <c r="AN58" s="278">
        <v>0.76374990210495541</v>
      </c>
      <c r="AO58" s="278">
        <v>0.76474011810704901</v>
      </c>
      <c r="AP58" s="278">
        <v>0.76567465698889148</v>
      </c>
      <c r="AQ58" s="278">
        <v>0.7665560004187858</v>
      </c>
      <c r="AR58" s="278">
        <v>0.76738648114874664</v>
      </c>
      <c r="AS58" s="278">
        <v>0.76816829458902625</v>
      </c>
      <c r="AT58" s="278">
        <v>0.76890350927566919</v>
      </c>
      <c r="AU58" s="278">
        <v>0.76959407635641242</v>
      </c>
      <c r="AV58" s="279">
        <v>0.7702418382039139</v>
      </c>
      <c r="AW58" s="277">
        <v>0.77084853625138461</v>
      </c>
      <c r="AX58" s="278">
        <v>0.77141581813375493</v>
      </c>
      <c r="AY58" s="278">
        <v>0.77194524420729049</v>
      </c>
      <c r="AZ58" s="278">
        <v>0.77243829351174387</v>
      </c>
      <c r="BA58" s="278">
        <v>0.77289636923151617</v>
      </c>
      <c r="BB58" s="278">
        <v>0.77332080370572021</v>
      </c>
      <c r="BC58" s="278">
        <v>0.77371286303129694</v>
      </c>
      <c r="BD58" s="278">
        <v>0.77407375129836675</v>
      </c>
      <c r="BE58" s="278">
        <v>0.77440461449263931</v>
      </c>
      <c r="BF58" s="279">
        <v>0.77470654409590911</v>
      </c>
      <c r="BG58" s="279">
        <f t="shared" si="0"/>
        <v>0.77470654409590911</v>
      </c>
      <c r="BH58" s="237"/>
    </row>
    <row r="59" spans="1:60" x14ac:dyDescent="0.2">
      <c r="A59" s="280">
        <v>14.5</v>
      </c>
      <c r="B59" s="290">
        <v>0.58966602442211113</v>
      </c>
      <c r="C59" s="291">
        <v>0.60353023957749974</v>
      </c>
      <c r="D59" s="291">
        <v>0.61552637181694292</v>
      </c>
      <c r="E59" s="291">
        <v>0.62620417871998091</v>
      </c>
      <c r="F59" s="291">
        <v>0.63586078677826741</v>
      </c>
      <c r="G59" s="291">
        <v>0.64467996068792732</v>
      </c>
      <c r="H59" s="291">
        <v>0.65278686409657338</v>
      </c>
      <c r="I59" s="291">
        <v>0.66027290311613729</v>
      </c>
      <c r="J59" s="292">
        <v>0.66720832387852669</v>
      </c>
      <c r="K59" s="290">
        <v>0.67364919742377349</v>
      </c>
      <c r="L59" s="291">
        <v>0.67964158591491064</v>
      </c>
      <c r="M59" s="291">
        <v>0.68522418196553458</v>
      </c>
      <c r="N59" s="291">
        <v>0.69043006642367144</v>
      </c>
      <c r="O59" s="291">
        <v>0.69528792887572533</v>
      </c>
      <c r="P59" s="291">
        <v>0.69982294516840715</v>
      </c>
      <c r="Q59" s="291">
        <v>0.70405742709847396</v>
      </c>
      <c r="R59" s="291">
        <v>0.70801131548509955</v>
      </c>
      <c r="S59" s="292">
        <v>0.71170263699188552</v>
      </c>
      <c r="T59" s="290">
        <v>0.71514803249060632</v>
      </c>
      <c r="U59" s="291">
        <v>0.71836277918716773</v>
      </c>
      <c r="V59" s="291">
        <v>0.72136091189271323</v>
      </c>
      <c r="W59" s="291">
        <v>0.72415538337482743</v>
      </c>
      <c r="X59" s="291">
        <v>0.72675819750228532</v>
      </c>
      <c r="Y59" s="291">
        <v>0.72918052082806573</v>
      </c>
      <c r="Z59" s="291">
        <v>0.73143277687985042</v>
      </c>
      <c r="AA59" s="291">
        <v>0.73352472643363054</v>
      </c>
      <c r="AB59" s="292">
        <v>0.7354655363163608</v>
      </c>
      <c r="AC59" s="290">
        <v>0.73726383873970081</v>
      </c>
      <c r="AD59" s="291">
        <v>0.73892778275589222</v>
      </c>
      <c r="AE59" s="291">
        <v>0.7404650791124302</v>
      </c>
      <c r="AF59" s="291">
        <v>0.74188303953893187</v>
      </c>
      <c r="AG59" s="291">
        <v>0.74318861130947511</v>
      </c>
      <c r="AH59" s="291">
        <v>0.74438840777360493</v>
      </c>
      <c r="AI59" s="291">
        <v>0.74548873542975791</v>
      </c>
      <c r="AJ59" s="291">
        <v>0.74649561801897457</v>
      </c>
      <c r="AK59" s="291">
        <v>0.74741481803925869</v>
      </c>
      <c r="AL59" s="292">
        <v>0.74825185601782496</v>
      </c>
      <c r="AM59" s="281">
        <v>0.75200164834989036</v>
      </c>
      <c r="AN59" s="282">
        <v>0.75307382257873556</v>
      </c>
      <c r="AO59" s="282">
        <v>0.7540865589006881</v>
      </c>
      <c r="AP59" s="282">
        <v>0.75504257459062019</v>
      </c>
      <c r="AQ59" s="282">
        <v>0.75594442022269337</v>
      </c>
      <c r="AR59" s="282">
        <v>0.7567944928689776</v>
      </c>
      <c r="AS59" s="282">
        <v>0.75759504801570554</v>
      </c>
      <c r="AT59" s="282">
        <v>0.75834821034432875</v>
      </c>
      <c r="AU59" s="282">
        <v>0.75905598350513848</v>
      </c>
      <c r="AV59" s="283">
        <v>0.75972025899469886</v>
      </c>
      <c r="AW59" s="281">
        <v>0.76034282423421962</v>
      </c>
      <c r="AX59" s="282">
        <v>0.76092536993389692</v>
      </c>
      <c r="AY59" s="282">
        <v>0.76146949681784004</v>
      </c>
      <c r="AZ59" s="282">
        <v>0.76197672177524234</v>
      </c>
      <c r="BA59" s="282">
        <v>0.76244848349568972</v>
      </c>
      <c r="BB59" s="282">
        <v>0.76288614763978102</v>
      </c>
      <c r="BC59" s="282">
        <v>0.76329101159039292</v>
      </c>
      <c r="BD59" s="282">
        <v>0.76366430882482705</v>
      </c>
      <c r="BE59" s="282">
        <v>0.76400721294363561</v>
      </c>
      <c r="BF59" s="283">
        <v>0.76432084138802403</v>
      </c>
      <c r="BG59" s="283">
        <f t="shared" si="0"/>
        <v>0.76432084138802403</v>
      </c>
      <c r="BH59" s="237"/>
    </row>
    <row r="60" spans="1:60" x14ac:dyDescent="0.2">
      <c r="A60" s="273">
        <v>15</v>
      </c>
      <c r="B60" s="287">
        <v>0.5762906206976719</v>
      </c>
      <c r="C60" s="288">
        <v>0.58922332305758762</v>
      </c>
      <c r="D60" s="288">
        <v>0.60122483410825267</v>
      </c>
      <c r="E60" s="288">
        <v>0.61221426623759523</v>
      </c>
      <c r="F60" s="288">
        <v>0.62224805868526634</v>
      </c>
      <c r="G60" s="288">
        <v>0.6314164788966824</v>
      </c>
      <c r="H60" s="288">
        <v>0.63981172413269072</v>
      </c>
      <c r="I60" s="288">
        <v>0.64751821423756895</v>
      </c>
      <c r="J60" s="289">
        <v>0.65461034358938719</v>
      </c>
      <c r="K60" s="287">
        <v>0.66115277458905863</v>
      </c>
      <c r="L60" s="288">
        <v>0.66720151683457274</v>
      </c>
      <c r="M60" s="288">
        <v>0.67280514984613127</v>
      </c>
      <c r="N60" s="288">
        <v>0.67800596293201287</v>
      </c>
      <c r="O60" s="288">
        <v>0.68284094538799334</v>
      </c>
      <c r="P60" s="288">
        <v>0.68734262090874076</v>
      </c>
      <c r="Q60" s="288">
        <v>0.6915397414288188</v>
      </c>
      <c r="R60" s="288">
        <v>0.69545786123939834</v>
      </c>
      <c r="S60" s="289">
        <v>0.69911973365412095</v>
      </c>
      <c r="T60" s="287">
        <v>0.70254546703047338</v>
      </c>
      <c r="U60" s="288">
        <v>0.70575308172658124</v>
      </c>
      <c r="V60" s="288">
        <v>0.70875886175808989</v>
      </c>
      <c r="W60" s="288">
        <v>0.71157758483568756</v>
      </c>
      <c r="X60" s="288">
        <v>0.71422271615035449</v>
      </c>
      <c r="Y60" s="288">
        <v>0.71670657237492141</v>
      </c>
      <c r="Z60" s="288">
        <v>0.71904046109338704</v>
      </c>
      <c r="AA60" s="288">
        <v>0.72123479986778405</v>
      </c>
      <c r="AB60" s="289">
        <v>0.72329921835508393</v>
      </c>
      <c r="AC60" s="287">
        <v>0.72524264625126045</v>
      </c>
      <c r="AD60" s="288">
        <v>0.72707338933210586</v>
      </c>
      <c r="AE60" s="288">
        <v>0.728799195453677</v>
      </c>
      <c r="AF60" s="288">
        <v>0.73042731204810962</v>
      </c>
      <c r="AG60" s="288">
        <v>0.73196453638635606</v>
      </c>
      <c r="AH60" s="288">
        <v>0.73341725966517146</v>
      </c>
      <c r="AI60" s="288">
        <v>0.73479150580120745</v>
      </c>
      <c r="AJ60" s="288">
        <v>0.73609296567240334</v>
      </c>
      <c r="AK60" s="288">
        <v>0.73732702742969236</v>
      </c>
      <c r="AL60" s="289">
        <v>0.73849880340542584</v>
      </c>
      <c r="AM60" s="287">
        <v>0.74108347090342463</v>
      </c>
      <c r="AN60" s="288">
        <v>0.74220915683623701</v>
      </c>
      <c r="AO60" s="288">
        <v>0.74327504604407457</v>
      </c>
      <c r="AP60" s="288">
        <v>0.74428389948456763</v>
      </c>
      <c r="AQ60" s="288">
        <v>0.74523830765864763</v>
      </c>
      <c r="AR60" s="288">
        <v>0.74614070412972766</v>
      </c>
      <c r="AS60" s="288">
        <v>0.74699337773151242</v>
      </c>
      <c r="AT60" s="288">
        <v>0.74779848361432477</v>
      </c>
      <c r="AU60" s="288">
        <v>0.74855805326017866</v>
      </c>
      <c r="AV60" s="289">
        <v>0.74927400358010465</v>
      </c>
      <c r="AW60" s="287">
        <v>0.74994814519288866</v>
      </c>
      <c r="AX60" s="288">
        <v>0.7505821899720988</v>
      </c>
      <c r="AY60" s="288">
        <v>0.7511777579376866</v>
      </c>
      <c r="AZ60" s="288">
        <v>0.75173638355932459</v>
      </c>
      <c r="BA60" s="288">
        <v>0.75225952153072739</v>
      </c>
      <c r="BB60" s="288">
        <v>0.75274855206736213</v>
      </c>
      <c r="BC60" s="288">
        <v>0.75320478577397543</v>
      </c>
      <c r="BD60" s="288">
        <v>0.7536294681231791</v>
      </c>
      <c r="BE60" s="288">
        <v>0.75402378358178024</v>
      </c>
      <c r="BF60" s="289">
        <v>0.75438885941757139</v>
      </c>
      <c r="BG60" s="289">
        <f t="shared" si="0"/>
        <v>0.75438885941757139</v>
      </c>
      <c r="BH60" s="237"/>
    </row>
    <row r="61" spans="1:60" x14ac:dyDescent="0.2">
      <c r="A61" s="273">
        <v>15.5</v>
      </c>
      <c r="B61" s="277">
        <v>0.56323647365785623</v>
      </c>
      <c r="C61" s="278">
        <v>0.57585986584798798</v>
      </c>
      <c r="D61" s="278">
        <v>0.58778599100712758</v>
      </c>
      <c r="E61" s="278">
        <v>0.59882539812257329</v>
      </c>
      <c r="F61" s="278">
        <v>0.60897846933450062</v>
      </c>
      <c r="G61" s="278">
        <v>0.61830398452173541</v>
      </c>
      <c r="H61" s="278">
        <v>0.62687547095897533</v>
      </c>
      <c r="I61" s="278">
        <v>0.63476591114250358</v>
      </c>
      <c r="J61" s="279">
        <v>0.64204259193111468</v>
      </c>
      <c r="K61" s="277">
        <v>0.64876578211151537</v>
      </c>
      <c r="L61" s="278">
        <v>0.6549888618696601</v>
      </c>
      <c r="M61" s="278">
        <v>0.66075896228815945</v>
      </c>
      <c r="N61" s="278">
        <v>0.66611773381702255</v>
      </c>
      <c r="O61" s="278">
        <v>0.67110209267751475</v>
      </c>
      <c r="P61" s="278">
        <v>0.67574489106332103</v>
      </c>
      <c r="Q61" s="278">
        <v>0.68007549791070698</v>
      </c>
      <c r="R61" s="278">
        <v>0.68412029366236715</v>
      </c>
      <c r="S61" s="279">
        <v>0.68790279785293795</v>
      </c>
      <c r="T61" s="277">
        <v>0.69144313806627933</v>
      </c>
      <c r="U61" s="278">
        <v>0.69475920084071208</v>
      </c>
      <c r="V61" s="278">
        <v>0.69786717486319549</v>
      </c>
      <c r="W61" s="278">
        <v>0.70078176755961774</v>
      </c>
      <c r="X61" s="278">
        <v>0.70351638908746505</v>
      </c>
      <c r="Y61" s="278">
        <v>0.70608330919737283</v>
      </c>
      <c r="Z61" s="278">
        <v>0.70849379146342029</v>
      </c>
      <c r="AA61" s="278">
        <v>0.71075820858104388</v>
      </c>
      <c r="AB61" s="279">
        <v>0.71288614177459997</v>
      </c>
      <c r="AC61" s="277">
        <v>0.71488646682068602</v>
      </c>
      <c r="AD61" s="278">
        <v>0.71676742875699007</v>
      </c>
      <c r="AE61" s="278">
        <v>0.71853670699117478</v>
      </c>
      <c r="AF61" s="278">
        <v>0.72020147223468556</v>
      </c>
      <c r="AG61" s="278">
        <v>0.72176843644978228</v>
      </c>
      <c r="AH61" s="278">
        <v>0.7232438968042959</v>
      </c>
      <c r="AI61" s="278">
        <v>0.7246337744693927</v>
      </c>
      <c r="AJ61" s="278">
        <v>0.72594364896438979</v>
      </c>
      <c r="AK61" s="278">
        <v>0.72717878864413243</v>
      </c>
      <c r="AL61" s="279">
        <v>0.72834417783436167</v>
      </c>
      <c r="AM61" s="277">
        <v>0.73095269992292489</v>
      </c>
      <c r="AN61" s="278">
        <v>0.7320867461277567</v>
      </c>
      <c r="AO61" s="278">
        <v>0.73315808784693814</v>
      </c>
      <c r="AP61" s="278">
        <v>0.73416962601630154</v>
      </c>
      <c r="AQ61" s="278">
        <v>0.73512408379444039</v>
      </c>
      <c r="AR61" s="278">
        <v>0.73602402050769877</v>
      </c>
      <c r="AS61" s="278">
        <v>0.7368718442598976</v>
      </c>
      <c r="AT61" s="278">
        <v>0.73766982335722719</v>
      </c>
      <c r="AU61" s="278">
        <v>0.73842009667933184</v>
      </c>
      <c r="AV61" s="279">
        <v>0.73912468311103052</v>
      </c>
      <c r="AW61" s="277">
        <v>0.7397854901348605</v>
      </c>
      <c r="AX61" s="278">
        <v>0.74040432167240189</v>
      </c>
      <c r="AY61" s="278">
        <v>0.74098288525175937</v>
      </c>
      <c r="AZ61" s="278">
        <v>0.7415227985694407</v>
      </c>
      <c r="BA61" s="278">
        <v>0.74202559550694447</v>
      </c>
      <c r="BB61" s="278">
        <v>0.74249273165547047</v>
      </c>
      <c r="BC61" s="278">
        <v>0.7429255893961686</v>
      </c>
      <c r="BD61" s="278">
        <v>0.74332548257808539</v>
      </c>
      <c r="BE61" s="278">
        <v>0.74369366083137978</v>
      </c>
      <c r="BF61" s="279">
        <v>0.74403131354934848</v>
      </c>
      <c r="BG61" s="279">
        <f t="shared" si="0"/>
        <v>0.74403131354934848</v>
      </c>
      <c r="BH61" s="237"/>
    </row>
    <row r="62" spans="1:60" x14ac:dyDescent="0.2">
      <c r="A62" s="273">
        <v>16</v>
      </c>
      <c r="B62" s="277">
        <v>0.55109092766792134</v>
      </c>
      <c r="C62" s="278">
        <v>0.56478563784587932</v>
      </c>
      <c r="D62" s="278">
        <v>0.57681223131336734</v>
      </c>
      <c r="E62" s="278">
        <v>0.58761415139421458</v>
      </c>
      <c r="F62" s="278">
        <v>0.59744057275637419</v>
      </c>
      <c r="G62" s="278">
        <v>0.60645164762172299</v>
      </c>
      <c r="H62" s="278">
        <v>0.61476034134756719</v>
      </c>
      <c r="I62" s="278">
        <v>0.62245172504052926</v>
      </c>
      <c r="J62" s="279">
        <v>0.62959295486016098</v>
      </c>
      <c r="K62" s="277">
        <v>0.63623892568236307</v>
      </c>
      <c r="L62" s="278">
        <v>0.64243571689289125</v>
      </c>
      <c r="M62" s="278">
        <v>0.64822282037107593</v>
      </c>
      <c r="N62" s="278">
        <v>0.65363465199845594</v>
      </c>
      <c r="O62" s="278">
        <v>0.65870161823659523</v>
      </c>
      <c r="P62" s="278">
        <v>0.6634508935417619</v>
      </c>
      <c r="Q62" s="278">
        <v>0.66790700248117385</v>
      </c>
      <c r="R62" s="278">
        <v>0.67209226556683221</v>
      </c>
      <c r="S62" s="279">
        <v>0.67602660178634244</v>
      </c>
      <c r="T62" s="277">
        <v>0.67972614488376304</v>
      </c>
      <c r="U62" s="278">
        <v>0.68320506591426444</v>
      </c>
      <c r="V62" s="278">
        <v>0.68647630309724328</v>
      </c>
      <c r="W62" s="278">
        <v>0.68955171948990435</v>
      </c>
      <c r="X62" s="278">
        <v>0.69244223458137244</v>
      </c>
      <c r="Y62" s="278">
        <v>0.69515793506097756</v>
      </c>
      <c r="Z62" s="278">
        <v>0.69770816877314235</v>
      </c>
      <c r="AA62" s="278">
        <v>0.7001016249644314</v>
      </c>
      <c r="AB62" s="279">
        <v>0.7023464032553598</v>
      </c>
      <c r="AC62" s="277">
        <v>0.70445007326314357</v>
      </c>
      <c r="AD62" s="278">
        <v>0.70641972641560968</v>
      </c>
      <c r="AE62" s="278">
        <v>0.70826202119890203</v>
      </c>
      <c r="AF62" s="278">
        <v>0.70998322284977355</v>
      </c>
      <c r="AG62" s="278">
        <v>0.7115892383208503</v>
      </c>
      <c r="AH62" s="278">
        <v>0.71308564720248091</v>
      </c>
      <c r="AI62" s="278">
        <v>0.71447772916894758</v>
      </c>
      <c r="AJ62" s="278">
        <v>0.71577048842339619</v>
      </c>
      <c r="AK62" s="278">
        <v>0.71696867554001842</v>
      </c>
      <c r="AL62" s="279">
        <v>0.71807680704003485</v>
      </c>
      <c r="AM62" s="277">
        <v>0.72105314352213934</v>
      </c>
      <c r="AN62" s="278">
        <v>0.72222471393399112</v>
      </c>
      <c r="AO62" s="278">
        <v>0.7233254980841155</v>
      </c>
      <c r="AP62" s="278">
        <v>0.72435837780648094</v>
      </c>
      <c r="AQ62" s="278">
        <v>0.72532607634428825</v>
      </c>
      <c r="AR62" s="278">
        <v>0.72623116994216552</v>
      </c>
      <c r="AS62" s="278">
        <v>0.72707609837341247</v>
      </c>
      <c r="AT62" s="278">
        <v>0.72786317451990068</v>
      </c>
      <c r="AU62" s="278">
        <v>0.72859459310713037</v>
      </c>
      <c r="AV62" s="279">
        <v>0.72927243868403047</v>
      </c>
      <c r="AW62" s="277">
        <v>0.72989869292602416</v>
      </c>
      <c r="AX62" s="278">
        <v>0.73047524133038499</v>
      </c>
      <c r="AY62" s="278">
        <v>0.73100387936469402</v>
      </c>
      <c r="AZ62" s="278">
        <v>0.73148631812213438</v>
      </c>
      <c r="BA62" s="278">
        <v>0.73192418953119631</v>
      </c>
      <c r="BB62" s="278">
        <v>0.73231905116202334</v>
      </c>
      <c r="BC62" s="278">
        <v>0.73267239066696466</v>
      </c>
      <c r="BD62" s="278">
        <v>0.73298562988881999</v>
      </c>
      <c r="BE62" s="278">
        <v>0.73326012866668844</v>
      </c>
      <c r="BF62" s="279">
        <v>0.73349718836619726</v>
      </c>
      <c r="BG62" s="279">
        <f t="shared" si="0"/>
        <v>0.73349718836619726</v>
      </c>
      <c r="BH62" s="237"/>
    </row>
    <row r="63" spans="1:60" x14ac:dyDescent="0.2">
      <c r="A63" s="273">
        <v>16.5</v>
      </c>
      <c r="B63" s="277">
        <v>0.53907532317215168</v>
      </c>
      <c r="C63" s="278">
        <v>0.55167279185609541</v>
      </c>
      <c r="D63" s="278">
        <v>0.56352087231889436</v>
      </c>
      <c r="E63" s="278">
        <v>0.57450728497429959</v>
      </c>
      <c r="F63" s="278">
        <v>0.58464850878702612</v>
      </c>
      <c r="G63" s="278">
        <v>0.59400092737489663</v>
      </c>
      <c r="H63" s="278">
        <v>0.60263062558787284</v>
      </c>
      <c r="I63" s="278">
        <v>0.6106026257133631</v>
      </c>
      <c r="J63" s="279">
        <v>0.61797722359347618</v>
      </c>
      <c r="K63" s="277">
        <v>0.62480905444974733</v>
      </c>
      <c r="L63" s="278">
        <v>0.63114721165230314</v>
      </c>
      <c r="M63" s="278">
        <v>0.63703574209564284</v>
      </c>
      <c r="N63" s="278">
        <v>0.64251423972480459</v>
      </c>
      <c r="O63" s="278">
        <v>0.64761842464473218</v>
      </c>
      <c r="P63" s="278">
        <v>0.65238066631126046</v>
      </c>
      <c r="Q63" s="278">
        <v>0.65683043986355616</v>
      </c>
      <c r="R63" s="278">
        <v>0.66099471739985727</v>
      </c>
      <c r="S63" s="279">
        <v>0.66489747766023866</v>
      </c>
      <c r="T63" s="277">
        <v>0.66855748338176813</v>
      </c>
      <c r="U63" s="278">
        <v>0.67199093527288889</v>
      </c>
      <c r="V63" s="278">
        <v>0.67521250384334408</v>
      </c>
      <c r="W63" s="278">
        <v>0.67823551563080775</v>
      </c>
      <c r="X63" s="278">
        <v>0.68107211244920574</v>
      </c>
      <c r="Y63" s="278">
        <v>0.68373338804117467</v>
      </c>
      <c r="Z63" s="278">
        <v>0.68622950576533237</v>
      </c>
      <c r="AA63" s="278">
        <v>0.68856980032137283</v>
      </c>
      <c r="AB63" s="279">
        <v>0.69076286599765313</v>
      </c>
      <c r="AC63" s="277">
        <v>0.69281663350024392</v>
      </c>
      <c r="AD63" s="278">
        <v>0.69473843707367333</v>
      </c>
      <c r="AE63" s="278">
        <v>0.69653507333794662</v>
      </c>
      <c r="AF63" s="278">
        <v>0.69821285303224712</v>
      </c>
      <c r="AG63" s="278">
        <v>0.69977764666336184</v>
      </c>
      <c r="AH63" s="278">
        <v>0.7012349248984584</v>
      </c>
      <c r="AI63" s="278">
        <v>0.70258979441103886</v>
      </c>
      <c r="AJ63" s="278">
        <v>0.70384702978051061</v>
      </c>
      <c r="AK63" s="278">
        <v>0.70501110195575378</v>
      </c>
      <c r="AL63" s="279">
        <v>0.70608620371796804</v>
      </c>
      <c r="AM63" s="277">
        <v>0.70942679923019736</v>
      </c>
      <c r="AN63" s="278">
        <v>0.71062811866867892</v>
      </c>
      <c r="AO63" s="278">
        <v>0.71176612191001132</v>
      </c>
      <c r="AP63" s="278">
        <v>0.71284375121810861</v>
      </c>
      <c r="AQ63" s="278">
        <v>0.7138637682513217</v>
      </c>
      <c r="AR63" s="278">
        <v>0.71482876820067687</v>
      </c>
      <c r="AS63" s="278">
        <v>0.71574119258073199</v>
      </c>
      <c r="AT63" s="278">
        <v>0.71660334082380417</v>
      </c>
      <c r="AU63" s="278">
        <v>0.71741738080905726</v>
      </c>
      <c r="AV63" s="279">
        <v>0.7181853584414194</v>
      </c>
      <c r="AW63" s="277">
        <v>0.71890920638110622</v>
      </c>
      <c r="AX63" s="278">
        <v>0.71959075201230094</v>
      </c>
      <c r="AY63" s="278">
        <v>0.72023172472896857</v>
      </c>
      <c r="AZ63" s="278">
        <v>0.72083376260663767</v>
      </c>
      <c r="BA63" s="278">
        <v>0.72139841852102959</v>
      </c>
      <c r="BB63" s="278">
        <v>0.72192716576749894</v>
      </c>
      <c r="BC63" s="278">
        <v>0.72242140322921611</v>
      </c>
      <c r="BD63" s="278">
        <v>0.72288246013674673</v>
      </c>
      <c r="BE63" s="278">
        <v>0.72331160045705556</v>
      </c>
      <c r="BF63" s="279">
        <v>0.72371002694590336</v>
      </c>
      <c r="BG63" s="279">
        <f t="shared" si="0"/>
        <v>0.72371002694590336</v>
      </c>
      <c r="BH63" s="237"/>
    </row>
    <row r="64" spans="1:60" x14ac:dyDescent="0.2">
      <c r="A64" s="280">
        <v>17</v>
      </c>
      <c r="B64" s="281">
        <v>0.52605389507059874</v>
      </c>
      <c r="C64" s="282">
        <v>0.53931589918962075</v>
      </c>
      <c r="D64" s="282">
        <v>0.55150371149016408</v>
      </c>
      <c r="E64" s="282">
        <v>0.56263807510972719</v>
      </c>
      <c r="F64" s="282">
        <v>0.57281028990092686</v>
      </c>
      <c r="G64" s="282">
        <v>0.58212187801066406</v>
      </c>
      <c r="H64" s="282">
        <v>0.59066760645806071</v>
      </c>
      <c r="I64" s="282">
        <v>0.59853146911816868</v>
      </c>
      <c r="J64" s="283">
        <v>0.60578672225991304</v>
      </c>
      <c r="K64" s="281">
        <v>0.61249709812636799</v>
      </c>
      <c r="L64" s="282">
        <v>0.61871822911047569</v>
      </c>
      <c r="M64" s="282">
        <v>0.62449896692863838</v>
      </c>
      <c r="N64" s="282">
        <v>0.62988251250715976</v>
      </c>
      <c r="O64" s="282">
        <v>0.63490735359333816</v>
      </c>
      <c r="P64" s="282">
        <v>0.63960803295778679</v>
      </c>
      <c r="Q64" s="282">
        <v>0.64401577537976062</v>
      </c>
      <c r="R64" s="282">
        <v>0.64815899972553825</v>
      </c>
      <c r="S64" s="283">
        <v>0.65206263756714522</v>
      </c>
      <c r="T64" s="281">
        <v>0.65574512696103504</v>
      </c>
      <c r="U64" s="282">
        <v>0.65922192466454976</v>
      </c>
      <c r="V64" s="282">
        <v>0.66250685022494682</v>
      </c>
      <c r="W64" s="282">
        <v>0.66561230087532941</v>
      </c>
      <c r="X64" s="282">
        <v>0.66854943253742205</v>
      </c>
      <c r="Y64" s="282">
        <v>0.67132831307355434</v>
      </c>
      <c r="Z64" s="282">
        <v>0.67395805269577813</v>
      </c>
      <c r="AA64" s="282">
        <v>0.67644691547232849</v>
      </c>
      <c r="AB64" s="283">
        <v>0.67880241511068418</v>
      </c>
      <c r="AC64" s="281">
        <v>0.68103139759572406</v>
      </c>
      <c r="AD64" s="282">
        <v>0.68314011278504028</v>
      </c>
      <c r="AE64" s="282">
        <v>0.68513427668379712</v>
      </c>
      <c r="AF64" s="282">
        <v>0.68701912581745717</v>
      </c>
      <c r="AG64" s="282">
        <v>0.68879946487597798</v>
      </c>
      <c r="AH64" s="282">
        <v>0.69047970860512786</v>
      </c>
      <c r="AI64" s="282">
        <v>0.69206391875968098</v>
      </c>
      <c r="AJ64" s="282">
        <v>0.69355583680185517</v>
      </c>
      <c r="AK64" s="282">
        <v>0.69495891292055056</v>
      </c>
      <c r="AL64" s="283">
        <v>0.696276331858104</v>
      </c>
      <c r="AM64" s="281">
        <v>0.69888178374064136</v>
      </c>
      <c r="AN64" s="282">
        <v>0.70015689045190266</v>
      </c>
      <c r="AO64" s="282">
        <v>0.70136408451658327</v>
      </c>
      <c r="AP64" s="282">
        <v>0.7025062057152377</v>
      </c>
      <c r="AQ64" s="282">
        <v>0.7035859321417367</v>
      </c>
      <c r="AR64" s="282">
        <v>0.7046057923361726</v>
      </c>
      <c r="AS64" s="282">
        <v>0.70556817628274981</v>
      </c>
      <c r="AT64" s="282">
        <v>0.70647534539947188</v>
      </c>
      <c r="AU64" s="282">
        <v>0.7073294416300353</v>
      </c>
      <c r="AV64" s="283">
        <v>0.70813249573434123</v>
      </c>
      <c r="AW64" s="281">
        <v>0.70888643486203051</v>
      </c>
      <c r="AX64" s="282">
        <v>0.70959308948315925</v>
      </c>
      <c r="AY64" s="282">
        <v>0.71025419974124226</v>
      </c>
      <c r="AZ64" s="282">
        <v>0.71087142128622149</v>
      </c>
      <c r="BA64" s="282">
        <v>0.71144633063826757</v>
      </c>
      <c r="BB64" s="282">
        <v>0.71198043012753798</v>
      </c>
      <c r="BC64" s="282">
        <v>0.71247515244998627</v>
      </c>
      <c r="BD64" s="282">
        <v>0.71293186487491522</v>
      </c>
      <c r="BE64" s="282">
        <v>0.71335187313611148</v>
      </c>
      <c r="BF64" s="283">
        <v>0.71373642503503243</v>
      </c>
      <c r="BG64" s="283">
        <f t="shared" si="0"/>
        <v>0.71373642503503243</v>
      </c>
      <c r="BH64" s="237"/>
    </row>
    <row r="65" spans="1:60" x14ac:dyDescent="0.2">
      <c r="A65" s="273">
        <v>17.5</v>
      </c>
      <c r="B65" s="284">
        <v>0.5149957425920022</v>
      </c>
      <c r="C65" s="285">
        <v>0.52798688964365192</v>
      </c>
      <c r="D65" s="285">
        <v>0.53972579453135916</v>
      </c>
      <c r="E65" s="285">
        <v>0.5504716167551672</v>
      </c>
      <c r="F65" s="285">
        <v>0.56037559901535927</v>
      </c>
      <c r="G65" s="285">
        <v>0.56954173334416036</v>
      </c>
      <c r="H65" s="285">
        <v>0.5780491442550616</v>
      </c>
      <c r="I65" s="285">
        <v>0.58596192257223723</v>
      </c>
      <c r="J65" s="286">
        <v>0.59333410770763928</v>
      </c>
      <c r="K65" s="284">
        <v>0.6002125218072587</v>
      </c>
      <c r="L65" s="285">
        <v>0.60663853688817582</v>
      </c>
      <c r="M65" s="285">
        <v>0.61264925761621347</v>
      </c>
      <c r="N65" s="285">
        <v>0.61827835679088006</v>
      </c>
      <c r="O65" s="285">
        <v>0.62355669010428494</v>
      </c>
      <c r="P65" s="285">
        <v>0.62851276281108781</v>
      </c>
      <c r="Q65" s="285">
        <v>0.63317309265416089</v>
      </c>
      <c r="R65" s="285">
        <v>0.63756249756594752</v>
      </c>
      <c r="S65" s="286">
        <v>0.6417029599866314</v>
      </c>
      <c r="T65" s="284">
        <v>0.64560964852226377</v>
      </c>
      <c r="U65" s="285">
        <v>0.64929507419537558</v>
      </c>
      <c r="V65" s="285">
        <v>0.6527705964498961</v>
      </c>
      <c r="W65" s="285">
        <v>0.65604655591797745</v>
      </c>
      <c r="X65" s="285">
        <v>0.65913238781809402</v>
      </c>
      <c r="Y65" s="285">
        <v>0.66203671943386999</v>
      </c>
      <c r="Z65" s="285">
        <v>0.6647674543968155</v>
      </c>
      <c r="AA65" s="285">
        <v>0.66733184594663897</v>
      </c>
      <c r="AB65" s="286">
        <v>0.66973656092118861</v>
      </c>
      <c r="AC65" s="284">
        <v>0.67198773590056593</v>
      </c>
      <c r="AD65" s="285">
        <v>0.67409102667280574</v>
      </c>
      <c r="AE65" s="285">
        <v>0.67605165198459949</v>
      </c>
      <c r="AF65" s="285">
        <v>0.67787443237746936</v>
      </c>
      <c r="AG65" s="285">
        <v>0.67956382477830612</v>
      </c>
      <c r="AH65" s="285">
        <v>0.68112395340642373</v>
      </c>
      <c r="AI65" s="285">
        <v>0.68255863747200962</v>
      </c>
      <c r="AJ65" s="285">
        <v>0.68387141606904756</v>
      </c>
      <c r="AK65" s="285">
        <v>0.68506557060642803</v>
      </c>
      <c r="AL65" s="286">
        <v>0.68614414507155908</v>
      </c>
      <c r="AM65" s="287">
        <v>0.68956290229362094</v>
      </c>
      <c r="AN65" s="288">
        <v>0.69082011338493021</v>
      </c>
      <c r="AO65" s="288">
        <v>0.69200328171510295</v>
      </c>
      <c r="AP65" s="288">
        <v>0.69311544505813039</v>
      </c>
      <c r="AQ65" s="288">
        <v>0.69415947456377869</v>
      </c>
      <c r="AR65" s="288">
        <v>0.69513808678563394</v>
      </c>
      <c r="AS65" s="288">
        <v>0.69605385462536884</v>
      </c>
      <c r="AT65" s="288">
        <v>0.69690921730994815</v>
      </c>
      <c r="AU65" s="288">
        <v>0.69770648950395231</v>
      </c>
      <c r="AV65" s="289">
        <v>0.69844786964667838</v>
      </c>
      <c r="AW65" s="287">
        <v>0.69913544759291879</v>
      </c>
      <c r="AX65" s="288">
        <v>0.69977121162700662</v>
      </c>
      <c r="AY65" s="288">
        <v>0.70035705491164957</v>
      </c>
      <c r="AZ65" s="288">
        <v>0.70089478142607697</v>
      </c>
      <c r="BA65" s="288">
        <v>0.7013861114419111</v>
      </c>
      <c r="BB65" s="288">
        <v>0.70183268657985687</v>
      </c>
      <c r="BC65" s="288">
        <v>0.70223607448563741</v>
      </c>
      <c r="BD65" s="288">
        <v>0.70259777315950922</v>
      </c>
      <c r="BE65" s="288">
        <v>0.70291921497009713</v>
      </c>
      <c r="BF65" s="289">
        <v>0.70320177038012288</v>
      </c>
      <c r="BG65" s="289">
        <f t="shared" si="0"/>
        <v>0.70320177038012288</v>
      </c>
      <c r="BH65" s="237"/>
    </row>
    <row r="66" spans="1:60" x14ac:dyDescent="0.2">
      <c r="A66" s="273">
        <v>18</v>
      </c>
      <c r="B66" s="277">
        <v>0.50495782958563018</v>
      </c>
      <c r="C66" s="278">
        <v>0.51644075098047804</v>
      </c>
      <c r="D66" s="278">
        <v>0.52775311469109953</v>
      </c>
      <c r="E66" s="278">
        <v>0.53849209944856724</v>
      </c>
      <c r="F66" s="278">
        <v>0.54854059195752292</v>
      </c>
      <c r="G66" s="278">
        <v>0.55788724246895183</v>
      </c>
      <c r="H66" s="278">
        <v>0.56656158175008298</v>
      </c>
      <c r="I66" s="278">
        <v>0.57460820682372271</v>
      </c>
      <c r="J66" s="279">
        <v>0.58207592064908986</v>
      </c>
      <c r="K66" s="277">
        <v>0.5890130892014559</v>
      </c>
      <c r="L66" s="278">
        <v>0.59546573103413492</v>
      </c>
      <c r="M66" s="278">
        <v>0.60147684659083889</v>
      </c>
      <c r="N66" s="278">
        <v>0.60708631359146503</v>
      </c>
      <c r="O66" s="278">
        <v>0.61233103327115423</v>
      </c>
      <c r="P66" s="278">
        <v>0.61724517691657133</v>
      </c>
      <c r="Q66" s="278">
        <v>0.62186046060612521</v>
      </c>
      <c r="R66" s="278">
        <v>0.62620641442273783</v>
      </c>
      <c r="S66" s="279">
        <v>0.63030903171658337</v>
      </c>
      <c r="T66" s="277">
        <v>0.63418611628916199</v>
      </c>
      <c r="U66" s="278">
        <v>0.63785215873740442</v>
      </c>
      <c r="V66" s="278">
        <v>0.6413201185736197</v>
      </c>
      <c r="W66" s="278">
        <v>0.64460160143419587</v>
      </c>
      <c r="X66" s="278">
        <v>0.64770701321921353</v>
      </c>
      <c r="Y66" s="278">
        <v>0.65064569420346463</v>
      </c>
      <c r="Z66" s="278">
        <v>0.65342603585853298</v>
      </c>
      <c r="AA66" s="278">
        <v>0.65605558279319609</v>
      </c>
      <c r="AB66" s="279">
        <v>0.65854112189660308</v>
      </c>
      <c r="AC66" s="277">
        <v>0.66088876047379286</v>
      </c>
      <c r="AD66" s="278">
        <v>0.66310399490257577</v>
      </c>
      <c r="AE66" s="278">
        <v>0.66519177111505357</v>
      </c>
      <c r="AF66" s="278">
        <v>0.66715653801374708</v>
      </c>
      <c r="AG66" s="278">
        <v>0.66900229476792161</v>
      </c>
      <c r="AH66" s="278">
        <v>0.67073263279649076</v>
      </c>
      <c r="AI66" s="278">
        <v>0.67235077312621283</v>
      </c>
      <c r="AJ66" s="278">
        <v>0.67385959971449827</v>
      </c>
      <c r="AK66" s="278">
        <v>0.67526168924217389</v>
      </c>
      <c r="AL66" s="279">
        <v>0.67655933781051203</v>
      </c>
      <c r="AM66" s="277">
        <v>0.67909661175263136</v>
      </c>
      <c r="AN66" s="278">
        <v>0.68038184147351399</v>
      </c>
      <c r="AO66" s="278">
        <v>0.681594067012806</v>
      </c>
      <c r="AP66" s="278">
        <v>0.68273638702324768</v>
      </c>
      <c r="AQ66" s="278">
        <v>0.68381172583494587</v>
      </c>
      <c r="AR66" s="278">
        <v>0.68482284617704647</v>
      </c>
      <c r="AS66" s="278">
        <v>0.68577236075428394</v>
      </c>
      <c r="AT66" s="278">
        <v>0.68666274280042916</v>
      </c>
      <c r="AU66" s="278">
        <v>0.68749633571573143</v>
      </c>
      <c r="AV66" s="279">
        <v>0.68827536188257787</v>
      </c>
      <c r="AW66" s="277">
        <v>0.68900193074244731</v>
      </c>
      <c r="AX66" s="278">
        <v>0.68967804620758244</v>
      </c>
      <c r="AY66" s="278">
        <v>0.69030561347239794</v>
      </c>
      <c r="AZ66" s="278">
        <v>0.6908864452823299</v>
      </c>
      <c r="BA66" s="278">
        <v>0.69142226771144155</v>
      </c>
      <c r="BB66" s="278">
        <v>0.69191472549449751</v>
      </c>
      <c r="BC66" s="278">
        <v>0.69236538695432692</v>
      </c>
      <c r="BD66" s="278">
        <v>0.69277574856096924</v>
      </c>
      <c r="BE66" s="278">
        <v>0.69314723915530307</v>
      </c>
      <c r="BF66" s="279">
        <v>0.69348122386651212</v>
      </c>
      <c r="BG66" s="279">
        <f t="shared" si="0"/>
        <v>0.69348122386651212</v>
      </c>
      <c r="BH66" s="237"/>
    </row>
    <row r="67" spans="1:60" x14ac:dyDescent="0.2">
      <c r="A67" s="273">
        <v>18.5</v>
      </c>
      <c r="B67" s="277">
        <v>0.492867208896765</v>
      </c>
      <c r="C67" s="278">
        <v>0.5049723224830478</v>
      </c>
      <c r="D67" s="278">
        <v>0.51632842298362114</v>
      </c>
      <c r="E67" s="278">
        <v>0.52693608807581904</v>
      </c>
      <c r="F67" s="278">
        <v>0.53682691133426108</v>
      </c>
      <c r="G67" s="278">
        <v>0.5460443332158359</v>
      </c>
      <c r="H67" s="278">
        <v>0.55463500582462277</v>
      </c>
      <c r="I67" s="278">
        <v>0.56264502684751472</v>
      </c>
      <c r="J67" s="279">
        <v>0.57011839319469571</v>
      </c>
      <c r="K67" s="277">
        <v>0.57709647168361189</v>
      </c>
      <c r="L67" s="278">
        <v>0.5836179324522377</v>
      </c>
      <c r="M67" s="278">
        <v>0.58971888458289223</v>
      </c>
      <c r="N67" s="278">
        <v>0.59543309006984124</v>
      </c>
      <c r="O67" s="278">
        <v>0.60079219746323942</v>
      </c>
      <c r="P67" s="278">
        <v>0.60582596823819401</v>
      </c>
      <c r="Q67" s="278">
        <v>0.61056248452181139</v>
      </c>
      <c r="R67" s="278">
        <v>0.61502833444380056</v>
      </c>
      <c r="S67" s="279">
        <v>0.61924698987916704</v>
      </c>
      <c r="T67" s="277">
        <v>0.62323350290310298</v>
      </c>
      <c r="U67" s="278">
        <v>0.62699984460947455</v>
      </c>
      <c r="V67" s="278">
        <v>0.63055680973321604</v>
      </c>
      <c r="W67" s="278">
        <v>0.63391414247123223</v>
      </c>
      <c r="X67" s="278">
        <v>0.63708064651397744</v>
      </c>
      <c r="Y67" s="278">
        <v>0.64006428148780403</v>
      </c>
      <c r="Z67" s="278">
        <v>0.64287224770166362</v>
      </c>
      <c r="AA67" s="278">
        <v>0.6455110608173924</v>
      </c>
      <c r="AB67" s="279">
        <v>0.64798661782362366</v>
      </c>
      <c r="AC67" s="277">
        <v>0.65030425548803328</v>
      </c>
      <c r="AD67" s="278">
        <v>0.65246880228792714</v>
      </c>
      <c r="AE67" s="278">
        <v>0.65448462467132162</v>
      </c>
      <c r="AF67" s="278">
        <v>0.65635566837585713</v>
      </c>
      <c r="AG67" s="278">
        <v>0.65808549542761763</v>
      </c>
      <c r="AH67" s="278">
        <v>0.65967731735314095</v>
      </c>
      <c r="AI67" s="278">
        <v>0.6611340250629314</v>
      </c>
      <c r="AJ67" s="278">
        <v>0.66245821580137965</v>
      </c>
      <c r="AK67" s="278">
        <v>0.6636522175042765</v>
      </c>
      <c r="AL67" s="279">
        <v>0.66471811085948873</v>
      </c>
      <c r="AM67" s="277">
        <v>0.66843932699500308</v>
      </c>
      <c r="AN67" s="278">
        <v>0.66975664129867774</v>
      </c>
      <c r="AO67" s="278">
        <v>0.67100081051936489</v>
      </c>
      <c r="AP67" s="278">
        <v>0.6721749305139274</v>
      </c>
      <c r="AQ67" s="278">
        <v>0.6732819231468874</v>
      </c>
      <c r="AR67" s="278">
        <v>0.67432454898525718</v>
      </c>
      <c r="AS67" s="278">
        <v>0.67530541885033157</v>
      </c>
      <c r="AT67" s="278">
        <v>0.67622700434832672</v>
      </c>
      <c r="AU67" s="278">
        <v>0.67709164748682427</v>
      </c>
      <c r="AV67" s="279">
        <v>0.67790156947110702</v>
      </c>
      <c r="AW67" s="277">
        <v>0.67865887876334319</v>
      </c>
      <c r="AX67" s="278">
        <v>0.67936557847791179</v>
      </c>
      <c r="AY67" s="278">
        <v>0.68002357317778506</v>
      </c>
      <c r="AZ67" s="278">
        <v>0.68063467512956144</v>
      </c>
      <c r="BA67" s="278">
        <v>0.68120061006836008</v>
      </c>
      <c r="BB67" s="278">
        <v>0.68172302251821426</v>
      </c>
      <c r="BC67" s="278">
        <v>0.68220348070868397</v>
      </c>
      <c r="BD67" s="278">
        <v>0.68264348112411244</v>
      </c>
      <c r="BE67" s="278">
        <v>0.68304445271815706</v>
      </c>
      <c r="BF67" s="279">
        <v>0.68340776082287757</v>
      </c>
      <c r="BG67" s="279">
        <f t="shared" si="0"/>
        <v>0.68340776082287757</v>
      </c>
      <c r="BH67" s="237"/>
    </row>
    <row r="68" spans="1:60" x14ac:dyDescent="0.2">
      <c r="A68" s="273">
        <v>19</v>
      </c>
      <c r="B68" s="277">
        <v>0.48198999218165317</v>
      </c>
      <c r="C68" s="278">
        <v>0.49445975266977177</v>
      </c>
      <c r="D68" s="278">
        <v>0.50582802565828366</v>
      </c>
      <c r="E68" s="278">
        <v>0.51632822678671686</v>
      </c>
      <c r="F68" s="278">
        <v>0.5260828010987425</v>
      </c>
      <c r="G68" s="278">
        <v>0.53517179401978077</v>
      </c>
      <c r="H68" s="278">
        <v>0.54365579644097672</v>
      </c>
      <c r="I68" s="278">
        <v>0.55158489709631853</v>
      </c>
      <c r="J68" s="279">
        <v>0.55900267509570711</v>
      </c>
      <c r="K68" s="277">
        <v>0.56594821373990767</v>
      </c>
      <c r="L68" s="278">
        <v>0.57245723811249527</v>
      </c>
      <c r="M68" s="278">
        <v>0.5785628250222048</v>
      </c>
      <c r="N68" s="278">
        <v>0.58429588397744792</v>
      </c>
      <c r="O68" s="278">
        <v>0.58968550444924894</v>
      </c>
      <c r="P68" s="278">
        <v>0.59475921870779414</v>
      </c>
      <c r="Q68" s="278">
        <v>0.5995432076806525</v>
      </c>
      <c r="R68" s="278">
        <v>0.60406246622385995</v>
      </c>
      <c r="S68" s="279">
        <v>0.60833902939434259</v>
      </c>
      <c r="T68" s="277">
        <v>0.61238625846027284</v>
      </c>
      <c r="U68" s="278">
        <v>0.61621450664955846</v>
      </c>
      <c r="V68" s="278">
        <v>0.61983312105991317</v>
      </c>
      <c r="W68" s="278">
        <v>0.62325054699916937</v>
      </c>
      <c r="X68" s="278">
        <v>0.6264744190329824</v>
      </c>
      <c r="Y68" s="278">
        <v>0.62951164082775124</v>
      </c>
      <c r="Z68" s="278">
        <v>0.63236845547947362</v>
      </c>
      <c r="AA68" s="278">
        <v>0.63505050771300153</v>
      </c>
      <c r="AB68" s="279">
        <v>0.63756289909589958</v>
      </c>
      <c r="AC68" s="277">
        <v>0.63991023721994156</v>
      </c>
      <c r="AD68" s="278">
        <v>0.64209667964945738</v>
      </c>
      <c r="AE68" s="278">
        <v>0.64412597331074362</v>
      </c>
      <c r="AF68" s="278">
        <v>0.64600148989435546</v>
      </c>
      <c r="AG68" s="278">
        <v>0.64772625775763604</v>
      </c>
      <c r="AH68" s="278">
        <v>0.64930299074469289</v>
      </c>
      <c r="AI68" s="278">
        <v>0.65073411428248917</v>
      </c>
      <c r="AJ68" s="278">
        <v>0.65202178906258956</v>
      </c>
      <c r="AK68" s="278">
        <v>0.65316793257667349</v>
      </c>
      <c r="AL68" s="279">
        <v>0.65417423873886571</v>
      </c>
      <c r="AM68" s="277">
        <v>0.65824870312160633</v>
      </c>
      <c r="AN68" s="278">
        <v>0.65959288974438435</v>
      </c>
      <c r="AO68" s="278">
        <v>0.66086233305468356</v>
      </c>
      <c r="AP68" s="278">
        <v>0.66206010060285381</v>
      </c>
      <c r="AQ68" s="278">
        <v>0.66318909201622833</v>
      </c>
      <c r="AR68" s="278">
        <v>0.66425205103932428</v>
      </c>
      <c r="AS68" s="278">
        <v>0.66525157650101563</v>
      </c>
      <c r="AT68" s="278">
        <v>0.66619013232253432</v>
      </c>
      <c r="AU68" s="278">
        <v>0.66707005666622954</v>
      </c>
      <c r="AV68" s="279">
        <v>0.66789357031299668</v>
      </c>
      <c r="AW68" s="277">
        <v>0.66866278434591042</v>
      </c>
      <c r="AX68" s="278">
        <v>0.66937970720858109</v>
      </c>
      <c r="AY68" s="278">
        <v>0.67004625119894667</v>
      </c>
      <c r="AZ68" s="278">
        <v>0.67066423845238365</v>
      </c>
      <c r="BA68" s="278">
        <v>0.67123540646207736</v>
      </c>
      <c r="BB68" s="278">
        <v>0.67176141317938043</v>
      </c>
      <c r="BC68" s="278">
        <v>0.67224384173232354</v>
      </c>
      <c r="BD68" s="278">
        <v>0.67268420479642033</v>
      </c>
      <c r="BE68" s="278">
        <v>0.67308394864837817</v>
      </c>
      <c r="BF68" s="279">
        <v>0.67344445693019539</v>
      </c>
      <c r="BG68" s="279">
        <f t="shared" si="0"/>
        <v>0.67344445693019539</v>
      </c>
      <c r="BH68" s="237"/>
    </row>
    <row r="69" spans="1:60" x14ac:dyDescent="0.2">
      <c r="A69" s="280">
        <v>19.5</v>
      </c>
      <c r="B69" s="290">
        <v>0.47176473005878955</v>
      </c>
      <c r="C69" s="291">
        <v>0.48349519338580776</v>
      </c>
      <c r="D69" s="291">
        <v>0.49482181589799296</v>
      </c>
      <c r="E69" s="291">
        <v>0.50549241742854689</v>
      </c>
      <c r="F69" s="291">
        <v>0.51545068705833408</v>
      </c>
      <c r="G69" s="291">
        <v>0.52471113452088958</v>
      </c>
      <c r="H69" s="291">
        <v>0.53331418557610255</v>
      </c>
      <c r="I69" s="291">
        <v>0.54130856126601223</v>
      </c>
      <c r="J69" s="292">
        <v>0.54874406786827579</v>
      </c>
      <c r="K69" s="290">
        <v>0.55566867537384457</v>
      </c>
      <c r="L69" s="291">
        <v>0.56212744845641538</v>
      </c>
      <c r="M69" s="291">
        <v>0.56816229346605218</v>
      </c>
      <c r="N69" s="291">
        <v>0.57381205921611178</v>
      </c>
      <c r="O69" s="291">
        <v>0.57911277935844441</v>
      </c>
      <c r="P69" s="291">
        <v>0.58409795799398512</v>
      </c>
      <c r="Q69" s="291">
        <v>0.58879885369303564</v>
      </c>
      <c r="R69" s="291">
        <v>0.5932447427528621</v>
      </c>
      <c r="S69" s="292">
        <v>0.59746119773248874</v>
      </c>
      <c r="T69" s="290">
        <v>0.60146432071377098</v>
      </c>
      <c r="U69" s="291">
        <v>0.60526663445113826</v>
      </c>
      <c r="V69" s="291">
        <v>0.60887920673141882</v>
      </c>
      <c r="W69" s="291">
        <v>0.61231181937449419</v>
      </c>
      <c r="X69" s="291">
        <v>0.61557311470952369</v>
      </c>
      <c r="Y69" s="291">
        <v>0.61867072273033186</v>
      </c>
      <c r="Z69" s="291">
        <v>0.62161137171599579</v>
      </c>
      <c r="AA69" s="291">
        <v>0.6244009847070503</v>
      </c>
      <c r="AB69" s="292">
        <v>0.62704476387279029</v>
      </c>
      <c r="AC69" s="290">
        <v>0.62954726449602139</v>
      </c>
      <c r="AD69" s="291">
        <v>0.63191246003698831</v>
      </c>
      <c r="AE69" s="291">
        <v>0.63414379951394906</v>
      </c>
      <c r="AF69" s="291">
        <v>0.63624425824890252</v>
      </c>
      <c r="AG69" s="291">
        <v>0.63821638286822813</v>
      </c>
      <c r="AH69" s="291">
        <v>0.64006233131480128</v>
      </c>
      <c r="AI69" s="291">
        <v>0.64178390851634837</v>
      </c>
      <c r="AJ69" s="291">
        <v>0.64338259826093569</v>
      </c>
      <c r="AK69" s="291">
        <v>0.64485959175147456</v>
      </c>
      <c r="AL69" s="292">
        <v>0.64621581324457522</v>
      </c>
      <c r="AM69" s="281">
        <v>0.64870584427655209</v>
      </c>
      <c r="AN69" s="282">
        <v>0.65006537775690876</v>
      </c>
      <c r="AO69" s="282">
        <v>0.651347759471258</v>
      </c>
      <c r="AP69" s="282">
        <v>0.65255607276304672</v>
      </c>
      <c r="AQ69" s="282">
        <v>0.65369323686592873</v>
      </c>
      <c r="AR69" s="282">
        <v>0.65476201841866521</v>
      </c>
      <c r="AS69" s="282">
        <v>0.65576504196970198</v>
      </c>
      <c r="AT69" s="282">
        <v>0.6567047995774441</v>
      </c>
      <c r="AU69" s="282">
        <v>0.65758365959936838</v>
      </c>
      <c r="AV69" s="283">
        <v>0.65840387475201401</v>
      </c>
      <c r="AW69" s="281">
        <v>0.65916758951427656</v>
      </c>
      <c r="AX69" s="282">
        <v>0.65987684693809623</v>
      </c>
      <c r="AY69" s="282">
        <v>0.66053359492338237</v>
      </c>
      <c r="AZ69" s="282">
        <v>0.66113969200767619</v>
      </c>
      <c r="BA69" s="282">
        <v>0.66169691271555231</v>
      </c>
      <c r="BB69" s="282">
        <v>0.66220695250789186</v>
      </c>
      <c r="BC69" s="282">
        <v>0.66267143236692805</v>
      </c>
      <c r="BD69" s="282">
        <v>0.66309190304921151</v>
      </c>
      <c r="BE69" s="282">
        <v>0.66346984903535011</v>
      </c>
      <c r="BF69" s="283">
        <v>0.66380669220246413</v>
      </c>
      <c r="BG69" s="283">
        <f t="shared" si="0"/>
        <v>0.66380669220246413</v>
      </c>
      <c r="BH69" s="237"/>
    </row>
    <row r="70" spans="1:60" x14ac:dyDescent="0.2">
      <c r="A70" s="273">
        <v>20</v>
      </c>
      <c r="B70" s="287">
        <v>0.46087311700289291</v>
      </c>
      <c r="C70" s="288">
        <v>0.47290635632694022</v>
      </c>
      <c r="D70" s="288">
        <v>0.48420115098511451</v>
      </c>
      <c r="E70" s="288">
        <v>0.49473504548231284</v>
      </c>
      <c r="F70" s="288">
        <v>0.50453951905350392</v>
      </c>
      <c r="G70" s="288">
        <v>0.51366327787590371</v>
      </c>
      <c r="H70" s="288">
        <v>0.52215877815655343</v>
      </c>
      <c r="I70" s="288">
        <v>0.53007716242289304</v>
      </c>
      <c r="J70" s="289">
        <v>0.53746647935882952</v>
      </c>
      <c r="K70" s="287">
        <v>0.54437123484335814</v>
      </c>
      <c r="L70" s="288">
        <v>0.55083248037277521</v>
      </c>
      <c r="M70" s="288">
        <v>0.55688810238769648</v>
      </c>
      <c r="N70" s="288">
        <v>0.56257316751406738</v>
      </c>
      <c r="O70" s="288">
        <v>0.56792026229223858</v>
      </c>
      <c r="P70" s="288">
        <v>0.57295980333915308</v>
      </c>
      <c r="Q70" s="288">
        <v>0.57772031068370944</v>
      </c>
      <c r="R70" s="288">
        <v>0.58222864438935684</v>
      </c>
      <c r="S70" s="289">
        <v>0.58650829010751793</v>
      </c>
      <c r="T70" s="287">
        <v>0.59057367659321958</v>
      </c>
      <c r="U70" s="288">
        <v>0.59443591392224537</v>
      </c>
      <c r="V70" s="288">
        <v>0.59810484899941008</v>
      </c>
      <c r="W70" s="288">
        <v>0.60158920900876023</v>
      </c>
      <c r="X70" s="288">
        <v>0.60489672558343865</v>
      </c>
      <c r="Y70" s="288">
        <v>0.60803424263966399</v>
      </c>
      <c r="Z70" s="288">
        <v>0.61100781034236307</v>
      </c>
      <c r="AA70" s="288">
        <v>0.61382276726653517</v>
      </c>
      <c r="AB70" s="289">
        <v>0.61648381248102446</v>
      </c>
      <c r="AC70" s="287">
        <v>0.61899506900100365</v>
      </c>
      <c r="AD70" s="288">
        <v>0.62136013982313709</v>
      </c>
      <c r="AE70" s="288">
        <v>0.62358215756502788</v>
      </c>
      <c r="AF70" s="288">
        <v>0.62566382857118996</v>
      </c>
      <c r="AG70" s="288">
        <v>0.62760747221554969</v>
      </c>
      <c r="AH70" s="288">
        <v>0.62941505602052183</v>
      </c>
      <c r="AI70" s="288">
        <v>0.63108822712103441</v>
      </c>
      <c r="AJ70" s="288">
        <v>0.63262834052523853</v>
      </c>
      <c r="AK70" s="288">
        <v>0.63403648455936479</v>
      </c>
      <c r="AL70" s="289">
        <v>0.63531350383013463</v>
      </c>
      <c r="AM70" s="287">
        <v>0.63664434593369568</v>
      </c>
      <c r="AN70" s="288">
        <v>0.63789117309652477</v>
      </c>
      <c r="AO70" s="288">
        <v>0.63905750851027754</v>
      </c>
      <c r="AP70" s="288">
        <v>0.64014656744446219</v>
      </c>
      <c r="AQ70" s="288">
        <v>0.641161397340969</v>
      </c>
      <c r="AR70" s="288">
        <v>0.64210488934345977</v>
      </c>
      <c r="AS70" s="288">
        <v>0.64297978883436435</v>
      </c>
      <c r="AT70" s="288">
        <v>0.64378870508181996</v>
      </c>
      <c r="AU70" s="288">
        <v>0.64453412008667665</v>
      </c>
      <c r="AV70" s="289">
        <v>0.64521839670911207</v>
      </c>
      <c r="AW70" s="287">
        <v>0.64584378614523086</v>
      </c>
      <c r="AX70" s="288">
        <v>0.64641243481604438</v>
      </c>
      <c r="AY70" s="288">
        <v>0.64692639072427471</v>
      </c>
      <c r="AZ70" s="288">
        <v>0.6473876093283536</v>
      </c>
      <c r="BA70" s="288">
        <v>0.64779795897765513</v>
      </c>
      <c r="BB70" s="288">
        <v>0.64815922594834408</v>
      </c>
      <c r="BC70" s="288">
        <v>0.6484731191150982</v>
      </c>
      <c r="BD70" s="288">
        <v>0.64874127429034989</v>
      </c>
      <c r="BE70" s="288">
        <v>0.64896525825948459</v>
      </c>
      <c r="BF70" s="289">
        <v>0.64914657253760966</v>
      </c>
      <c r="BG70" s="289">
        <f t="shared" si="0"/>
        <v>0.64914657253760966</v>
      </c>
      <c r="BH70" s="237"/>
    </row>
    <row r="71" spans="1:60" x14ac:dyDescent="0.2">
      <c r="A71" s="273">
        <v>21</v>
      </c>
      <c r="B71" s="277">
        <v>0.44090272649336704</v>
      </c>
      <c r="C71" s="278">
        <v>0.45262368090154953</v>
      </c>
      <c r="D71" s="278">
        <v>0.46344235026335762</v>
      </c>
      <c r="E71" s="278">
        <v>0.47352898133353283</v>
      </c>
      <c r="F71" s="278">
        <v>0.48297237142835814</v>
      </c>
      <c r="G71" s="278">
        <v>0.49183207806946005</v>
      </c>
      <c r="H71" s="278">
        <v>0.5001548392215639</v>
      </c>
      <c r="I71" s="278">
        <v>0.50798056500152444</v>
      </c>
      <c r="J71" s="279">
        <v>0.51534484720747642</v>
      </c>
      <c r="K71" s="277">
        <v>0.52228016970363589</v>
      </c>
      <c r="L71" s="278">
        <v>0.52881658212219984</v>
      </c>
      <c r="M71" s="278">
        <v>0.53498212749756613</v>
      </c>
      <c r="N71" s="278">
        <v>0.54080314372077842</v>
      </c>
      <c r="O71" s="278">
        <v>0.54630449234088108</v>
      </c>
      <c r="P71" s="278">
        <v>0.55150974073904502</v>
      </c>
      <c r="Q71" s="278">
        <v>0.55644131157352295</v>
      </c>
      <c r="R71" s="278">
        <v>0.56112060768271088</v>
      </c>
      <c r="S71" s="279">
        <v>0.56556654228685688</v>
      </c>
      <c r="T71" s="277">
        <v>0.56979081161899681</v>
      </c>
      <c r="U71" s="278">
        <v>0.57380255578681083</v>
      </c>
      <c r="V71" s="278">
        <v>0.57761001130385359</v>
      </c>
      <c r="W71" s="278">
        <v>0.58122060060072434</v>
      </c>
      <c r="X71" s="278">
        <v>0.58464101099118893</v>
      </c>
      <c r="Y71" s="278">
        <v>0.58787726457297795</v>
      </c>
      <c r="Z71" s="278">
        <v>0.59093478030191482</v>
      </c>
      <c r="AA71" s="278">
        <v>0.5938184292826808</v>
      </c>
      <c r="AB71" s="279">
        <v>0.59653258415938326</v>
      </c>
      <c r="AC71" s="277">
        <v>0.59908116335676165</v>
      </c>
      <c r="AD71" s="278">
        <v>0.60146767081279673</v>
      </c>
      <c r="AE71" s="278">
        <v>0.60369523175150341</v>
      </c>
      <c r="AF71" s="278">
        <v>0.60576662496747447</v>
      </c>
      <c r="AG71" s="278">
        <v>0.60768431202869677</v>
      </c>
      <c r="AH71" s="278">
        <v>0.60945046374916689</v>
      </c>
      <c r="AI71" s="278">
        <v>0.61106698423619432</v>
      </c>
      <c r="AJ71" s="278">
        <v>0.61253553277760053</v>
      </c>
      <c r="AK71" s="278">
        <v>0.61385754380016522</v>
      </c>
      <c r="AL71" s="279">
        <v>0.61503424510168492</v>
      </c>
      <c r="AM71" s="277">
        <v>0.61867210030930608</v>
      </c>
      <c r="AN71" s="278">
        <v>0.62010153815423519</v>
      </c>
      <c r="AO71" s="278">
        <v>0.62145038804389419</v>
      </c>
      <c r="AP71" s="278">
        <v>0.62272172645093338</v>
      </c>
      <c r="AQ71" s="278">
        <v>0.62391847421903779</v>
      </c>
      <c r="AR71" s="278">
        <v>0.62504340702644834</v>
      </c>
      <c r="AS71" s="278">
        <v>0.62609916496259044</v>
      </c>
      <c r="AT71" s="278">
        <v>0.62708826130819351</v>
      </c>
      <c r="AU71" s="278">
        <v>0.62801309059860755</v>
      </c>
      <c r="AV71" s="279">
        <v>0.62887593604075298</v>
      </c>
      <c r="AW71" s="277">
        <v>0.6296789763460956</v>
      </c>
      <c r="AX71" s="278">
        <v>0.63042429203504047</v>
      </c>
      <c r="AY71" s="278">
        <v>0.63111387126201801</v>
      </c>
      <c r="AZ71" s="278">
        <v>0.63174961520519279</v>
      </c>
      <c r="BA71" s="278">
        <v>0.63233334306003419</v>
      </c>
      <c r="BB71" s="278">
        <v>0.63286679667186529</v>
      </c>
      <c r="BC71" s="278">
        <v>0.63335164483887807</v>
      </c>
      <c r="BD71" s="278">
        <v>0.63378948731390339</v>
      </c>
      <c r="BE71" s="278">
        <v>0.63418185853037945</v>
      </c>
      <c r="BF71" s="279">
        <v>0.63453023107547124</v>
      </c>
      <c r="BG71" s="279">
        <f t="shared" si="0"/>
        <v>0.63453023107547124</v>
      </c>
      <c r="BH71" s="237"/>
    </row>
    <row r="72" spans="1:60" x14ac:dyDescent="0.2">
      <c r="A72" s="273">
        <v>22</v>
      </c>
      <c r="B72" s="277">
        <v>0.42184240163764208</v>
      </c>
      <c r="C72" s="278">
        <v>0.43285049214376925</v>
      </c>
      <c r="D72" s="278">
        <v>0.44316211507567838</v>
      </c>
      <c r="E72" s="278">
        <v>0.45287365412695657</v>
      </c>
      <c r="F72" s="278">
        <v>0.46203618968990845</v>
      </c>
      <c r="G72" s="278">
        <v>0.47068741796690061</v>
      </c>
      <c r="H72" s="278">
        <v>0.47885998449075196</v>
      </c>
      <c r="I72" s="278">
        <v>0.48658383774716341</v>
      </c>
      <c r="J72" s="279">
        <v>0.49388694535762079</v>
      </c>
      <c r="K72" s="277">
        <v>0.5007955552506016</v>
      </c>
      <c r="L72" s="278">
        <v>0.50733433771449299</v>
      </c>
      <c r="M72" s="278">
        <v>0.51352650141692446</v>
      </c>
      <c r="N72" s="278">
        <v>0.51939390540739339</v>
      </c>
      <c r="O72" s="278">
        <v>0.52495716932313818</v>
      </c>
      <c r="P72" s="278">
        <v>0.53023577961128654</v>
      </c>
      <c r="Q72" s="278">
        <v>0.53524818950278685</v>
      </c>
      <c r="R72" s="278">
        <v>0.54001191133206061</v>
      </c>
      <c r="S72" s="279">
        <v>0.54454260509102592</v>
      </c>
      <c r="T72" s="277">
        <v>0.54885110719819696</v>
      </c>
      <c r="U72" s="278">
        <v>0.55294638989591982</v>
      </c>
      <c r="V72" s="278">
        <v>0.55683662367417674</v>
      </c>
      <c r="W72" s="278">
        <v>0.56052925181263491</v>
      </c>
      <c r="X72" s="278">
        <v>0.56403105709675316</v>
      </c>
      <c r="Y72" s="278">
        <v>0.56734822156387443</v>
      </c>
      <c r="Z72" s="278">
        <v>0.57048638006225216</v>
      </c>
      <c r="AA72" s="278">
        <v>0.57345066832793479</v>
      </c>
      <c r="AB72" s="279">
        <v>0.57624576620757162</v>
      </c>
      <c r="AC72" s="277">
        <v>0.57887593658293657</v>
      </c>
      <c r="AD72" s="278">
        <v>0.5813450604868603</v>
      </c>
      <c r="AE72" s="278">
        <v>0.58365666884089107</v>
      </c>
      <c r="AF72" s="278">
        <v>0.58581397119231282</v>
      </c>
      <c r="AG72" s="278">
        <v>0.58781988178175648</v>
      </c>
      <c r="AH72" s="278">
        <v>0.58967704323199199</v>
      </c>
      <c r="AI72" s="278">
        <v>0.59138784811301104</v>
      </c>
      <c r="AJ72" s="278">
        <v>0.5929544586076021</v>
      </c>
      <c r="AK72" s="278">
        <v>0.59437882447469226</v>
      </c>
      <c r="AL72" s="279">
        <v>0.59566269948433503</v>
      </c>
      <c r="AM72" s="277">
        <v>0.59912927058839482</v>
      </c>
      <c r="AN72" s="278">
        <v>0.60060980272645881</v>
      </c>
      <c r="AO72" s="278">
        <v>0.60200774925271627</v>
      </c>
      <c r="AP72" s="278">
        <v>0.60332616319885346</v>
      </c>
      <c r="AQ72" s="278">
        <v>0.60456794893656474</v>
      </c>
      <c r="AR72" s="278">
        <v>0.60573587183443234</v>
      </c>
      <c r="AS72" s="278">
        <v>0.60683256712061062</v>
      </c>
      <c r="AT72" s="278">
        <v>0.60786054803001088</v>
      </c>
      <c r="AU72" s="278">
        <v>0.60882221330565089</v>
      </c>
      <c r="AV72" s="279">
        <v>0.60971985411593377</v>
      </c>
      <c r="AW72" s="277">
        <v>0.6105556604427711</v>
      </c>
      <c r="AX72" s="278">
        <v>0.6113317269894436</v>
      </c>
      <c r="AY72" s="278">
        <v>0.61205005865183715</v>
      </c>
      <c r="AZ72" s="278">
        <v>0.61271257559207359</v>
      </c>
      <c r="BA72" s="278">
        <v>0.61332111794947897</v>
      </c>
      <c r="BB72" s="278">
        <v>0.61387745022026063</v>
      </c>
      <c r="BC72" s="278">
        <v>0.6143832653340866</v>
      </c>
      <c r="BD72" s="278">
        <v>0.61484018845296362</v>
      </c>
      <c r="BE72" s="278">
        <v>0.61524978051531909</v>
      </c>
      <c r="BF72" s="279">
        <v>0.61561354154598447</v>
      </c>
      <c r="BG72" s="279">
        <f t="shared" si="0"/>
        <v>0.61561354154598447</v>
      </c>
      <c r="BH72" s="237"/>
    </row>
    <row r="73" spans="1:60" x14ac:dyDescent="0.2">
      <c r="A73" s="273">
        <v>23</v>
      </c>
      <c r="B73" s="277">
        <v>0.40285622090883044</v>
      </c>
      <c r="C73" s="278">
        <v>0.41330869650419849</v>
      </c>
      <c r="D73" s="278">
        <v>0.42336273590943063</v>
      </c>
      <c r="E73" s="278">
        <v>0.43295465006276768</v>
      </c>
      <c r="F73" s="278">
        <v>0.44206801425914477</v>
      </c>
      <c r="G73" s="278">
        <v>0.45070935353339525</v>
      </c>
      <c r="H73" s="278">
        <v>0.45889587244651431</v>
      </c>
      <c r="I73" s="278">
        <v>0.46664932159852363</v>
      </c>
      <c r="J73" s="279">
        <v>0.47399291058024057</v>
      </c>
      <c r="K73" s="277">
        <v>0.48094975793510458</v>
      </c>
      <c r="L73" s="278">
        <v>0.48754213348918163</v>
      </c>
      <c r="M73" s="278">
        <v>0.49379111607230586</v>
      </c>
      <c r="N73" s="278">
        <v>0.49971647059021634</v>
      </c>
      <c r="O73" s="278">
        <v>0.50533664011611357</v>
      </c>
      <c r="P73" s="278">
        <v>0.51066879650197394</v>
      </c>
      <c r="Q73" s="278">
        <v>0.51572891859771941</v>
      </c>
      <c r="R73" s="278">
        <v>0.52053188114704962</v>
      </c>
      <c r="S73" s="279">
        <v>0.52509122438772105</v>
      </c>
      <c r="T73" s="277">
        <v>0.52941825862494962</v>
      </c>
      <c r="U73" s="278">
        <v>0.53352307649984199</v>
      </c>
      <c r="V73" s="278">
        <v>0.53741495078807677</v>
      </c>
      <c r="W73" s="278">
        <v>0.54110240932082898</v>
      </c>
      <c r="X73" s="278">
        <v>0.54459330268526274</v>
      </c>
      <c r="Y73" s="278">
        <v>0.54789486520726105</v>
      </c>
      <c r="Z73" s="278">
        <v>0.55101376979697325</v>
      </c>
      <c r="AA73" s="278">
        <v>0.5539561772506304</v>
      </c>
      <c r="AB73" s="279">
        <v>0.55672778057982741</v>
      </c>
      <c r="AC73" s="277">
        <v>0.55933384489971183</v>
      </c>
      <c r="AD73" s="278">
        <v>0.56177924336039819</v>
      </c>
      <c r="AE73" s="278">
        <v>0.56406848955724909</v>
      </c>
      <c r="AF73" s="278">
        <v>0.56620576680861112</v>
      </c>
      <c r="AG73" s="278">
        <v>0.56819495464576497</v>
      </c>
      <c r="AH73" s="278">
        <v>0.57003965281995106</v>
      </c>
      <c r="AI73" s="278">
        <v>0.57174320309556004</v>
      </c>
      <c r="AJ73" s="278">
        <v>0.57330870906678355</v>
      </c>
      <c r="AK73" s="278">
        <v>0.57473905420695592</v>
      </c>
      <c r="AL73" s="279">
        <v>0.57603691833515713</v>
      </c>
      <c r="AM73" s="277">
        <v>0.57965250848515792</v>
      </c>
      <c r="AN73" s="278">
        <v>0.58115908864850041</v>
      </c>
      <c r="AO73" s="278">
        <v>0.58258666012808624</v>
      </c>
      <c r="AP73" s="278">
        <v>0.58393826815078287</v>
      </c>
      <c r="AQ73" s="278">
        <v>0.5852168023047023</v>
      </c>
      <c r="AR73" s="278">
        <v>0.58642500703106548</v>
      </c>
      <c r="AS73" s="278">
        <v>0.58756549123144741</v>
      </c>
      <c r="AT73" s="278">
        <v>0.58864073707941045</v>
      </c>
      <c r="AU73" s="278">
        <v>0.58965310811522831</v>
      </c>
      <c r="AV73" s="279">
        <v>0.59060485669342677</v>
      </c>
      <c r="AW73" s="277">
        <v>0.59149813084504266</v>
      </c>
      <c r="AX73" s="278">
        <v>0.59233498060966316</v>
      </c>
      <c r="AY73" s="278">
        <v>0.59311736388631331</v>
      </c>
      <c r="AZ73" s="278">
        <v>0.59384715184701387</v>
      </c>
      <c r="BA73" s="278">
        <v>0.59452613395219844</v>
      </c>
      <c r="BB73" s="278">
        <v>0.59515602260311318</v>
      </c>
      <c r="BC73" s="278">
        <v>0.5957384574627308</v>
      </c>
      <c r="BD73" s="278">
        <v>0.59627500947352519</v>
      </c>
      <c r="BE73" s="278">
        <v>0.59676718459764666</v>
      </c>
      <c r="BF73" s="279">
        <v>0.59721642730252844</v>
      </c>
      <c r="BG73" s="279">
        <f t="shared" si="0"/>
        <v>0.59721642730252844</v>
      </c>
      <c r="BH73" s="237"/>
    </row>
    <row r="74" spans="1:60" x14ac:dyDescent="0.2">
      <c r="A74" s="280">
        <v>24</v>
      </c>
      <c r="B74" s="281">
        <v>0.38478642714985267</v>
      </c>
      <c r="C74" s="282">
        <v>0.39525175816646529</v>
      </c>
      <c r="D74" s="282">
        <v>0.40517351022148779</v>
      </c>
      <c r="E74" s="282">
        <v>0.41457388138724255</v>
      </c>
      <c r="F74" s="282">
        <v>0.42347868847696946</v>
      </c>
      <c r="G74" s="282">
        <v>0.43191653342324277</v>
      </c>
      <c r="H74" s="282">
        <v>0.43991635322283679</v>
      </c>
      <c r="I74" s="282">
        <v>0.44750588588562495</v>
      </c>
      <c r="J74" s="283">
        <v>0.4547109314030835</v>
      </c>
      <c r="K74" s="281">
        <v>0.46155508496619901</v>
      </c>
      <c r="L74" s="282">
        <v>0.46805972082445779</v>
      </c>
      <c r="M74" s="282">
        <v>0.47424409901843506</v>
      </c>
      <c r="N74" s="282">
        <v>0.48012552548561943</v>
      </c>
      <c r="O74" s="282">
        <v>0.48571952896013548</v>
      </c>
      <c r="P74" s="282">
        <v>0.49104003611167374</v>
      </c>
      <c r="Q74" s="282">
        <v>0.49609953610144103</v>
      </c>
      <c r="R74" s="282">
        <v>0.50090923092434203</v>
      </c>
      <c r="S74" s="283">
        <v>0.50547949996245101</v>
      </c>
      <c r="T74" s="281">
        <v>0.50982102989076039</v>
      </c>
      <c r="U74" s="282">
        <v>0.51394396731513325</v>
      </c>
      <c r="V74" s="282">
        <v>0.51785768218859585</v>
      </c>
      <c r="W74" s="282">
        <v>0.52157084463941417</v>
      </c>
      <c r="X74" s="282">
        <v>0.52509149284366552</v>
      </c>
      <c r="Y74" s="282">
        <v>0.5284270930471292</v>
      </c>
      <c r="Z74" s="282">
        <v>0.5315845927256444</v>
      </c>
      <c r="AA74" s="282">
        <v>0.53457046775602601</v>
      </c>
      <c r="AB74" s="283">
        <v>0.53739076435922217</v>
      </c>
      <c r="AC74" s="281">
        <v>0.5400511364772913</v>
      </c>
      <c r="AD74" s="282">
        <v>0.54255687915699424</v>
      </c>
      <c r="AE74" s="282">
        <v>0.54491295843521526</v>
      </c>
      <c r="AF74" s="282">
        <v>0.54712403815419919</v>
      </c>
      <c r="AG74" s="282">
        <v>0.54919450407665915</v>
      </c>
      <c r="AH74" s="282">
        <v>0.55112848562105099</v>
      </c>
      <c r="AI74" s="282">
        <v>0.55292987549463624</v>
      </c>
      <c r="AJ74" s="282">
        <v>0.55460234746536752</v>
      </c>
      <c r="AK74" s="282">
        <v>0.55614937248227936</v>
      </c>
      <c r="AL74" s="283">
        <v>0.55757423332713585</v>
      </c>
      <c r="AM74" s="281">
        <v>0.56091112995668413</v>
      </c>
      <c r="AN74" s="282">
        <v>0.56246543051672293</v>
      </c>
      <c r="AO74" s="282">
        <v>0.56394034411939697</v>
      </c>
      <c r="AP74" s="282">
        <v>0.56533879765133488</v>
      </c>
      <c r="AQ74" s="282">
        <v>0.56666357412965751</v>
      </c>
      <c r="AR74" s="282">
        <v>0.56791732216345725</v>
      </c>
      <c r="AS74" s="282">
        <v>0.56910256462703457</v>
      </c>
      <c r="AT74" s="282">
        <v>0.57022170662405669</v>
      </c>
      <c r="AU74" s="282">
        <v>0.57127704281256975</v>
      </c>
      <c r="AV74" s="283">
        <v>0.57227076415277756</v>
      </c>
      <c r="AW74" s="281">
        <v>0.57320496413252231</v>
      </c>
      <c r="AX74" s="282">
        <v>0.57408164451931687</v>
      </c>
      <c r="AY74" s="282">
        <v>0.57490272068244919</v>
      </c>
      <c r="AZ74" s="282">
        <v>0.5756700265240231</v>
      </c>
      <c r="BA74" s="282">
        <v>0.57638531905369583</v>
      </c>
      <c r="BB74" s="282">
        <v>0.57705028263826386</v>
      </c>
      <c r="BC74" s="282">
        <v>0.57766653295407511</v>
      </c>
      <c r="BD74" s="282">
        <v>0.57823562066742562</v>
      </c>
      <c r="BE74" s="282">
        <v>0.57875903486561142</v>
      </c>
      <c r="BF74" s="283">
        <v>0.57923820625909772</v>
      </c>
      <c r="BG74" s="283">
        <f t="shared" si="0"/>
        <v>0.57923820625909772</v>
      </c>
      <c r="BH74" s="237"/>
    </row>
    <row r="75" spans="1:60" x14ac:dyDescent="0.2">
      <c r="A75" s="273">
        <v>25</v>
      </c>
      <c r="B75" s="284">
        <v>0.36874727377181249</v>
      </c>
      <c r="C75" s="285">
        <v>0.37792626977518373</v>
      </c>
      <c r="D75" s="285">
        <v>0.3871698800626307</v>
      </c>
      <c r="E75" s="285">
        <v>0.39619190686798933</v>
      </c>
      <c r="F75" s="285">
        <v>0.40488009694226107</v>
      </c>
      <c r="G75" s="285">
        <v>0.41319478043815511</v>
      </c>
      <c r="H75" s="285">
        <v>0.42112856542332844</v>
      </c>
      <c r="I75" s="285">
        <v>0.42868866792505739</v>
      </c>
      <c r="J75" s="286">
        <v>0.43588863799617283</v>
      </c>
      <c r="K75" s="284">
        <v>0.44274432181550233</v>
      </c>
      <c r="L75" s="285">
        <v>0.44927185426824323</v>
      </c>
      <c r="M75" s="285">
        <v>0.45548666964058859</v>
      </c>
      <c r="N75" s="285">
        <v>0.46140303903741753</v>
      </c>
      <c r="O75" s="285">
        <v>0.46703388528903034</v>
      </c>
      <c r="P75" s="285">
        <v>0.47239074454745855</v>
      </c>
      <c r="Q75" s="285">
        <v>0.47748380416091535</v>
      </c>
      <c r="R75" s="285">
        <v>0.48232197827248052</v>
      </c>
      <c r="S75" s="286">
        <v>0.48691384902249035</v>
      </c>
      <c r="T75" s="284">
        <v>0.49127036776984295</v>
      </c>
      <c r="U75" s="285">
        <v>0.49540249275826759</v>
      </c>
      <c r="V75" s="285">
        <v>0.49932042519032016</v>
      </c>
      <c r="W75" s="285">
        <v>0.50303367479856131</v>
      </c>
      <c r="X75" s="285">
        <v>0.50655112037889283</v>
      </c>
      <c r="Y75" s="285">
        <v>0.50988106508744779</v>
      </c>
      <c r="Z75" s="285">
        <v>0.51303128662548847</v>
      </c>
      <c r="AA75" s="285">
        <v>0.51600908260563272</v>
      </c>
      <c r="AB75" s="286">
        <v>0.51882131147095156</v>
      </c>
      <c r="AC75" s="284">
        <v>0.52147442936412758</v>
      </c>
      <c r="AD75" s="285">
        <v>0.52397452333971872</v>
      </c>
      <c r="AE75" s="285">
        <v>0.52632734129239245</v>
      </c>
      <c r="AF75" s="285">
        <v>0.52853831894595527</v>
      </c>
      <c r="AG75" s="285">
        <v>0.53061260421697176</v>
      </c>
      <c r="AH75" s="285">
        <v>0.53255507923552703</v>
      </c>
      <c r="AI75" s="285">
        <v>0.53437038027579742</v>
      </c>
      <c r="AJ75" s="285">
        <v>0.53606291582134213</v>
      </c>
      <c r="AK75" s="285">
        <v>0.53763688296475021</v>
      </c>
      <c r="AL75" s="286">
        <v>0.53909628231853279</v>
      </c>
      <c r="AM75" s="287">
        <v>0.54244970105384627</v>
      </c>
      <c r="AN75" s="288">
        <v>0.54403194704568714</v>
      </c>
      <c r="AO75" s="288">
        <v>0.54553802613315805</v>
      </c>
      <c r="AP75" s="288">
        <v>0.54697087861322102</v>
      </c>
      <c r="AQ75" s="288">
        <v>0.54833329361810834</v>
      </c>
      <c r="AR75" s="288">
        <v>0.54962791931384303</v>
      </c>
      <c r="AS75" s="288">
        <v>0.55085727224341152</v>
      </c>
      <c r="AT75" s="288">
        <v>0.55202374589967496</v>
      </c>
      <c r="AU75" s="288">
        <v>0.55312961860342358</v>
      </c>
      <c r="AV75" s="289">
        <v>0.55417706075353068</v>
      </c>
      <c r="AW75" s="287">
        <v>0.55516814150875926</v>
      </c>
      <c r="AX75" s="288">
        <v>0.55610483495428475</v>
      </c>
      <c r="AY75" s="288">
        <v>0.55698902580030518</v>
      </c>
      <c r="AZ75" s="288">
        <v>0.55782251465508581</v>
      </c>
      <c r="BA75" s="288">
        <v>0.55860702291037445</v>
      </c>
      <c r="BB75" s="288">
        <v>0.55934419727321927</v>
      </c>
      <c r="BC75" s="288">
        <v>0.56003561397476742</v>
      </c>
      <c r="BD75" s="288">
        <v>0.56068278268356964</v>
      </c>
      <c r="BE75" s="288">
        <v>0.5612871501482003</v>
      </c>
      <c r="BF75" s="289">
        <v>0.5618501035915946</v>
      </c>
      <c r="BG75" s="289">
        <f t="shared" si="0"/>
        <v>0.5618501035915946</v>
      </c>
      <c r="BH75" s="237"/>
    </row>
    <row r="76" spans="1:60" x14ac:dyDescent="0.2">
      <c r="A76" s="273">
        <v>26</v>
      </c>
      <c r="B76" s="277">
        <v>0.35182598599621095</v>
      </c>
      <c r="C76" s="278">
        <v>0.36192879567708297</v>
      </c>
      <c r="D76" s="278">
        <v>0.37125146983161539</v>
      </c>
      <c r="E76" s="278">
        <v>0.38001141557013413</v>
      </c>
      <c r="F76" s="278">
        <v>0.38831183047259099</v>
      </c>
      <c r="G76" s="278">
        <v>0.39621207907569317</v>
      </c>
      <c r="H76" s="278">
        <v>0.40375156278039792</v>
      </c>
      <c r="I76" s="278">
        <v>0.41095907450847868</v>
      </c>
      <c r="J76" s="279">
        <v>0.41785694499002557</v>
      </c>
      <c r="K76" s="277">
        <v>0.42446310059289805</v>
      </c>
      <c r="L76" s="278">
        <v>0.43079220016114467</v>
      </c>
      <c r="M76" s="278">
        <v>0.43685632892709797</v>
      </c>
      <c r="N76" s="278">
        <v>0.44266546107937449</v>
      </c>
      <c r="O76" s="278">
        <v>0.44822779145123376</v>
      </c>
      <c r="P76" s="278">
        <v>0.45354998730324175</v>
      </c>
      <c r="Q76" s="278">
        <v>0.45863738778136515</v>
      </c>
      <c r="R76" s="278">
        <v>0.46349416694301426</v>
      </c>
      <c r="S76" s="279">
        <v>0.46812461713669523</v>
      </c>
      <c r="T76" s="277">
        <v>0.47253678688609707</v>
      </c>
      <c r="U76" s="278">
        <v>0.47673926841279057</v>
      </c>
      <c r="V76" s="278">
        <v>0.48074013247835345</v>
      </c>
      <c r="W76" s="278">
        <v>0.48454698022189574</v>
      </c>
      <c r="X76" s="278">
        <v>0.48816698811132925</v>
      </c>
      <c r="Y76" s="278">
        <v>0.4916069471607159</v>
      </c>
      <c r="Z76" s="278">
        <v>0.49487329732399687</v>
      </c>
      <c r="AA76" s="278">
        <v>0.49797215779674059</v>
      </c>
      <c r="AB76" s="279">
        <v>0.50090935382217583</v>
      </c>
      <c r="AC76" s="277">
        <v>0.50369044049303502</v>
      </c>
      <c r="AD76" s="278">
        <v>0.50632072395818251</v>
      </c>
      <c r="AE76" s="278">
        <v>0.50880528037702155</v>
      </c>
      <c r="AF76" s="278">
        <v>0.51114897291126249</v>
      </c>
      <c r="AG76" s="278">
        <v>0.51335646699998394</v>
      </c>
      <c r="AH76" s="278">
        <v>0.51543224412788402</v>
      </c>
      <c r="AI76" s="278">
        <v>0.51738061426672899</v>
      </c>
      <c r="AJ76" s="278">
        <v>0.51920572714497748</v>
      </c>
      <c r="AK76" s="278">
        <v>0.52091158247953839</v>
      </c>
      <c r="AL76" s="279">
        <v>0.52250203928583305</v>
      </c>
      <c r="AM76" s="277">
        <v>0.52544423003316298</v>
      </c>
      <c r="AN76" s="278">
        <v>0.52708138292830897</v>
      </c>
      <c r="AO76" s="278">
        <v>0.52863611504179653</v>
      </c>
      <c r="AP76" s="278">
        <v>0.53011116849968654</v>
      </c>
      <c r="AQ76" s="278">
        <v>0.53150916568091844</v>
      </c>
      <c r="AR76" s="278">
        <v>0.5328326163789423</v>
      </c>
      <c r="AS76" s="278">
        <v>0.53408392440538532</v>
      </c>
      <c r="AT76" s="278">
        <v>0.53526539368931969</v>
      </c>
      <c r="AU76" s="278">
        <v>0.53637923391962317</v>
      </c>
      <c r="AV76" s="279">
        <v>0.53742756577263229</v>
      </c>
      <c r="AW76" s="277">
        <v>0.53841242576268578</v>
      </c>
      <c r="AX76" s="278">
        <v>0.53933577074911587</v>
      </c>
      <c r="AY76" s="278">
        <v>0.54019948212971947</v>
      </c>
      <c r="AZ76" s="278">
        <v>0.54100536974762092</v>
      </c>
      <c r="BA76" s="278">
        <v>0.54175517553571706</v>
      </c>
      <c r="BB76" s="278">
        <v>0.54245057692046095</v>
      </c>
      <c r="BC76" s="278">
        <v>0.54309319000461431</v>
      </c>
      <c r="BD76" s="278">
        <v>0.54368457254669034</v>
      </c>
      <c r="BE76" s="278">
        <v>0.54422622675313759</v>
      </c>
      <c r="BF76" s="279">
        <v>0.54471960189779056</v>
      </c>
      <c r="BG76" s="279">
        <f t="shared" si="0"/>
        <v>0.54471960189779056</v>
      </c>
      <c r="BH76" s="237"/>
    </row>
    <row r="77" spans="1:60" x14ac:dyDescent="0.2">
      <c r="A77" s="273">
        <v>27</v>
      </c>
      <c r="B77" s="277">
        <v>0.33795852404936</v>
      </c>
      <c r="C77" s="278">
        <v>0.34678372092883314</v>
      </c>
      <c r="D77" s="278">
        <v>0.35529983750996924</v>
      </c>
      <c r="E77" s="278">
        <v>0.36354662796456222</v>
      </c>
      <c r="F77" s="278">
        <v>0.37152519576171561</v>
      </c>
      <c r="G77" s="278">
        <v>0.37923217815171645</v>
      </c>
      <c r="H77" s="278">
        <v>0.38666635803740762</v>
      </c>
      <c r="I77" s="278">
        <v>0.39382910698400309</v>
      </c>
      <c r="J77" s="279">
        <v>0.40072361322701833</v>
      </c>
      <c r="K77" s="277">
        <v>0.4073540710095151</v>
      </c>
      <c r="L77" s="278">
        <v>0.41372506540902709</v>
      </c>
      <c r="M77" s="278">
        <v>0.41984115370572228</v>
      </c>
      <c r="N77" s="278">
        <v>0.42570659771383251</v>
      </c>
      <c r="O77" s="278">
        <v>0.43132520239303346</v>
      </c>
      <c r="P77" s="278">
        <v>0.43670022646244422</v>
      </c>
      <c r="Q77" s="278">
        <v>0.44183434075462291</v>
      </c>
      <c r="R77" s="278">
        <v>0.44672961769409297</v>
      </c>
      <c r="S77" s="279">
        <v>0.45138869364776185</v>
      </c>
      <c r="T77" s="277">
        <v>0.45581833405639194</v>
      </c>
      <c r="U77" s="278">
        <v>0.46002613754878469</v>
      </c>
      <c r="V77" s="278">
        <v>0.46401940908938211</v>
      </c>
      <c r="W77" s="278">
        <v>0.46780516749920809</v>
      </c>
      <c r="X77" s="278">
        <v>0.47139015551119423</v>
      </c>
      <c r="Y77" s="278">
        <v>0.47478085125264702</v>
      </c>
      <c r="Z77" s="278">
        <v>0.47798348040906263</v>
      </c>
      <c r="AA77" s="278">
        <v>0.48100402857175667</v>
      </c>
      <c r="AB77" s="279">
        <v>0.48384825344259447</v>
      </c>
      <c r="AC77" s="277">
        <v>0.48652169668676637</v>
      </c>
      <c r="AD77" s="278">
        <v>0.48902969530549051</v>
      </c>
      <c r="AE77" s="278">
        <v>0.49137739245602641</v>
      </c>
      <c r="AF77" s="278">
        <v>0.493569747684178</v>
      </c>
      <c r="AG77" s="278">
        <v>0.49561154655995499</v>
      </c>
      <c r="AH77" s="278">
        <v>0.49750740972390728</v>
      </c>
      <c r="AI77" s="278">
        <v>0.49926180136254039</v>
      </c>
      <c r="AJ77" s="278">
        <v>0.50087903713789172</v>
      </c>
      <c r="AK77" s="278">
        <v>0.50236329160016691</v>
      </c>
      <c r="AL77" s="279">
        <v>0.50371860511413968</v>
      </c>
      <c r="AM77" s="277">
        <v>0.50772326296573733</v>
      </c>
      <c r="AN77" s="278">
        <v>0.50937670216148179</v>
      </c>
      <c r="AO77" s="278">
        <v>0.51095434043131105</v>
      </c>
      <c r="AP77" s="278">
        <v>0.51245896332646257</v>
      </c>
      <c r="AQ77" s="278">
        <v>0.51389321973633295</v>
      </c>
      <c r="AR77" s="278">
        <v>0.51525963075750003</v>
      </c>
      <c r="AS77" s="278">
        <v>0.51656059784331765</v>
      </c>
      <c r="AT77" s="278">
        <v>0.51779841030338647</v>
      </c>
      <c r="AU77" s="278">
        <v>0.51897525221460217</v>
      </c>
      <c r="AV77" s="279">
        <v>0.52009320879877941</v>
      </c>
      <c r="AW77" s="277">
        <v>0.52115427231597111</v>
      </c>
      <c r="AX77" s="278">
        <v>0.52216034751741325</v>
      </c>
      <c r="AY77" s="278">
        <v>0.52311325669743247</v>
      </c>
      <c r="AZ77" s="278">
        <v>0.52401474437962003</v>
      </c>
      <c r="BA77" s="278">
        <v>0.52486648166898586</v>
      </c>
      <c r="BB77" s="278">
        <v>0.52567007029862989</v>
      </c>
      <c r="BC77" s="278">
        <v>0.5264270463966515</v>
      </c>
      <c r="BD77" s="278">
        <v>0.52713888399651421</v>
      </c>
      <c r="BE77" s="278">
        <v>0.52780699831184152</v>
      </c>
      <c r="BF77" s="279">
        <v>0.52843274879464386</v>
      </c>
      <c r="BG77" s="279">
        <f t="shared" si="0"/>
        <v>0.52843274879464386</v>
      </c>
      <c r="BH77" s="237"/>
    </row>
    <row r="78" spans="1:60" x14ac:dyDescent="0.2">
      <c r="A78" s="273">
        <v>28</v>
      </c>
      <c r="B78" s="277">
        <v>0.32317860275124799</v>
      </c>
      <c r="C78" s="278">
        <v>0.33223375044275644</v>
      </c>
      <c r="D78" s="278">
        <v>0.34073058728114552</v>
      </c>
      <c r="E78" s="278">
        <v>0.34883029306959806</v>
      </c>
      <c r="F78" s="278">
        <v>0.35659432261502816</v>
      </c>
      <c r="G78" s="278">
        <v>0.36405199487568501</v>
      </c>
      <c r="H78" s="278">
        <v>0.37122098337357318</v>
      </c>
      <c r="I78" s="278">
        <v>0.37811417396862296</v>
      </c>
      <c r="J78" s="279">
        <v>0.38474210931790309</v>
      </c>
      <c r="K78" s="277">
        <v>0.3911138971031875</v>
      </c>
      <c r="L78" s="278">
        <v>0.39723756120271642</v>
      </c>
      <c r="M78" s="278">
        <v>0.40312018886356304</v>
      </c>
      <c r="N78" s="278">
        <v>0.4087680052783354</v>
      </c>
      <c r="O78" s="278">
        <v>0.41418642461005872</v>
      </c>
      <c r="P78" s="278">
        <v>0.4193800950568255</v>
      </c>
      <c r="Q78" s="278">
        <v>0.42435294349964342</v>
      </c>
      <c r="R78" s="278">
        <v>0.42910822081189037</v>
      </c>
      <c r="S78" s="279">
        <v>0.43364934511344289</v>
      </c>
      <c r="T78" s="277">
        <v>0.43798239947927536</v>
      </c>
      <c r="U78" s="278">
        <v>0.44211387765142646</v>
      </c>
      <c r="V78" s="278">
        <v>0.44604992456453024</v>
      </c>
      <c r="W78" s="278">
        <v>0.44979635807809937</v>
      </c>
      <c r="X78" s="278">
        <v>0.453358689888059</v>
      </c>
      <c r="Y78" s="278">
        <v>0.45674214541843344</v>
      </c>
      <c r="Z78" s="278">
        <v>0.45995168258589347</v>
      </c>
      <c r="AA78" s="278">
        <v>0.46299200939453594</v>
      </c>
      <c r="AB78" s="279">
        <v>0.4658676003623673</v>
      </c>
      <c r="AC78" s="277">
        <v>0.46858271180994043</v>
      </c>
      <c r="AD78" s="278">
        <v>0.47114139605973349</v>
      </c>
      <c r="AE78" s="278">
        <v>0.47354751460538058</v>
      </c>
      <c r="AF78" s="278">
        <v>0.47580475031510455</v>
      </c>
      <c r="AG78" s="278">
        <v>0.47791661873536517</v>
      </c>
      <c r="AH78" s="278">
        <v>0.4798864785600378</v>
      </c>
      <c r="AI78" s="278">
        <v>0.48171754132822148</v>
      </c>
      <c r="AJ78" s="278">
        <v>0.48341288041064495</v>
      </c>
      <c r="AK78" s="278">
        <v>0.48497543934101739</v>
      </c>
      <c r="AL78" s="279">
        <v>0.48640803954479805</v>
      </c>
      <c r="AM78" s="277">
        <v>0.49035213536300426</v>
      </c>
      <c r="AN78" s="278">
        <v>0.4920850416519636</v>
      </c>
      <c r="AO78" s="278">
        <v>0.49374579171387101</v>
      </c>
      <c r="AP78" s="278">
        <v>0.49533693554828429</v>
      </c>
      <c r="AQ78" s="278">
        <v>0.49686090011791889</v>
      </c>
      <c r="AR78" s="278">
        <v>0.49831999732730686</v>
      </c>
      <c r="AS78" s="278">
        <v>0.49971643134745614</v>
      </c>
      <c r="AT78" s="278">
        <v>0.50105230535080414</v>
      </c>
      <c r="AU78" s="278">
        <v>0.50232962771346523</v>
      </c>
      <c r="AV78" s="279">
        <v>0.50355031773541481</v>
      </c>
      <c r="AW78" s="277">
        <v>0.50471621092368801</v>
      </c>
      <c r="AX78" s="278">
        <v>0.50582906387878501</v>
      </c>
      <c r="AY78" s="278">
        <v>0.50689055882019585</v>
      </c>
      <c r="AZ78" s="278">
        <v>0.50790230778318113</v>
      </c>
      <c r="BA78" s="278">
        <v>0.50886585651562688</v>
      </c>
      <c r="BB78" s="278">
        <v>0.50978268810084704</v>
      </c>
      <c r="BC78" s="278">
        <v>0.5106542263296181</v>
      </c>
      <c r="BD78" s="278">
        <v>0.5114818388424196</v>
      </c>
      <c r="BE78" s="278">
        <v>0.51226684006081669</v>
      </c>
      <c r="BF78" s="279">
        <v>0.51301049392509512</v>
      </c>
      <c r="BG78" s="279">
        <f t="shared" si="0"/>
        <v>0.51301049392509512</v>
      </c>
      <c r="BH78" s="237"/>
    </row>
    <row r="79" spans="1:60" x14ac:dyDescent="0.2">
      <c r="A79" s="273">
        <v>29</v>
      </c>
      <c r="B79" s="277">
        <v>0.30947880921076498</v>
      </c>
      <c r="C79" s="278">
        <v>0.31821410967499025</v>
      </c>
      <c r="D79" s="278">
        <v>0.32645602305363192</v>
      </c>
      <c r="E79" s="278">
        <v>0.33434623832609683</v>
      </c>
      <c r="F79" s="278">
        <v>0.34193197844108503</v>
      </c>
      <c r="G79" s="278">
        <v>0.34923262990495824</v>
      </c>
      <c r="H79" s="278">
        <v>0.3562590834720446</v>
      </c>
      <c r="I79" s="278">
        <v>0.36301973238862068</v>
      </c>
      <c r="J79" s="279">
        <v>0.36952232013879238</v>
      </c>
      <c r="K79" s="277">
        <v>0.37577443596764365</v>
      </c>
      <c r="L79" s="278">
        <v>0.38178357585067263</v>
      </c>
      <c r="M79" s="278">
        <v>0.38755708089364777</v>
      </c>
      <c r="N79" s="278">
        <v>0.39310205805290516</v>
      </c>
      <c r="O79" s="278">
        <v>0.39842531508764822</v>
      </c>
      <c r="P79" s="278">
        <v>0.40353331611542331</v>
      </c>
      <c r="Q79" s="278">
        <v>0.40843215583128961</v>
      </c>
      <c r="R79" s="278">
        <v>0.41312754838010696</v>
      </c>
      <c r="S79" s="279">
        <v>0.41762486472915195</v>
      </c>
      <c r="T79" s="277">
        <v>0.42192925600816006</v>
      </c>
      <c r="U79" s="278">
        <v>0.4260455568686089</v>
      </c>
      <c r="V79" s="278">
        <v>0.42997826270740808</v>
      </c>
      <c r="W79" s="278">
        <v>0.43373154579752438</v>
      </c>
      <c r="X79" s="278">
        <v>0.43730927239332251</v>
      </c>
      <c r="Y79" s="278">
        <v>0.44071502016299757</v>
      </c>
      <c r="Z79" s="278">
        <v>0.44395209550675252</v>
      </c>
      <c r="AA79" s="278">
        <v>0.44702355046719211</v>
      </c>
      <c r="AB79" s="279">
        <v>0.44993219904347698</v>
      </c>
      <c r="AC79" s="277">
        <v>0.45268063279499365</v>
      </c>
      <c r="AD79" s="278">
        <v>0.45527123567223465</v>
      </c>
      <c r="AE79" s="278">
        <v>0.45770619804862411</v>
      </c>
      <c r="AF79" s="278">
        <v>0.45998752995162823</v>
      </c>
      <c r="AG79" s="278">
        <v>0.46211707350803038</v>
      </c>
      <c r="AH79" s="278">
        <v>0.46409651462895213</v>
      </c>
      <c r="AI79" s="278">
        <v>0.46592739396687727</v>
      </c>
      <c r="AJ79" s="278">
        <v>0.46761111718070469</v>
      </c>
      <c r="AK79" s="278">
        <v>0.46914896454663274</v>
      </c>
      <c r="AL79" s="279">
        <v>0.4705420999530755</v>
      </c>
      <c r="AM79" s="277">
        <v>0.47450947270077276</v>
      </c>
      <c r="AN79" s="278">
        <v>0.47627343033725378</v>
      </c>
      <c r="AO79" s="278">
        <v>0.47796687268902671</v>
      </c>
      <c r="AP79" s="278">
        <v>0.47959229933071024</v>
      </c>
      <c r="AQ79" s="278">
        <v>0.4811520885744095</v>
      </c>
      <c r="AR79" s="278">
        <v>0.48264850534004977</v>
      </c>
      <c r="AS79" s="278">
        <v>0.48408370838354953</v>
      </c>
      <c r="AT79" s="278">
        <v>0.48545975694531512</v>
      </c>
      <c r="AU79" s="278">
        <v>0.48677861687458052</v>
      </c>
      <c r="AV79" s="279">
        <v>0.48804216627900804</v>
      </c>
      <c r="AW79" s="277">
        <v>0.48925220074361403</v>
      </c>
      <c r="AX79" s="278">
        <v>0.49041043815837171</v>
      </c>
      <c r="AY79" s="278">
        <v>0.49151852318969402</v>
      </c>
      <c r="AZ79" s="278">
        <v>0.49257803142734385</v>
      </c>
      <c r="BA79" s="278">
        <v>0.49359047323508509</v>
      </c>
      <c r="BB79" s="278">
        <v>0.49455729733052844</v>
      </c>
      <c r="BC79" s="278">
        <v>0.49547989411709192</v>
      </c>
      <c r="BD79" s="278">
        <v>0.4963595987887448</v>
      </c>
      <c r="BE79" s="278">
        <v>0.4971976942262013</v>
      </c>
      <c r="BF79" s="279">
        <v>0.49799541370145034</v>
      </c>
      <c r="BG79" s="279">
        <f t="shared" si="0"/>
        <v>0.49799541370145034</v>
      </c>
      <c r="BH79" s="237"/>
    </row>
    <row r="80" spans="1:60" ht="13.5" thickBot="1" x14ac:dyDescent="0.25">
      <c r="A80" s="293">
        <v>30</v>
      </c>
      <c r="B80" s="294">
        <v>0.29636697844657206</v>
      </c>
      <c r="C80" s="295">
        <v>0.30635227938128223</v>
      </c>
      <c r="D80" s="295">
        <v>0.31487259352864372</v>
      </c>
      <c r="E80" s="295">
        <v>0.32263432955411381</v>
      </c>
      <c r="F80" s="295">
        <v>0.32992206391230217</v>
      </c>
      <c r="G80" s="295">
        <v>0.33686170055358172</v>
      </c>
      <c r="H80" s="295">
        <v>0.34351351615989306</v>
      </c>
      <c r="I80" s="295">
        <v>0.34990884263066635</v>
      </c>
      <c r="J80" s="296">
        <v>0.35606572703420802</v>
      </c>
      <c r="K80" s="294">
        <v>0.3619960171905553</v>
      </c>
      <c r="L80" s="295">
        <v>0.36770870103877096</v>
      </c>
      <c r="M80" s="295">
        <v>0.37321151984098194</v>
      </c>
      <c r="N80" s="295">
        <v>0.37851175310812868</v>
      </c>
      <c r="O80" s="295">
        <v>0.38361659422630617</v>
      </c>
      <c r="P80" s="295">
        <v>0.38853332004360025</v>
      </c>
      <c r="Q80" s="295">
        <v>0.39326935607556468</v>
      </c>
      <c r="R80" s="295">
        <v>0.39783228933754072</v>
      </c>
      <c r="S80" s="296">
        <v>0.40222868662890521</v>
      </c>
      <c r="T80" s="294">
        <v>0.4064604697081115</v>
      </c>
      <c r="U80" s="295">
        <v>0.41052824538582589</v>
      </c>
      <c r="V80" s="295">
        <v>0.41443245191855993</v>
      </c>
      <c r="W80" s="295">
        <v>0.4181733612626376</v>
      </c>
      <c r="X80" s="295">
        <v>0.42175108218484869</v>
      </c>
      <c r="Y80" s="295">
        <v>0.42516556448690102</v>
      </c>
      <c r="Z80" s="295">
        <v>0.42841660433568163</v>
      </c>
      <c r="AA80" s="295">
        <v>0.43150385056861296</v>
      </c>
      <c r="AB80" s="296">
        <v>0.4344268117965393</v>
      </c>
      <c r="AC80" s="294">
        <v>0.43718486411911667</v>
      </c>
      <c r="AD80" s="295">
        <v>0.43977725927940847</v>
      </c>
      <c r="AE80" s="295">
        <v>0.44220313310440112</v>
      </c>
      <c r="AF80" s="295">
        <v>0.44446151410060897</v>
      </c>
      <c r="AG80" s="295">
        <v>0.44655133209588005</v>
      </c>
      <c r="AH80" s="295">
        <v>0.44847142683851204</v>
      </c>
      <c r="AI80" s="295">
        <v>0.45022055648237913</v>
      </c>
      <c r="AJ80" s="295">
        <v>0.45179740590179074</v>
      </c>
      <c r="AK80" s="295">
        <v>0.45320059479250446</v>
      </c>
      <c r="AL80" s="296">
        <v>0.4544286855258533</v>
      </c>
      <c r="AM80" s="294">
        <v>0.45834259592646587</v>
      </c>
      <c r="AN80" s="295">
        <v>0.4601455769454188</v>
      </c>
      <c r="AO80" s="295">
        <v>0.46188778226861477</v>
      </c>
      <c r="AP80" s="295">
        <v>0.46357161223255766</v>
      </c>
      <c r="AQ80" s="295">
        <v>0.46519933613681175</v>
      </c>
      <c r="AR80" s="295">
        <v>0.46677310155055646</v>
      </c>
      <c r="AS80" s="295">
        <v>0.46829494280772505</v>
      </c>
      <c r="AT80" s="295">
        <v>0.46976678877384215</v>
      </c>
      <c r="AU80" s="295">
        <v>0.47119046995800085</v>
      </c>
      <c r="AV80" s="296">
        <v>0.47256772503499705</v>
      </c>
      <c r="AW80" s="294">
        <v>0.473900206835283</v>
      </c>
      <c r="AX80" s="295">
        <v>0.47518948785396736</v>
      </c>
      <c r="AY80" s="295">
        <v>0.47643706532445523</v>
      </c>
      <c r="AZ80" s="295">
        <v>0.47764436589737985</v>
      </c>
      <c r="BA80" s="295">
        <v>0.47881274996112988</v>
      </c>
      <c r="BB80" s="295">
        <v>0.47994351563644522</v>
      </c>
      <c r="BC80" s="295">
        <v>0.48103790247418865</v>
      </c>
      <c r="BD80" s="295">
        <v>0.48209709488240432</v>
      </c>
      <c r="BE80" s="295">
        <v>0.48312222530614951</v>
      </c>
      <c r="BF80" s="296">
        <v>0.48411437718122657</v>
      </c>
      <c r="BG80" s="296">
        <f t="shared" si="0"/>
        <v>0.48411437718122657</v>
      </c>
      <c r="BH80" s="237"/>
    </row>
    <row r="81" spans="1:60" ht="14.25" thickTop="1" thickBot="1" x14ac:dyDescent="0.25">
      <c r="A81" s="293">
        <f>A80+0.001</f>
        <v>30.001000000000001</v>
      </c>
      <c r="B81" s="294">
        <f>B80</f>
        <v>0.29636697844657206</v>
      </c>
      <c r="C81" s="295">
        <f t="shared" ref="C81:BF81" si="1">C80</f>
        <v>0.30635227938128223</v>
      </c>
      <c r="D81" s="295">
        <f t="shared" si="1"/>
        <v>0.31487259352864372</v>
      </c>
      <c r="E81" s="295">
        <f t="shared" si="1"/>
        <v>0.32263432955411381</v>
      </c>
      <c r="F81" s="295">
        <f t="shared" si="1"/>
        <v>0.32992206391230217</v>
      </c>
      <c r="G81" s="295">
        <f t="shared" si="1"/>
        <v>0.33686170055358172</v>
      </c>
      <c r="H81" s="295">
        <f t="shared" si="1"/>
        <v>0.34351351615989306</v>
      </c>
      <c r="I81" s="295">
        <f t="shared" si="1"/>
        <v>0.34990884263066635</v>
      </c>
      <c r="J81" s="296">
        <f t="shared" si="1"/>
        <v>0.35606572703420802</v>
      </c>
      <c r="K81" s="294">
        <f t="shared" si="1"/>
        <v>0.3619960171905553</v>
      </c>
      <c r="L81" s="295">
        <f t="shared" si="1"/>
        <v>0.36770870103877096</v>
      </c>
      <c r="M81" s="295">
        <f t="shared" si="1"/>
        <v>0.37321151984098194</v>
      </c>
      <c r="N81" s="295">
        <f t="shared" si="1"/>
        <v>0.37851175310812868</v>
      </c>
      <c r="O81" s="295">
        <f t="shared" si="1"/>
        <v>0.38361659422630617</v>
      </c>
      <c r="P81" s="295">
        <f t="shared" si="1"/>
        <v>0.38853332004360025</v>
      </c>
      <c r="Q81" s="295">
        <f t="shared" si="1"/>
        <v>0.39326935607556468</v>
      </c>
      <c r="R81" s="295">
        <f t="shared" si="1"/>
        <v>0.39783228933754072</v>
      </c>
      <c r="S81" s="296">
        <f t="shared" si="1"/>
        <v>0.40222868662890521</v>
      </c>
      <c r="T81" s="294">
        <f t="shared" si="1"/>
        <v>0.4064604697081115</v>
      </c>
      <c r="U81" s="295">
        <f t="shared" si="1"/>
        <v>0.41052824538582589</v>
      </c>
      <c r="V81" s="295">
        <f t="shared" si="1"/>
        <v>0.41443245191855993</v>
      </c>
      <c r="W81" s="295">
        <f t="shared" si="1"/>
        <v>0.4181733612626376</v>
      </c>
      <c r="X81" s="295">
        <f t="shared" si="1"/>
        <v>0.42175108218484869</v>
      </c>
      <c r="Y81" s="295">
        <f t="shared" si="1"/>
        <v>0.42516556448690102</v>
      </c>
      <c r="Z81" s="295">
        <f t="shared" si="1"/>
        <v>0.42841660433568163</v>
      </c>
      <c r="AA81" s="295">
        <f t="shared" si="1"/>
        <v>0.43150385056861296</v>
      </c>
      <c r="AB81" s="296">
        <f t="shared" si="1"/>
        <v>0.4344268117965393</v>
      </c>
      <c r="AC81" s="294">
        <f t="shared" si="1"/>
        <v>0.43718486411911667</v>
      </c>
      <c r="AD81" s="295">
        <f t="shared" si="1"/>
        <v>0.43977725927940847</v>
      </c>
      <c r="AE81" s="295">
        <f t="shared" si="1"/>
        <v>0.44220313310440112</v>
      </c>
      <c r="AF81" s="295">
        <f t="shared" si="1"/>
        <v>0.44446151410060897</v>
      </c>
      <c r="AG81" s="295">
        <f t="shared" si="1"/>
        <v>0.44655133209588005</v>
      </c>
      <c r="AH81" s="295">
        <f t="shared" si="1"/>
        <v>0.44847142683851204</v>
      </c>
      <c r="AI81" s="295">
        <f t="shared" si="1"/>
        <v>0.45022055648237913</v>
      </c>
      <c r="AJ81" s="295">
        <f t="shared" si="1"/>
        <v>0.45179740590179074</v>
      </c>
      <c r="AK81" s="295">
        <f t="shared" si="1"/>
        <v>0.45320059479250446</v>
      </c>
      <c r="AL81" s="296">
        <f t="shared" si="1"/>
        <v>0.4544286855258533</v>
      </c>
      <c r="AM81" s="294">
        <f t="shared" si="1"/>
        <v>0.45834259592646587</v>
      </c>
      <c r="AN81" s="295">
        <f t="shared" si="1"/>
        <v>0.4601455769454188</v>
      </c>
      <c r="AO81" s="295">
        <f t="shared" si="1"/>
        <v>0.46188778226861477</v>
      </c>
      <c r="AP81" s="295">
        <f t="shared" si="1"/>
        <v>0.46357161223255766</v>
      </c>
      <c r="AQ81" s="295">
        <f t="shared" si="1"/>
        <v>0.46519933613681175</v>
      </c>
      <c r="AR81" s="295">
        <f t="shared" si="1"/>
        <v>0.46677310155055646</v>
      </c>
      <c r="AS81" s="295">
        <f t="shared" si="1"/>
        <v>0.46829494280772505</v>
      </c>
      <c r="AT81" s="295">
        <f t="shared" si="1"/>
        <v>0.46976678877384215</v>
      </c>
      <c r="AU81" s="295">
        <f t="shared" si="1"/>
        <v>0.47119046995800085</v>
      </c>
      <c r="AV81" s="296">
        <f t="shared" si="1"/>
        <v>0.47256772503499705</v>
      </c>
      <c r="AW81" s="294">
        <f t="shared" si="1"/>
        <v>0.473900206835283</v>
      </c>
      <c r="AX81" s="295">
        <f t="shared" si="1"/>
        <v>0.47518948785396736</v>
      </c>
      <c r="AY81" s="295">
        <f t="shared" si="1"/>
        <v>0.47643706532445523</v>
      </c>
      <c r="AZ81" s="295">
        <f t="shared" si="1"/>
        <v>0.47764436589737985</v>
      </c>
      <c r="BA81" s="295">
        <f t="shared" si="1"/>
        <v>0.47881274996112988</v>
      </c>
      <c r="BB81" s="295">
        <f t="shared" si="1"/>
        <v>0.47994351563644522</v>
      </c>
      <c r="BC81" s="295">
        <f t="shared" si="1"/>
        <v>0.48103790247418865</v>
      </c>
      <c r="BD81" s="295">
        <f t="shared" si="1"/>
        <v>0.48209709488240432</v>
      </c>
      <c r="BE81" s="295">
        <f t="shared" si="1"/>
        <v>0.48312222530614951</v>
      </c>
      <c r="BF81" s="296">
        <f t="shared" si="1"/>
        <v>0.48411437718122657</v>
      </c>
      <c r="BG81" s="296">
        <f>BF80</f>
        <v>0.48411437718122657</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3" t="s">
        <v>9</v>
      </c>
      <c r="B84" s="694"/>
      <c r="C84" s="694"/>
      <c r="D84" s="694"/>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297"/>
      <c r="B85" s="696" t="s">
        <v>28</v>
      </c>
      <c r="C85" s="697"/>
      <c r="D85" s="697"/>
      <c r="E85" s="697"/>
      <c r="F85" s="697"/>
      <c r="G85" s="697"/>
      <c r="H85" s="697"/>
      <c r="I85" s="697"/>
      <c r="J85" s="697"/>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9"/>
    </row>
    <row r="86" spans="1:60" ht="14.25" thickTop="1" thickBot="1" x14ac:dyDescent="0.25">
      <c r="A86" s="300" t="s">
        <v>29</v>
      </c>
      <c r="B86" s="301">
        <v>4</v>
      </c>
      <c r="C86" s="301">
        <v>5</v>
      </c>
      <c r="D86" s="301">
        <v>6</v>
      </c>
      <c r="E86" s="301">
        <v>7</v>
      </c>
      <c r="F86" s="301">
        <v>8</v>
      </c>
      <c r="G86" s="301">
        <v>9</v>
      </c>
      <c r="H86" s="301">
        <v>10</v>
      </c>
      <c r="I86" s="301">
        <v>11</v>
      </c>
      <c r="J86" s="302">
        <v>12</v>
      </c>
      <c r="K86" s="301">
        <v>13</v>
      </c>
      <c r="L86" s="301">
        <v>14</v>
      </c>
      <c r="M86" s="301">
        <v>15</v>
      </c>
      <c r="N86" s="301">
        <v>16</v>
      </c>
      <c r="O86" s="301">
        <v>17</v>
      </c>
      <c r="P86" s="301">
        <v>18</v>
      </c>
      <c r="Q86" s="301">
        <v>19</v>
      </c>
      <c r="R86" s="301">
        <v>20</v>
      </c>
      <c r="S86" s="302">
        <v>21</v>
      </c>
      <c r="T86" s="301">
        <v>22</v>
      </c>
      <c r="U86" s="301">
        <v>23</v>
      </c>
      <c r="V86" s="301">
        <v>24</v>
      </c>
      <c r="W86" s="301">
        <v>25</v>
      </c>
      <c r="X86" s="301">
        <v>26</v>
      </c>
      <c r="Y86" s="301">
        <v>27</v>
      </c>
      <c r="Z86" s="301">
        <v>28</v>
      </c>
      <c r="AA86" s="301">
        <v>29</v>
      </c>
      <c r="AB86" s="302">
        <v>30</v>
      </c>
      <c r="AC86" s="301">
        <v>31</v>
      </c>
      <c r="AD86" s="301">
        <v>32</v>
      </c>
      <c r="AE86" s="301">
        <v>33</v>
      </c>
      <c r="AF86" s="301">
        <v>34</v>
      </c>
      <c r="AG86" s="301">
        <v>35</v>
      </c>
      <c r="AH86" s="301">
        <v>36</v>
      </c>
      <c r="AI86" s="301">
        <v>37</v>
      </c>
      <c r="AJ86" s="301">
        <v>38</v>
      </c>
      <c r="AK86" s="301">
        <v>39</v>
      </c>
      <c r="AL86" s="302">
        <v>40</v>
      </c>
      <c r="AM86" s="302">
        <f>AL86+0.001</f>
        <v>40.000999999999998</v>
      </c>
      <c r="AN86" s="299"/>
    </row>
    <row r="87" spans="1:60" ht="13.5" thickTop="1" x14ac:dyDescent="0.2">
      <c r="A87" s="303">
        <v>4</v>
      </c>
      <c r="B87" s="304">
        <v>0.92611134377725846</v>
      </c>
      <c r="C87" s="304">
        <v>0.93570770988192642</v>
      </c>
      <c r="D87" s="304">
        <v>0.94270316835199996</v>
      </c>
      <c r="E87" s="304">
        <v>0.94810407539593577</v>
      </c>
      <c r="F87" s="304">
        <v>0.95230054178073287</v>
      </c>
      <c r="G87" s="304">
        <v>0.95589948689073567</v>
      </c>
      <c r="H87" s="304">
        <v>0.95866475669228379</v>
      </c>
      <c r="I87" s="304">
        <v>0.96135657189281631</v>
      </c>
      <c r="J87" s="305">
        <v>0.96299999999999997</v>
      </c>
      <c r="K87" s="304">
        <v>0.96545354141969031</v>
      </c>
      <c r="L87" s="304">
        <v>0.96715720068718647</v>
      </c>
      <c r="M87" s="304">
        <v>0.9688031186663677</v>
      </c>
      <c r="N87" s="304">
        <v>0.97007107661480863</v>
      </c>
      <c r="O87" s="304">
        <v>0.97133407204983413</v>
      </c>
      <c r="P87" s="304">
        <v>0.97249484412408926</v>
      </c>
      <c r="Q87" s="304">
        <v>0.97299999999999998</v>
      </c>
      <c r="R87" s="304">
        <v>0.97399999999999998</v>
      </c>
      <c r="S87" s="305">
        <v>0.97549631060171782</v>
      </c>
      <c r="T87" s="304">
        <v>0.97636993855313636</v>
      </c>
      <c r="U87" s="304">
        <v>0.97719346591481548</v>
      </c>
      <c r="V87" s="304">
        <v>0.97797257063844678</v>
      </c>
      <c r="W87" s="304">
        <v>0.97853677222974889</v>
      </c>
      <c r="X87" s="304">
        <v>0.97941513355752341</v>
      </c>
      <c r="Y87" s="304">
        <v>0.98008755004425963</v>
      </c>
      <c r="Z87" s="304">
        <v>0.98073045805424663</v>
      </c>
      <c r="AA87" s="304">
        <v>0.98134818130600987</v>
      </c>
      <c r="AB87" s="305">
        <v>0.98159601605066604</v>
      </c>
      <c r="AC87" s="304">
        <v>0.98251524818614488</v>
      </c>
      <c r="AD87" s="304">
        <v>0.98306830715353044</v>
      </c>
      <c r="AE87" s="304">
        <v>0.9836039367999494</v>
      </c>
      <c r="AF87" s="304">
        <v>0.98412285666739563</v>
      </c>
      <c r="AG87" s="304">
        <v>0.98498598374137059</v>
      </c>
      <c r="AH87" s="304">
        <v>0.98511719204225157</v>
      </c>
      <c r="AI87" s="304">
        <v>0.98559464382526796</v>
      </c>
      <c r="AJ87" s="304">
        <v>0.98605976791654604</v>
      </c>
      <c r="AK87" s="304">
        <v>0.98651432040472975</v>
      </c>
      <c r="AL87" s="305">
        <v>0.98691055529904026</v>
      </c>
      <c r="AM87" s="305">
        <f>AL87</f>
        <v>0.98691055529904026</v>
      </c>
      <c r="AN87" s="299"/>
    </row>
    <row r="88" spans="1:60" x14ac:dyDescent="0.2">
      <c r="A88" s="306">
        <v>5</v>
      </c>
      <c r="B88" s="307">
        <v>0.93197984686643576</v>
      </c>
      <c r="C88" s="307">
        <v>0.94298453767959722</v>
      </c>
      <c r="D88" s="307">
        <v>0.95110333163767036</v>
      </c>
      <c r="E88" s="307">
        <v>0.95761336352896342</v>
      </c>
      <c r="F88" s="307">
        <v>0.96263992628134298</v>
      </c>
      <c r="G88" s="307">
        <v>0.96703129413942768</v>
      </c>
      <c r="H88" s="307">
        <v>0.97062134980162318</v>
      </c>
      <c r="I88" s="307">
        <v>0.97370111132879611</v>
      </c>
      <c r="J88" s="308">
        <v>0.97654767226379335</v>
      </c>
      <c r="K88" s="307">
        <v>0.97872151122140771</v>
      </c>
      <c r="L88" s="307">
        <v>0.98080367063671137</v>
      </c>
      <c r="M88" s="307">
        <v>0.98282252475277332</v>
      </c>
      <c r="N88" s="307">
        <v>0.98434332814288195</v>
      </c>
      <c r="O88" s="307">
        <v>0.98586412417865943</v>
      </c>
      <c r="P88" s="307">
        <v>0.98725139482379365</v>
      </c>
      <c r="Q88" s="307">
        <v>0.98852304979690098</v>
      </c>
      <c r="R88" s="307">
        <v>0.98977430866564575</v>
      </c>
      <c r="S88" s="308">
        <v>0.99077731763531918</v>
      </c>
      <c r="T88" s="307">
        <v>0.99178298757312333</v>
      </c>
      <c r="U88" s="307">
        <v>0.99272017055104966</v>
      </c>
      <c r="V88" s="307">
        <v>0.99359603343296576</v>
      </c>
      <c r="W88" s="307">
        <v>0.99415211039091378</v>
      </c>
      <c r="X88" s="307">
        <v>0.99518955814134535</v>
      </c>
      <c r="Y88" s="307">
        <v>0.99591781593941664</v>
      </c>
      <c r="Z88" s="307">
        <v>0.9966052894372337</v>
      </c>
      <c r="AA88" s="307">
        <v>0.99725693863188392</v>
      </c>
      <c r="AB88" s="308">
        <v>0.99763325905717326</v>
      </c>
      <c r="AC88" s="307">
        <v>0.999</v>
      </c>
      <c r="AD88" s="307">
        <v>0.99902305076510345</v>
      </c>
      <c r="AE88" s="307">
        <v>0.99955778695857123</v>
      </c>
      <c r="AF88" s="307">
        <v>1.0000688121801318</v>
      </c>
      <c r="AG88" s="307">
        <v>1.0008289444636294</v>
      </c>
      <c r="AH88" s="307">
        <v>1.0010275079764801</v>
      </c>
      <c r="AI88" s="307">
        <v>1.002</v>
      </c>
      <c r="AJ88" s="307">
        <v>1.0019113236051289</v>
      </c>
      <c r="AK88" s="307">
        <v>1.0023286623869274</v>
      </c>
      <c r="AL88" s="308">
        <v>1.0027292274050765</v>
      </c>
      <c r="AM88" s="308">
        <f t="shared" ref="AM88:AM123" si="2">AL88</f>
        <v>1.0027292274050765</v>
      </c>
      <c r="AN88" s="299"/>
    </row>
    <row r="89" spans="1:60" x14ac:dyDescent="0.2">
      <c r="A89" s="303">
        <v>6</v>
      </c>
      <c r="B89" s="304">
        <v>0.93621845720388708</v>
      </c>
      <c r="C89" s="304">
        <v>0.94829655966808191</v>
      </c>
      <c r="D89" s="304">
        <v>0.95722969622039433</v>
      </c>
      <c r="E89" s="304">
        <v>0.96455628768572699</v>
      </c>
      <c r="F89" s="304">
        <v>0.97018846505772727</v>
      </c>
      <c r="G89" s="304">
        <v>0.97513064161618834</v>
      </c>
      <c r="H89" s="304">
        <v>0.97929023657045433</v>
      </c>
      <c r="I89" s="304">
        <v>0.98266365058370564</v>
      </c>
      <c r="J89" s="305">
        <v>0.98583326001658778</v>
      </c>
      <c r="K89" s="304">
        <v>0.98899999999999999</v>
      </c>
      <c r="L89" s="304">
        <v>0.99070977072416944</v>
      </c>
      <c r="M89" s="304">
        <v>0.99299688313229906</v>
      </c>
      <c r="N89" s="304">
        <v>0.99471917779073726</v>
      </c>
      <c r="O89" s="304">
        <v>0.99643934343110341</v>
      </c>
      <c r="P89" s="304">
        <v>0.99800602683582684</v>
      </c>
      <c r="Q89" s="304">
        <v>0.99943944397882489</v>
      </c>
      <c r="R89" s="304">
        <v>1.0008303443804858</v>
      </c>
      <c r="S89" s="305">
        <v>1.0019719751814402</v>
      </c>
      <c r="T89" s="304">
        <v>1.0030973606003994</v>
      </c>
      <c r="U89" s="304">
        <v>1.0041428118510691</v>
      </c>
      <c r="V89" s="304">
        <v>1.0051164618599138</v>
      </c>
      <c r="W89" s="304">
        <v>1.0057111096992974</v>
      </c>
      <c r="X89" s="304">
        <v>1.0068789324500433</v>
      </c>
      <c r="Y89" s="304">
        <v>1.0076794843834922</v>
      </c>
      <c r="Z89" s="304">
        <v>1.0084322945170845</v>
      </c>
      <c r="AA89" s="304">
        <v>1.0091426625093918</v>
      </c>
      <c r="AB89" s="305">
        <v>1.0096144589030651</v>
      </c>
      <c r="AC89" s="304">
        <v>1.0104485996780759</v>
      </c>
      <c r="AD89" s="304">
        <v>1.0110504647394443</v>
      </c>
      <c r="AE89" s="304">
        <v>1.0116223650579803</v>
      </c>
      <c r="AF89" s="304">
        <v>1.0121662404803464</v>
      </c>
      <c r="AG89" s="304">
        <v>1.0128907327931236</v>
      </c>
      <c r="AH89" s="304">
        <v>1.0131783299967476</v>
      </c>
      <c r="AI89" s="304">
        <v>1.0136500550319321</v>
      </c>
      <c r="AJ89" s="304">
        <v>1.0141012336330255</v>
      </c>
      <c r="AK89" s="304">
        <v>1.0145332446395048</v>
      </c>
      <c r="AL89" s="305">
        <v>1.0149916466257487</v>
      </c>
      <c r="AM89" s="305">
        <f t="shared" si="2"/>
        <v>1.0149916466257487</v>
      </c>
      <c r="AN89" s="299"/>
    </row>
    <row r="90" spans="1:60" x14ac:dyDescent="0.2">
      <c r="A90" s="303">
        <v>7</v>
      </c>
      <c r="B90" s="304">
        <v>0.93970502838793468</v>
      </c>
      <c r="C90" s="304">
        <v>0.95251050195836018</v>
      </c>
      <c r="D90" s="304">
        <v>0.96203639185827672</v>
      </c>
      <c r="E90" s="304">
        <v>0.9700083327869915</v>
      </c>
      <c r="F90" s="304">
        <v>0.97614150858950066</v>
      </c>
      <c r="G90" s="304">
        <v>0.98153446377184905</v>
      </c>
      <c r="H90" s="304">
        <v>0.9861566762222661</v>
      </c>
      <c r="I90" s="304">
        <v>0.98980992343771101</v>
      </c>
      <c r="J90" s="305">
        <v>0.99328329963888873</v>
      </c>
      <c r="K90" s="304">
        <v>0.99608376796561837</v>
      </c>
      <c r="L90" s="304">
        <v>0.99869143495533619</v>
      </c>
      <c r="M90" s="304">
        <v>1.0012108675357141</v>
      </c>
      <c r="N90" s="304">
        <v>1.0031224039973394</v>
      </c>
      <c r="O90" s="304">
        <v>1.0050217936610573</v>
      </c>
      <c r="P90" s="304">
        <v>1.0067495937596116</v>
      </c>
      <c r="Q90" s="304">
        <v>1.0083278473662607</v>
      </c>
      <c r="R90" s="304">
        <v>1.0098477167958215</v>
      </c>
      <c r="S90" s="305">
        <v>1.0111075903918496</v>
      </c>
      <c r="T90" s="304">
        <v>1.0123379986625061</v>
      </c>
      <c r="U90" s="304">
        <v>1.013477490403085</v>
      </c>
      <c r="V90" s="304">
        <v>1.014</v>
      </c>
      <c r="W90" s="304">
        <v>1.015175822526174</v>
      </c>
      <c r="X90" s="304">
        <v>1.0164389236405353</v>
      </c>
      <c r="Y90" s="304">
        <v>1.017298113555025</v>
      </c>
      <c r="Z90" s="304">
        <v>1.0181025407042705</v>
      </c>
      <c r="AA90" s="304">
        <v>1.0188578488394402</v>
      </c>
      <c r="AB90" s="305">
        <v>1.0193799992067656</v>
      </c>
      <c r="AC90" s="304">
        <v>1.0202356885817752</v>
      </c>
      <c r="AD90" s="304">
        <v>1.0208654251482767</v>
      </c>
      <c r="AE90" s="304">
        <v>1.021460217803146</v>
      </c>
      <c r="AF90" s="304">
        <v>1.0220224852431148</v>
      </c>
      <c r="AG90" s="304">
        <v>1.0227124546824484</v>
      </c>
      <c r="AH90" s="304">
        <v>1.0230586200359191</v>
      </c>
      <c r="AI90" s="304">
        <v>1.0235365821905356</v>
      </c>
      <c r="AJ90" s="304">
        <v>1.0239905774873437</v>
      </c>
      <c r="AK90" s="304">
        <v>1.0244220022653141</v>
      </c>
      <c r="AL90" s="305">
        <v>1.0249195210859781</v>
      </c>
      <c r="AM90" s="305">
        <f t="shared" si="2"/>
        <v>1.0249195210859781</v>
      </c>
      <c r="AN90" s="299"/>
    </row>
    <row r="91" spans="1:60" x14ac:dyDescent="0.2">
      <c r="A91" s="303">
        <v>8</v>
      </c>
      <c r="B91" s="304">
        <v>0.94247613822001253</v>
      </c>
      <c r="C91" s="304">
        <v>0.95579400076943011</v>
      </c>
      <c r="D91" s="304">
        <v>0.96573013349960424</v>
      </c>
      <c r="E91" s="304">
        <v>0.97417141777437444</v>
      </c>
      <c r="F91" s="304">
        <v>0.98066748435506135</v>
      </c>
      <c r="G91" s="304">
        <v>0.98699999999999999</v>
      </c>
      <c r="H91" s="304">
        <v>0.9913306027638018</v>
      </c>
      <c r="I91" s="304">
        <v>0.99519317156697285</v>
      </c>
      <c r="J91" s="305">
        <v>0.99890008467719194</v>
      </c>
      <c r="K91" s="304">
        <v>1.0018992116507983</v>
      </c>
      <c r="L91" s="304">
        <v>1.0046914744169944</v>
      </c>
      <c r="M91" s="304">
        <v>1.0073824121740449</v>
      </c>
      <c r="N91" s="304">
        <v>1.0094407076727412</v>
      </c>
      <c r="O91" s="304">
        <v>1.0114775263622584</v>
      </c>
      <c r="P91" s="304">
        <v>1.0133302909573314</v>
      </c>
      <c r="Q91" s="304">
        <v>1.0150222671650417</v>
      </c>
      <c r="R91" s="304">
        <v>1.0166475357933984</v>
      </c>
      <c r="S91" s="305">
        <v>1.0180001050731959</v>
      </c>
      <c r="T91" s="304">
        <v>1.0193166503590265</v>
      </c>
      <c r="U91" s="304">
        <v>1.0205346828135773</v>
      </c>
      <c r="V91" s="304">
        <v>1.0216638333814174</v>
      </c>
      <c r="W91" s="304">
        <v>1.0229999999999999</v>
      </c>
      <c r="X91" s="304">
        <v>1.023692212147038</v>
      </c>
      <c r="Y91" s="304">
        <v>1.0246052713487321</v>
      </c>
      <c r="Z91" s="304">
        <v>1.0254586643687622</v>
      </c>
      <c r="AA91" s="304">
        <v>1.0262582459861331</v>
      </c>
      <c r="AB91" s="305">
        <v>1.0268155722911918</v>
      </c>
      <c r="AC91" s="304">
        <v>1.0277120191099272</v>
      </c>
      <c r="AD91" s="304">
        <v>1.0283740390535465</v>
      </c>
      <c r="AE91" s="304">
        <v>1.0289975795681046</v>
      </c>
      <c r="AF91" s="304">
        <v>1.0295854201887249</v>
      </c>
      <c r="AG91" s="304">
        <v>1.0302602326277417</v>
      </c>
      <c r="AH91" s="304">
        <v>1.0306636740262687</v>
      </c>
      <c r="AI91" s="304">
        <v>1.0311586022117905</v>
      </c>
      <c r="AJ91" s="304">
        <v>1.0316271071717118</v>
      </c>
      <c r="AK91" s="304">
        <v>1.0320706239494664</v>
      </c>
      <c r="AL91" s="305">
        <v>1.0326166303469888</v>
      </c>
      <c r="AM91" s="305">
        <f t="shared" si="2"/>
        <v>1.0326166303469888</v>
      </c>
      <c r="AN91" s="299"/>
    </row>
    <row r="92" spans="1:60" x14ac:dyDescent="0.2">
      <c r="A92" s="303">
        <v>9</v>
      </c>
      <c r="B92" s="304">
        <v>0.94399999999999995</v>
      </c>
      <c r="C92" s="304">
        <v>0.95848174569077471</v>
      </c>
      <c r="D92" s="304">
        <v>0.968851941037849</v>
      </c>
      <c r="E92" s="304">
        <v>0.97774498012671684</v>
      </c>
      <c r="F92" s="304">
        <v>0.98458714807947545</v>
      </c>
      <c r="G92" s="304">
        <v>0.99059104631019412</v>
      </c>
      <c r="H92" s="304">
        <v>0.9958311844856218</v>
      </c>
      <c r="I92" s="304">
        <v>0.99989682690020643</v>
      </c>
      <c r="J92" s="305">
        <v>1.0038246163297471</v>
      </c>
      <c r="K92" s="304">
        <v>1.0069993130023365</v>
      </c>
      <c r="L92" s="304">
        <v>1.0099633171379296</v>
      </c>
      <c r="M92" s="304">
        <v>1.012813209804571</v>
      </c>
      <c r="N92" s="304">
        <v>1.0150152508447063</v>
      </c>
      <c r="O92" s="304">
        <v>1.0171865673445346</v>
      </c>
      <c r="P92" s="304">
        <v>1.0191644014173544</v>
      </c>
      <c r="Q92" s="304">
        <v>1.0209730615159935</v>
      </c>
      <c r="R92" s="304">
        <v>1.0227111544862968</v>
      </c>
      <c r="S92" s="305">
        <v>1.0241627476453585</v>
      </c>
      <c r="T92" s="304">
        <v>1.0255758531219228</v>
      </c>
      <c r="U92" s="304">
        <v>1.0268850383416339</v>
      </c>
      <c r="V92" s="304">
        <v>1.0281004163762479</v>
      </c>
      <c r="W92" s="304">
        <v>1.0288609391535821</v>
      </c>
      <c r="X92" s="304">
        <v>1.0302880908499987</v>
      </c>
      <c r="Y92" s="304">
        <v>1.0312749282254063</v>
      </c>
      <c r="Z92" s="304">
        <v>1.032198692651765</v>
      </c>
      <c r="AA92" s="304">
        <v>1.0330653768802813</v>
      </c>
      <c r="AB92" s="305">
        <v>1.0336736217186924</v>
      </c>
      <c r="AC92" s="304">
        <v>1.0346446267556775</v>
      </c>
      <c r="AD92" s="304">
        <v>1.0353654586913019</v>
      </c>
      <c r="AE92" s="304">
        <v>1.0360453482402003</v>
      </c>
      <c r="AF92" s="304">
        <v>1.0366873504748444</v>
      </c>
      <c r="AG92" s="304">
        <v>1.0373844675485628</v>
      </c>
      <c r="AH92" s="304">
        <v>1.0378676768998227</v>
      </c>
      <c r="AI92" s="304">
        <v>1.0384108159692831</v>
      </c>
      <c r="AJ92" s="304">
        <v>1.0389258106034911</v>
      </c>
      <c r="AK92" s="304">
        <v>1.03941414038158</v>
      </c>
      <c r="AL92" s="305">
        <v>1.040037749784203</v>
      </c>
      <c r="AM92" s="305">
        <f t="shared" si="2"/>
        <v>1.040037749784203</v>
      </c>
      <c r="AN92" s="299"/>
    </row>
    <row r="93" spans="1:60" x14ac:dyDescent="0.2">
      <c r="A93" s="306">
        <v>10</v>
      </c>
      <c r="B93" s="307">
        <v>0.94635556381756014</v>
      </c>
      <c r="C93" s="307">
        <v>0.96048269667704533</v>
      </c>
      <c r="D93" s="307">
        <v>0.97199999999999998</v>
      </c>
      <c r="E93" s="307">
        <v>0.98099999999999998</v>
      </c>
      <c r="F93" s="307">
        <v>0.98754492646623149</v>
      </c>
      <c r="G93" s="307">
        <v>0.99384734286105458</v>
      </c>
      <c r="H93" s="307">
        <v>1</v>
      </c>
      <c r="I93" s="307">
        <v>1.0037040784900364</v>
      </c>
      <c r="J93" s="308">
        <v>1.0078939149989297</v>
      </c>
      <c r="K93" s="307">
        <v>1.011279013755042</v>
      </c>
      <c r="L93" s="307">
        <v>1.0144517911368198</v>
      </c>
      <c r="M93" s="307">
        <v>1.0174934628085368</v>
      </c>
      <c r="N93" s="307">
        <v>1.0198721586276891</v>
      </c>
      <c r="O93" s="307">
        <v>1.022205500666078</v>
      </c>
      <c r="P93" s="307">
        <v>1.0243320133643703</v>
      </c>
      <c r="Q93" s="307">
        <v>1.0262769657411854</v>
      </c>
      <c r="R93" s="307">
        <v>1.0281445582345701</v>
      </c>
      <c r="S93" s="308">
        <v>1.0297057771060156</v>
      </c>
      <c r="T93" s="307">
        <v>1.0312232719685088</v>
      </c>
      <c r="U93" s="307">
        <v>1.0326277517849862</v>
      </c>
      <c r="V93" s="307">
        <v>1.0339299687432071</v>
      </c>
      <c r="W93" s="307">
        <v>1.0347629771831652</v>
      </c>
      <c r="X93" s="307">
        <v>1.0362680649868699</v>
      </c>
      <c r="Y93" s="307">
        <v>1.0373195459803073</v>
      </c>
      <c r="Z93" s="307">
        <v>1.0383015901094388</v>
      </c>
      <c r="AA93" s="307">
        <v>1.0392205003378598</v>
      </c>
      <c r="AB93" s="308">
        <v>1.0398581669866789</v>
      </c>
      <c r="AC93" s="307">
        <v>1.0408876622827208</v>
      </c>
      <c r="AD93" s="307">
        <v>1.0416448733791774</v>
      </c>
      <c r="AE93" s="307">
        <v>1.0423564182268583</v>
      </c>
      <c r="AF93" s="307">
        <v>1.0430257307251156</v>
      </c>
      <c r="AG93" s="307">
        <v>1.0437222244096742</v>
      </c>
      <c r="AH93" s="307">
        <v>1.0442484446183506</v>
      </c>
      <c r="AI93" s="307">
        <v>1.0448071605310303</v>
      </c>
      <c r="AJ93" s="307">
        <v>1.0453342536589707</v>
      </c>
      <c r="AK93" s="307">
        <v>1.0458313719901575</v>
      </c>
      <c r="AL93" s="308">
        <v>1.0464909432866412</v>
      </c>
      <c r="AM93" s="308">
        <f t="shared" si="2"/>
        <v>1.0464909432866412</v>
      </c>
      <c r="AN93" s="299"/>
    </row>
    <row r="94" spans="1:60" x14ac:dyDescent="0.2">
      <c r="A94" s="303">
        <v>11</v>
      </c>
      <c r="B94" s="304">
        <v>0.94793693185594885</v>
      </c>
      <c r="C94" s="304">
        <v>0.96199999999999997</v>
      </c>
      <c r="D94" s="304">
        <v>0.97351254932619014</v>
      </c>
      <c r="E94" s="304">
        <v>0.9830399784320154</v>
      </c>
      <c r="F94" s="304">
        <v>0.99099999999999999</v>
      </c>
      <c r="G94" s="304">
        <v>0.99680220929670038</v>
      </c>
      <c r="H94" s="304">
        <v>1.0029999999999999</v>
      </c>
      <c r="I94" s="304">
        <v>1.0068394944378611</v>
      </c>
      <c r="J94" s="305">
        <v>1.0111164502979881</v>
      </c>
      <c r="K94" s="304">
        <v>1.0145446927541655</v>
      </c>
      <c r="L94" s="304">
        <v>1.0177728604721581</v>
      </c>
      <c r="M94" s="304">
        <v>1.0208650786446618</v>
      </c>
      <c r="N94" s="304">
        <v>1.0232939712028837</v>
      </c>
      <c r="O94" s="304">
        <v>1.0256749336174176</v>
      </c>
      <c r="P94" s="304">
        <v>1.0278482054227998</v>
      </c>
      <c r="Q94" s="304">
        <v>1.0298395066746564</v>
      </c>
      <c r="R94" s="304">
        <v>1.0317586761511941</v>
      </c>
      <c r="S94" s="305">
        <v>1.034</v>
      </c>
      <c r="T94" s="304">
        <v>1.0349255189522384</v>
      </c>
      <c r="U94" s="304">
        <v>1.0369999999999999</v>
      </c>
      <c r="V94" s="304">
        <v>1.0377276792340184</v>
      </c>
      <c r="W94" s="304">
        <v>1.038604961814563</v>
      </c>
      <c r="X94" s="304">
        <v>1.0401637535245654</v>
      </c>
      <c r="Y94" s="304">
        <v>1.0412652699375531</v>
      </c>
      <c r="Z94" s="304">
        <v>1.0422981046493947</v>
      </c>
      <c r="AA94" s="304">
        <v>1.0432684754019856</v>
      </c>
      <c r="AB94" s="305">
        <v>1.0439397224639155</v>
      </c>
      <c r="AC94" s="304">
        <v>1.045040634001378</v>
      </c>
      <c r="AD94" s="304">
        <v>1.0458513613776044</v>
      </c>
      <c r="AE94" s="304">
        <v>1.0466170027092363</v>
      </c>
      <c r="AF94" s="304">
        <v>1.048</v>
      </c>
      <c r="AG94" s="304">
        <v>1.0480736824040569</v>
      </c>
      <c r="AH94" s="304">
        <v>1.0486749528225743</v>
      </c>
      <c r="AI94" s="304">
        <v>1.05</v>
      </c>
      <c r="AJ94" s="304">
        <v>1.0498741070708271</v>
      </c>
      <c r="AK94" s="304">
        <v>1.0509999999999999</v>
      </c>
      <c r="AL94" s="305">
        <v>1.0511726166911002</v>
      </c>
      <c r="AM94" s="305">
        <f t="shared" si="2"/>
        <v>1.0511726166911002</v>
      </c>
      <c r="AN94" s="299"/>
    </row>
    <row r="95" spans="1:60" x14ac:dyDescent="0.2">
      <c r="A95" s="303">
        <v>12</v>
      </c>
      <c r="B95" s="304">
        <v>0.94935739946554842</v>
      </c>
      <c r="C95" s="304">
        <v>0.9644034698599846</v>
      </c>
      <c r="D95" s="304">
        <v>0.97561554604663858</v>
      </c>
      <c r="E95" s="304">
        <v>0.98541014673614824</v>
      </c>
      <c r="F95" s="304">
        <v>0.99294677060346359</v>
      </c>
      <c r="G95" s="304">
        <v>0.999</v>
      </c>
      <c r="H95" s="304">
        <v>1.0053143379539837</v>
      </c>
      <c r="I95" s="304">
        <v>1.0098109617280162</v>
      </c>
      <c r="J95" s="305">
        <v>1.01421018801179</v>
      </c>
      <c r="K95" s="304">
        <v>1.0177136657142247</v>
      </c>
      <c r="L95" s="304">
        <v>1.0210268514111775</v>
      </c>
      <c r="M95" s="304">
        <v>1.0241958226990777</v>
      </c>
      <c r="N95" s="304">
        <v>1.0266985853349218</v>
      </c>
      <c r="O95" s="304">
        <v>1.0291473417505248</v>
      </c>
      <c r="P95" s="304">
        <v>1.0313844465082909</v>
      </c>
      <c r="Q95" s="304">
        <v>1.033436187368959</v>
      </c>
      <c r="R95" s="304">
        <v>1.0354185039143955</v>
      </c>
      <c r="S95" s="305">
        <v>1.0370704269702111</v>
      </c>
      <c r="T95" s="304">
        <v>1.0386875829380484</v>
      </c>
      <c r="U95" s="304">
        <v>1.0401903875716512</v>
      </c>
      <c r="V95" s="304">
        <v>1.0415899189130222</v>
      </c>
      <c r="W95" s="304">
        <v>1.0425114799998043</v>
      </c>
      <c r="X95" s="304">
        <v>1.044120020371011</v>
      </c>
      <c r="Y95" s="304">
        <v>1.0452666691177852</v>
      </c>
      <c r="Z95" s="304">
        <v>1.0463435768020459</v>
      </c>
      <c r="AA95" s="304">
        <v>1.0473570006602104</v>
      </c>
      <c r="AB95" s="305">
        <v>1.0480519339215895</v>
      </c>
      <c r="AC95" s="304">
        <v>1.0492126451693844</v>
      </c>
      <c r="AD95" s="304">
        <v>1.0500639625210999</v>
      </c>
      <c r="AE95" s="304">
        <v>1.0508694451958629</v>
      </c>
      <c r="AF95" s="304">
        <v>1.0516327291689487</v>
      </c>
      <c r="AG95" s="304">
        <v>1.0523883968875811</v>
      </c>
      <c r="AH95" s="304">
        <v>1.05304328912933</v>
      </c>
      <c r="AI95" s="304">
        <v>1.0536959834115076</v>
      </c>
      <c r="AJ95" s="304">
        <v>1.0543170494405338</v>
      </c>
      <c r="AK95" s="304">
        <v>1.0549081592119398</v>
      </c>
      <c r="AL95" s="305">
        <v>1.0557115131438941</v>
      </c>
      <c r="AM95" s="305">
        <f t="shared" si="2"/>
        <v>1.0557115131438941</v>
      </c>
      <c r="AN95" s="299"/>
    </row>
    <row r="96" spans="1:60" x14ac:dyDescent="0.2">
      <c r="A96" s="303">
        <v>13</v>
      </c>
      <c r="B96" s="304">
        <v>0.95038263424367408</v>
      </c>
      <c r="C96" s="304">
        <v>0.96554546380389561</v>
      </c>
      <c r="D96" s="304">
        <v>0.97689131048383548</v>
      </c>
      <c r="E96" s="304">
        <v>0.98688080689981295</v>
      </c>
      <c r="F96" s="304">
        <v>0.99459152374741111</v>
      </c>
      <c r="G96" s="304">
        <v>1.001323373021636</v>
      </c>
      <c r="H96" s="304">
        <v>1.0072733445270572</v>
      </c>
      <c r="I96" s="304">
        <v>1.0119155235900688</v>
      </c>
      <c r="J96" s="305">
        <v>1.0169999999999999</v>
      </c>
      <c r="K96" s="304">
        <v>1.0209999999999999</v>
      </c>
      <c r="L96" s="304">
        <v>1.023522699596197</v>
      </c>
      <c r="M96" s="304">
        <v>1.026805184789247</v>
      </c>
      <c r="N96" s="304">
        <v>1.03</v>
      </c>
      <c r="O96" s="304">
        <v>1.0319673968278198</v>
      </c>
      <c r="P96" s="304">
        <v>1.0342997961682387</v>
      </c>
      <c r="Q96" s="304">
        <v>1.0364411387892072</v>
      </c>
      <c r="R96" s="304">
        <v>1.038</v>
      </c>
      <c r="S96" s="305">
        <v>1.0402390700156392</v>
      </c>
      <c r="T96" s="304">
        <v>1.0419309486567583</v>
      </c>
      <c r="U96" s="304">
        <v>1.0429999999999999</v>
      </c>
      <c r="V96" s="304">
        <v>1.0449702251928075</v>
      </c>
      <c r="W96" s="304">
        <v>1.0459513228188642</v>
      </c>
      <c r="X96" s="304">
        <v>1.0476221047994836</v>
      </c>
      <c r="Y96" s="304">
        <v>1.0488245766199704</v>
      </c>
      <c r="Z96" s="304">
        <v>1.0499542215337023</v>
      </c>
      <c r="AA96" s="304">
        <v>1.0510174345032373</v>
      </c>
      <c r="AB96" s="305">
        <v>1.0517419398779353</v>
      </c>
      <c r="AC96" s="304">
        <v>1.0529645579977753</v>
      </c>
      <c r="AD96" s="304">
        <v>1.0538578773281291</v>
      </c>
      <c r="AE96" s="304">
        <v>1.054702998319242</v>
      </c>
      <c r="AF96" s="304">
        <v>1.0555037533369152</v>
      </c>
      <c r="AG96" s="304">
        <v>1.0562821351277618</v>
      </c>
      <c r="AH96" s="304">
        <v>1.0569831105696255</v>
      </c>
      <c r="AI96" s="304">
        <v>1.0576673703340984</v>
      </c>
      <c r="AJ96" s="304">
        <v>1.0583182061580516</v>
      </c>
      <c r="AK96" s="304">
        <v>1.058937404261086</v>
      </c>
      <c r="AL96" s="305">
        <v>1.0597874002374355</v>
      </c>
      <c r="AM96" s="305">
        <f t="shared" si="2"/>
        <v>1.0597874002374355</v>
      </c>
      <c r="AN96" s="299"/>
    </row>
    <row r="97" spans="1:40" x14ac:dyDescent="0.2">
      <c r="A97" s="303">
        <v>14</v>
      </c>
      <c r="B97" s="304">
        <v>0.95136788958041485</v>
      </c>
      <c r="C97" s="304">
        <v>0.96673882496842078</v>
      </c>
      <c r="D97" s="304">
        <v>0.97825043925323574</v>
      </c>
      <c r="E97" s="304">
        <v>0.98842634941565999</v>
      </c>
      <c r="F97" s="304">
        <v>0.99628939483928836</v>
      </c>
      <c r="G97" s="304">
        <v>1.0031492551809857</v>
      </c>
      <c r="H97" s="304">
        <v>1.0092191801248163</v>
      </c>
      <c r="I97" s="304">
        <v>1.0139735459310217</v>
      </c>
      <c r="J97" s="305">
        <v>1.0186489069118343</v>
      </c>
      <c r="K97" s="304">
        <v>1.0229999999999999</v>
      </c>
      <c r="L97" s="304">
        <v>1.0258670574059137</v>
      </c>
      <c r="M97" s="304">
        <v>1.0292313026492477</v>
      </c>
      <c r="N97" s="304">
        <v>1.03192252474152</v>
      </c>
      <c r="O97" s="304">
        <v>1.0345461194369721</v>
      </c>
      <c r="P97" s="304">
        <v>1.0369479301355018</v>
      </c>
      <c r="Q97" s="304">
        <v>1.0391550256442172</v>
      </c>
      <c r="R97" s="304">
        <v>1.0412956447034698</v>
      </c>
      <c r="S97" s="305">
        <v>1.0430748215970369</v>
      </c>
      <c r="T97" s="304">
        <v>1.0448233084826575</v>
      </c>
      <c r="U97" s="304">
        <v>1.0464506675944785</v>
      </c>
      <c r="V97" s="304">
        <v>1.0479684875156501</v>
      </c>
      <c r="W97" s="304">
        <v>1.0489959153587263</v>
      </c>
      <c r="X97" s="304">
        <v>1.0507175051872566</v>
      </c>
      <c r="Y97" s="304">
        <v>1.0519656855765018</v>
      </c>
      <c r="Z97" s="304">
        <v>1.0531393152936959</v>
      </c>
      <c r="AA97" s="304">
        <v>1.0542448706286192</v>
      </c>
      <c r="AB97" s="305">
        <v>1.0549942562570815</v>
      </c>
      <c r="AC97" s="304">
        <v>1.0562722158269273</v>
      </c>
      <c r="AD97" s="304">
        <v>1.0572036020184212</v>
      </c>
      <c r="AE97" s="304">
        <v>1.0580854854876125</v>
      </c>
      <c r="AF97" s="304">
        <v>1.0589218329559582</v>
      </c>
      <c r="AG97" s="304">
        <v>1.0597243634041864</v>
      </c>
      <c r="AH97" s="304">
        <v>1.0609999999999999</v>
      </c>
      <c r="AI97" s="304">
        <v>1.0620000000000001</v>
      </c>
      <c r="AJ97" s="304">
        <v>1.0618679656302159</v>
      </c>
      <c r="AK97" s="304">
        <v>1.0625176867153292</v>
      </c>
      <c r="AL97" s="305">
        <v>1.0640000000000001</v>
      </c>
      <c r="AM97" s="305">
        <f t="shared" si="2"/>
        <v>1.0640000000000001</v>
      </c>
      <c r="AN97" s="299"/>
    </row>
    <row r="98" spans="1:40" x14ac:dyDescent="0.2">
      <c r="A98" s="306">
        <v>15</v>
      </c>
      <c r="B98" s="307">
        <v>0.95217123251456515</v>
      </c>
      <c r="C98" s="307">
        <v>0.96800476540640346</v>
      </c>
      <c r="D98" s="307">
        <v>0.97899999999999998</v>
      </c>
      <c r="E98" s="307">
        <v>0.99017676883630767</v>
      </c>
      <c r="F98" s="307">
        <v>0.99817846812148869</v>
      </c>
      <c r="G98" s="307">
        <v>1.0051325363412622</v>
      </c>
      <c r="H98" s="307">
        <v>1.0112752366200839</v>
      </c>
      <c r="I98" s="307">
        <v>1.0160938780465698</v>
      </c>
      <c r="J98" s="308">
        <v>1.0208374480372175</v>
      </c>
      <c r="K98" s="307">
        <v>1.0245615777800734</v>
      </c>
      <c r="L98" s="307">
        <v>1.0281287185482197</v>
      </c>
      <c r="M98" s="307">
        <v>1.0309999999999999</v>
      </c>
      <c r="N98" s="307">
        <v>1.0342652998604378</v>
      </c>
      <c r="O98" s="307">
        <v>1.0369289658678569</v>
      </c>
      <c r="P98" s="307">
        <v>1.0393712641718249</v>
      </c>
      <c r="Q98" s="307">
        <v>1.0416196038784642</v>
      </c>
      <c r="R98" s="307">
        <v>1.0438082041215337</v>
      </c>
      <c r="S98" s="308">
        <v>1.0456250060484082</v>
      </c>
      <c r="T98" s="307">
        <v>1.0474180433893117</v>
      </c>
      <c r="U98" s="307">
        <v>1.0490912499259015</v>
      </c>
      <c r="V98" s="307">
        <v>1.0506562499262826</v>
      </c>
      <c r="W98" s="307">
        <v>1.0517284470304222</v>
      </c>
      <c r="X98" s="307">
        <v>1.053503330299604</v>
      </c>
      <c r="Y98" s="307">
        <v>1.0548024164243799</v>
      </c>
      <c r="Z98" s="307">
        <v>1.0560281549102022</v>
      </c>
      <c r="AA98" s="307">
        <v>1.0571869577955861</v>
      </c>
      <c r="AB98" s="308">
        <v>1.0579765644969648</v>
      </c>
      <c r="AC98" s="307">
        <v>1.0593240716485086</v>
      </c>
      <c r="AD98" s="307">
        <v>1.0603118898937969</v>
      </c>
      <c r="AE98" s="307">
        <v>1.0612511307268409</v>
      </c>
      <c r="AF98" s="307">
        <v>1.0621457682902704</v>
      </c>
      <c r="AG98" s="307">
        <v>1.0629990856790115</v>
      </c>
      <c r="AH98" s="307">
        <v>1.0638121096508848</v>
      </c>
      <c r="AI98" s="307">
        <v>1.0645895465929298</v>
      </c>
      <c r="AJ98" s="307">
        <v>1.0653332935726154</v>
      </c>
      <c r="AK98" s="307">
        <v>1.0660452129347653</v>
      </c>
      <c r="AL98" s="308">
        <v>1.0670201275927811</v>
      </c>
      <c r="AM98" s="308">
        <f t="shared" si="2"/>
        <v>1.0670201275927811</v>
      </c>
      <c r="AN98" s="299"/>
    </row>
    <row r="99" spans="1:40" x14ac:dyDescent="0.2">
      <c r="A99" s="303">
        <v>16</v>
      </c>
      <c r="B99" s="304">
        <v>0.95299130625302753</v>
      </c>
      <c r="C99" s="304">
        <v>0.96870167486565839</v>
      </c>
      <c r="D99" s="304">
        <v>0.98049076838791471</v>
      </c>
      <c r="E99" s="304">
        <v>0.99097468137128009</v>
      </c>
      <c r="F99" s="304">
        <v>0.99909425425155218</v>
      </c>
      <c r="G99" s="304">
        <v>1.0061727875168527</v>
      </c>
      <c r="H99" s="304">
        <v>1.0129999999999999</v>
      </c>
      <c r="I99" s="304">
        <v>1.018</v>
      </c>
      <c r="J99" s="305">
        <v>1.0222800029717871</v>
      </c>
      <c r="K99" s="304">
        <v>1.0261084429345624</v>
      </c>
      <c r="L99" s="304">
        <v>1.0297877166822682</v>
      </c>
      <c r="M99" s="304">
        <v>1.0332961020124012</v>
      </c>
      <c r="N99" s="304">
        <v>1.036126063473422</v>
      </c>
      <c r="O99" s="304">
        <v>1.0388794613286596</v>
      </c>
      <c r="P99" s="304">
        <v>1.0414043147000911</v>
      </c>
      <c r="Q99" s="304">
        <v>1.043728324858205</v>
      </c>
      <c r="R99" s="304">
        <v>1.0459916787373986</v>
      </c>
      <c r="S99" s="305">
        <v>1.0478657013340356</v>
      </c>
      <c r="T99" s="304">
        <v>1.0497156600168152</v>
      </c>
      <c r="U99" s="304">
        <v>1.0514402241451719</v>
      </c>
      <c r="V99" s="304">
        <v>1.0530513482841466</v>
      </c>
      <c r="W99" s="304">
        <v>1.0541604534542222</v>
      </c>
      <c r="X99" s="304">
        <v>1.0559759042644106</v>
      </c>
      <c r="Y99" s="304">
        <v>1.0573069568440281</v>
      </c>
      <c r="Z99" s="304">
        <v>1.0585604804412703</v>
      </c>
      <c r="AA99" s="304">
        <v>1.0597431096552856</v>
      </c>
      <c r="AB99" s="305">
        <v>1.0605406307801595</v>
      </c>
      <c r="AC99" s="304">
        <v>1.0619168883894763</v>
      </c>
      <c r="AD99" s="304">
        <v>1.0629179480702442</v>
      </c>
      <c r="AE99" s="304">
        <v>1.0638672431335601</v>
      </c>
      <c r="AF99" s="304">
        <v>1.0647689635280617</v>
      </c>
      <c r="AG99" s="304">
        <v>1.0656197847440452</v>
      </c>
      <c r="AH99" s="304">
        <v>1.0669999999999999</v>
      </c>
      <c r="AI99" s="304">
        <v>1.0680000000000001</v>
      </c>
      <c r="AJ99" s="304">
        <v>1.0679579527901284</v>
      </c>
      <c r="AK99" s="304">
        <v>1.0686641971765751</v>
      </c>
      <c r="AL99" s="305">
        <v>1.0696440230390103</v>
      </c>
      <c r="AM99" s="305">
        <f t="shared" si="2"/>
        <v>1.0696440230390103</v>
      </c>
      <c r="AN99" s="299"/>
    </row>
    <row r="100" spans="1:40" x14ac:dyDescent="0.2">
      <c r="A100" s="303">
        <v>17</v>
      </c>
      <c r="B100" s="304">
        <v>0.95366521535403959</v>
      </c>
      <c r="C100" s="304">
        <v>0.96951516582556896</v>
      </c>
      <c r="D100" s="304">
        <v>0.98142220538891134</v>
      </c>
      <c r="E100" s="304">
        <v>0.99203442168317912</v>
      </c>
      <c r="F100" s="304">
        <v>1.0002631425348416</v>
      </c>
      <c r="G100" s="304">
        <v>1.007436688359465</v>
      </c>
      <c r="H100" s="304">
        <v>1.0137917408629331</v>
      </c>
      <c r="I100" s="304">
        <v>1.0188335595231504</v>
      </c>
      <c r="J100" s="305">
        <v>1.023809213290827</v>
      </c>
      <c r="K100" s="304">
        <v>1.0276968834812465</v>
      </c>
      <c r="L100" s="304">
        <v>1.032</v>
      </c>
      <c r="M100" s="304">
        <v>1.0350174695730812</v>
      </c>
      <c r="N100" s="304">
        <v>1.0379086126508792</v>
      </c>
      <c r="O100" s="304">
        <v>1.0407198678715628</v>
      </c>
      <c r="P100" s="304">
        <v>1.0432996853796688</v>
      </c>
      <c r="Q100" s="304">
        <v>1.0456760357325749</v>
      </c>
      <c r="R100" s="304">
        <v>1.0479948449142642</v>
      </c>
      <c r="S100" s="305">
        <v>1.049911088134466</v>
      </c>
      <c r="T100" s="304">
        <v>1.0518067191140772</v>
      </c>
      <c r="U100" s="304">
        <v>1.0529999999999999</v>
      </c>
      <c r="V100" s="304">
        <v>1.0552283381672569</v>
      </c>
      <c r="W100" s="304">
        <v>1.0563730718548641</v>
      </c>
      <c r="X100" s="304">
        <v>1.0582322892485649</v>
      </c>
      <c r="Y100" s="304">
        <v>1.0596008949572973</v>
      </c>
      <c r="Z100" s="304">
        <v>1.0608906557303182</v>
      </c>
      <c r="AA100" s="304">
        <v>1.0621082854848325</v>
      </c>
      <c r="AB100" s="305">
        <v>1.062929471692915</v>
      </c>
      <c r="AC100" s="304">
        <v>1.0643486571828369</v>
      </c>
      <c r="AD100" s="304">
        <v>1.0653814442441787</v>
      </c>
      <c r="AE100" s="304">
        <v>1.0663614663662315</v>
      </c>
      <c r="AF100" s="304">
        <v>1.0672930069457318</v>
      </c>
      <c r="AG100" s="304">
        <v>1.0681673907161409</v>
      </c>
      <c r="AH100" s="304">
        <v>1.0690222367553881</v>
      </c>
      <c r="AI100" s="304">
        <v>1.0698260611621162</v>
      </c>
      <c r="AJ100" s="304">
        <v>1.0705929879804403</v>
      </c>
      <c r="AK100" s="304">
        <v>1.0720000000000001</v>
      </c>
      <c r="AL100" s="305">
        <v>1.0723409089272995</v>
      </c>
      <c r="AM100" s="305">
        <f t="shared" si="2"/>
        <v>1.0723409089272995</v>
      </c>
      <c r="AN100" s="299"/>
    </row>
    <row r="101" spans="1:40" x14ac:dyDescent="0.2">
      <c r="A101" s="303">
        <v>18</v>
      </c>
      <c r="B101" s="304">
        <v>0.9542651202911856</v>
      </c>
      <c r="C101" s="304">
        <v>0.97023861615313178</v>
      </c>
      <c r="D101" s="304">
        <v>0.98225272098974925</v>
      </c>
      <c r="E101" s="304">
        <v>0.99297940713475308</v>
      </c>
      <c r="F101" s="304">
        <v>1.0013069470677587</v>
      </c>
      <c r="G101" s="304">
        <v>1.008</v>
      </c>
      <c r="H101" s="304">
        <v>1.015000079572155</v>
      </c>
      <c r="I101" s="304">
        <v>1.0201247326099059</v>
      </c>
      <c r="J101" s="305">
        <v>1.0251848483948496</v>
      </c>
      <c r="K101" s="304">
        <v>1.0291276333339643</v>
      </c>
      <c r="L101" s="304">
        <v>1.0329390100633677</v>
      </c>
      <c r="M101" s="304">
        <v>1.0365720798569678</v>
      </c>
      <c r="N101" s="304">
        <v>1.0395197565788481</v>
      </c>
      <c r="O101" s="304">
        <v>1.0429999999999999</v>
      </c>
      <c r="P101" s="304">
        <v>1.0450160031950388</v>
      </c>
      <c r="Q101" s="304">
        <v>1.048</v>
      </c>
      <c r="R101" s="304">
        <v>1.0498120406965583</v>
      </c>
      <c r="S101" s="305">
        <v>1.0517675501089403</v>
      </c>
      <c r="T101" s="304">
        <v>1.0537059072531982</v>
      </c>
      <c r="U101" s="304">
        <v>1.0549999999999999</v>
      </c>
      <c r="V101" s="304">
        <v>1.0572079668376957</v>
      </c>
      <c r="W101" s="304">
        <v>1.0583850793477332</v>
      </c>
      <c r="X101" s="304">
        <v>1.060286305331263</v>
      </c>
      <c r="Y101" s="304">
        <v>1.0616901138395831</v>
      </c>
      <c r="Z101" s="304">
        <v>1.0630138490399617</v>
      </c>
      <c r="AA101" s="304">
        <v>1.0642643051138072</v>
      </c>
      <c r="AB101" s="305">
        <v>1.0651090579203903</v>
      </c>
      <c r="AC101" s="304">
        <v>1.0660000000000001</v>
      </c>
      <c r="AD101" s="304">
        <v>1.0669999999999999</v>
      </c>
      <c r="AE101" s="304">
        <v>1.0680000000000001</v>
      </c>
      <c r="AF101" s="304">
        <v>1.069</v>
      </c>
      <c r="AG101" s="304">
        <v>1.0704954213596065</v>
      </c>
      <c r="AH101" s="304">
        <v>1.0713808957177839</v>
      </c>
      <c r="AI101" s="304">
        <v>1.0722103919725299</v>
      </c>
      <c r="AJ101" s="304">
        <v>1.0730022681102627</v>
      </c>
      <c r="AK101" s="304">
        <v>1.0737586890429762</v>
      </c>
      <c r="AL101" s="305">
        <v>1.074807114061501</v>
      </c>
      <c r="AM101" s="305">
        <f t="shared" si="2"/>
        <v>1.074807114061501</v>
      </c>
      <c r="AN101" s="299"/>
    </row>
    <row r="102" spans="1:40" x14ac:dyDescent="0.2">
      <c r="A102" s="303">
        <v>19</v>
      </c>
      <c r="B102" s="304">
        <v>0.95480079404464657</v>
      </c>
      <c r="C102" s="304">
        <v>0.97088432256000767</v>
      </c>
      <c r="D102" s="304">
        <v>0.98299640433902435</v>
      </c>
      <c r="E102" s="304">
        <v>0.99382569783497798</v>
      </c>
      <c r="F102" s="304">
        <v>1.0022431671283418</v>
      </c>
      <c r="G102" s="304">
        <v>1.0089999999999999</v>
      </c>
      <c r="H102" s="304">
        <v>1.0160878936703512</v>
      </c>
      <c r="I102" s="304">
        <v>1.021290138323502</v>
      </c>
      <c r="J102" s="305">
        <v>1.0264283705845914</v>
      </c>
      <c r="K102" s="304">
        <v>1.030422869302055</v>
      </c>
      <c r="L102" s="304">
        <v>1.0342935461097753</v>
      </c>
      <c r="M102" s="304">
        <v>1.0379833428368559</v>
      </c>
      <c r="N102" s="304">
        <v>1.0409834307127759</v>
      </c>
      <c r="O102" s="304">
        <v>1.0438990434159945</v>
      </c>
      <c r="P102" s="304">
        <v>1.0465781262977902</v>
      </c>
      <c r="Q102" s="304">
        <v>1.0490491245591427</v>
      </c>
      <c r="R102" s="304">
        <v>1.0514688870558069</v>
      </c>
      <c r="S102" s="305">
        <v>1.0534610650935352</v>
      </c>
      <c r="T102" s="304">
        <v>1.0554395199508304</v>
      </c>
      <c r="U102" s="304">
        <v>1.0572874000334029</v>
      </c>
      <c r="V102" s="304">
        <v>1.0590170980470583</v>
      </c>
      <c r="W102" s="304">
        <v>1.0602235738046883</v>
      </c>
      <c r="X102" s="304">
        <v>1.0621653085403198</v>
      </c>
      <c r="Y102" s="304">
        <v>1.0636021909977333</v>
      </c>
      <c r="Z102" s="304">
        <v>1.0649578454738462</v>
      </c>
      <c r="AA102" s="304">
        <v>1.0662391476206383</v>
      </c>
      <c r="AB102" s="305">
        <v>1.0671075081207182</v>
      </c>
      <c r="AC102" s="304">
        <v>1.0680000000000001</v>
      </c>
      <c r="AD102" s="304">
        <v>1.069</v>
      </c>
      <c r="AE102" s="304">
        <v>1.07</v>
      </c>
      <c r="AF102" s="304">
        <v>1.071</v>
      </c>
      <c r="AG102" s="304">
        <v>1.0720000000000001</v>
      </c>
      <c r="AH102" s="304">
        <v>1.073</v>
      </c>
      <c r="AI102" s="304">
        <v>1.0743997544300394</v>
      </c>
      <c r="AJ102" s="304">
        <v>1.0752150638777476</v>
      </c>
      <c r="AK102" s="304">
        <v>1.0759943037293902</v>
      </c>
      <c r="AL102" s="305">
        <v>1.0770722814890106</v>
      </c>
      <c r="AM102" s="305">
        <f t="shared" si="2"/>
        <v>1.0770722814890106</v>
      </c>
      <c r="AN102" s="299"/>
    </row>
    <row r="103" spans="1:40" x14ac:dyDescent="0.2">
      <c r="A103" s="306">
        <v>20</v>
      </c>
      <c r="B103" s="307">
        <v>0.95532567481465991</v>
      </c>
      <c r="C103" s="307">
        <v>0.97135464333329613</v>
      </c>
      <c r="D103" s="307">
        <v>0.98346644797462157</v>
      </c>
      <c r="E103" s="307">
        <v>0.99433307433975904</v>
      </c>
      <c r="F103" s="307">
        <v>1.002799281108715</v>
      </c>
      <c r="G103" s="307">
        <v>1.0101975439256687</v>
      </c>
      <c r="H103" s="307">
        <v>1.0167536885959891</v>
      </c>
      <c r="I103" s="307">
        <v>1.0220236060866399</v>
      </c>
      <c r="J103" s="308">
        <v>1.0272328903977161</v>
      </c>
      <c r="K103" s="307">
        <v>1.0312773933946677</v>
      </c>
      <c r="L103" s="307">
        <v>1.0352063732337877</v>
      </c>
      <c r="M103" s="307">
        <v>1.0389535854314911</v>
      </c>
      <c r="N103" s="307">
        <v>1.0420067269993978</v>
      </c>
      <c r="O103" s="307">
        <v>1.0449742912630495</v>
      </c>
      <c r="P103" s="307">
        <v>1.0477030757228427</v>
      </c>
      <c r="Q103" s="307">
        <v>1.0502215785172373</v>
      </c>
      <c r="R103" s="307">
        <v>1.0526917053092433</v>
      </c>
      <c r="S103" s="308">
        <v>1.0547221216052158</v>
      </c>
      <c r="T103" s="307">
        <v>1.0567417966832178</v>
      </c>
      <c r="U103" s="307">
        <v>1.0586289644415965</v>
      </c>
      <c r="V103" s="307">
        <v>1.0603961192398099</v>
      </c>
      <c r="W103" s="307">
        <v>1.061631304079043</v>
      </c>
      <c r="X103" s="307">
        <v>1.0636139289911748</v>
      </c>
      <c r="Y103" s="307">
        <v>1.0650831541862766</v>
      </c>
      <c r="Z103" s="307">
        <v>1.0664695936338924</v>
      </c>
      <c r="AA103" s="307">
        <v>1.0677802126601994</v>
      </c>
      <c r="AB103" s="308">
        <v>1.0686721493417288</v>
      </c>
      <c r="AC103" s="307">
        <v>1.0701962315785187</v>
      </c>
      <c r="AD103" s="307">
        <v>1.0713120470038917</v>
      </c>
      <c r="AE103" s="307">
        <v>1.0723720484742318</v>
      </c>
      <c r="AF103" s="307">
        <v>1.073380758239213</v>
      </c>
      <c r="AG103" s="307">
        <v>1.0743197457563478</v>
      </c>
      <c r="AH103" s="307">
        <v>1.075256363294824</v>
      </c>
      <c r="AI103" s="307">
        <v>1.0761296619274445</v>
      </c>
      <c r="AJ103" s="307">
        <v>1.0769636644658573</v>
      </c>
      <c r="AK103" s="307">
        <v>1.0777606788583474</v>
      </c>
      <c r="AL103" s="308">
        <v>1.0788613884187324</v>
      </c>
      <c r="AM103" s="308">
        <f t="shared" si="2"/>
        <v>1.0788613884187324</v>
      </c>
      <c r="AN103" s="299"/>
    </row>
    <row r="104" spans="1:40" x14ac:dyDescent="0.2">
      <c r="A104" s="303">
        <v>21</v>
      </c>
      <c r="B104" s="304">
        <v>0.95571257154392697</v>
      </c>
      <c r="C104" s="304">
        <v>0.97198279357919648</v>
      </c>
      <c r="D104" s="304">
        <v>0.98426885948477971</v>
      </c>
      <c r="E104" s="304">
        <v>0.99527397791229055</v>
      </c>
      <c r="F104" s="304">
        <v>1.003849256138639</v>
      </c>
      <c r="G104" s="304">
        <v>1.0113388138504913</v>
      </c>
      <c r="H104" s="304">
        <v>1.0179661223725063</v>
      </c>
      <c r="I104" s="304">
        <v>1.0233101435224545</v>
      </c>
      <c r="J104" s="305">
        <v>1.028</v>
      </c>
      <c r="K104" s="304">
        <v>1.0326782044495804</v>
      </c>
      <c r="L104" s="304">
        <v>1.0366566696679569</v>
      </c>
      <c r="M104" s="304">
        <v>1.0404510701405356</v>
      </c>
      <c r="N104" s="304">
        <v>1.0435452625263415</v>
      </c>
      <c r="O104" s="304">
        <v>1.0465528253920588</v>
      </c>
      <c r="P104" s="304">
        <v>1.0493194297549171</v>
      </c>
      <c r="Q104" s="304">
        <v>1.0518739374002695</v>
      </c>
      <c r="R104" s="304">
        <v>1.0543833458646681</v>
      </c>
      <c r="S104" s="305">
        <v>1.0564420222768345</v>
      </c>
      <c r="T104" s="304">
        <v>1.0584936157416722</v>
      </c>
      <c r="U104" s="304">
        <v>1.0604116830375374</v>
      </c>
      <c r="V104" s="304">
        <v>1.0622088612947747</v>
      </c>
      <c r="W104" s="304">
        <v>1.0634656067016794</v>
      </c>
      <c r="X104" s="304">
        <v>1.0654843665790563</v>
      </c>
      <c r="Y104" s="304">
        <v>1.0669814615718622</v>
      </c>
      <c r="Z104" s="304">
        <v>1.0683951846452824</v>
      </c>
      <c r="AA104" s="304">
        <v>1.0697325795055828</v>
      </c>
      <c r="AB104" s="305">
        <v>1.0706483020041522</v>
      </c>
      <c r="AC104" s="304">
        <v>1.0722007708585508</v>
      </c>
      <c r="AD104" s="304">
        <v>1.0733420642637328</v>
      </c>
      <c r="AE104" s="304">
        <v>1.0744271662465714</v>
      </c>
      <c r="AF104" s="304">
        <v>1.0754606474022346</v>
      </c>
      <c r="AG104" s="304">
        <v>1.0764224349458691</v>
      </c>
      <c r="AH104" s="304">
        <v>1.0773848882721762</v>
      </c>
      <c r="AI104" s="304">
        <v>1.0782820920478198</v>
      </c>
      <c r="AJ104" s="304">
        <v>1.0791397289298588</v>
      </c>
      <c r="AK104" s="304">
        <v>1.0799601546547664</v>
      </c>
      <c r="AL104" s="305">
        <v>1.0810885525095606</v>
      </c>
      <c r="AM104" s="305">
        <f t="shared" si="2"/>
        <v>1.0810885525095606</v>
      </c>
      <c r="AN104" s="299"/>
    </row>
    <row r="105" spans="1:40" x14ac:dyDescent="0.2">
      <c r="A105" s="303">
        <v>22</v>
      </c>
      <c r="B105" s="304">
        <v>0.95610160332813643</v>
      </c>
      <c r="C105" s="304">
        <v>0.97245137325438846</v>
      </c>
      <c r="D105" s="304">
        <v>0.98481547059128272</v>
      </c>
      <c r="E105" s="304">
        <v>0.99589620021193404</v>
      </c>
      <c r="F105" s="304">
        <v>1.0045411145827909</v>
      </c>
      <c r="G105" s="304">
        <v>1.0120981117088448</v>
      </c>
      <c r="H105" s="304">
        <v>1.0187813922283444</v>
      </c>
      <c r="I105" s="304">
        <v>1.0241904830154711</v>
      </c>
      <c r="J105" s="305">
        <v>1.0289999999999999</v>
      </c>
      <c r="K105" s="304">
        <v>1.033665910670083</v>
      </c>
      <c r="L105" s="304">
        <v>1.0376936576506433</v>
      </c>
      <c r="M105" s="304">
        <v>1.0409999999999999</v>
      </c>
      <c r="N105" s="304">
        <v>1.0446731919904235</v>
      </c>
      <c r="O105" s="304">
        <v>1.047722855081755</v>
      </c>
      <c r="P105" s="304">
        <v>1.0505295255459886</v>
      </c>
      <c r="Q105" s="304">
        <v>1.0531222586120679</v>
      </c>
      <c r="R105" s="304">
        <v>1.0556728364645367</v>
      </c>
      <c r="S105" s="305">
        <v>1.0577617746736281</v>
      </c>
      <c r="T105" s="304">
        <v>1.0598468057312425</v>
      </c>
      <c r="U105" s="304">
        <v>1.0617969349856158</v>
      </c>
      <c r="V105" s="304">
        <v>1.063624911811395</v>
      </c>
      <c r="W105" s="304">
        <v>1.0649029137254438</v>
      </c>
      <c r="X105" s="304">
        <v>1.0669584569824928</v>
      </c>
      <c r="Y105" s="304">
        <v>1.068482968590672</v>
      </c>
      <c r="Z105" s="304">
        <v>1.0699231017434112</v>
      </c>
      <c r="AA105" s="304">
        <v>1.0712859868920341</v>
      </c>
      <c r="AB105" s="305">
        <v>1.0722255318653242</v>
      </c>
      <c r="AC105" s="304">
        <v>1.0738025599871965</v>
      </c>
      <c r="AD105" s="304">
        <v>1.0749668437784885</v>
      </c>
      <c r="AE105" s="304">
        <v>1.0760741807034728</v>
      </c>
      <c r="AF105" s="304">
        <v>1.0771291966988101</v>
      </c>
      <c r="AG105" s="304">
        <v>1.0781108264249433</v>
      </c>
      <c r="AH105" s="304">
        <v>1.079094537354401</v>
      </c>
      <c r="AI105" s="304">
        <v>1.080011367325461</v>
      </c>
      <c r="AJ105" s="304">
        <v>1.0808880376001075</v>
      </c>
      <c r="AK105" s="304">
        <v>1.0817269610590492</v>
      </c>
      <c r="AL105" s="305">
        <v>1.0828766005738579</v>
      </c>
      <c r="AM105" s="305">
        <f t="shared" si="2"/>
        <v>1.0828766005738579</v>
      </c>
      <c r="AN105" s="299"/>
    </row>
    <row r="106" spans="1:40" x14ac:dyDescent="0.2">
      <c r="A106" s="303">
        <v>23</v>
      </c>
      <c r="B106" s="304">
        <v>0.95645295122833751</v>
      </c>
      <c r="C106" s="304">
        <v>0.97287460263281744</v>
      </c>
      <c r="D106" s="304">
        <v>0.98531179834217497</v>
      </c>
      <c r="E106" s="304">
        <v>0.99646119683002454</v>
      </c>
      <c r="F106" s="304">
        <v>1.0051704872186467</v>
      </c>
      <c r="G106" s="304">
        <v>1.0127914924260362</v>
      </c>
      <c r="H106" s="304">
        <v>1.0195271985969869</v>
      </c>
      <c r="I106" s="304">
        <v>1.0249979547768184</v>
      </c>
      <c r="J106" s="305">
        <v>1.0303976902037204</v>
      </c>
      <c r="K106" s="304">
        <v>1.0345748752506922</v>
      </c>
      <c r="L106" s="304">
        <v>1.0386492585406271</v>
      </c>
      <c r="M106" s="304">
        <v>1.042</v>
      </c>
      <c r="N106" s="304">
        <v>1.0457148845955149</v>
      </c>
      <c r="O106" s="304">
        <v>1.0488044029575743</v>
      </c>
      <c r="P106" s="304">
        <v>1.0516489921630412</v>
      </c>
      <c r="Q106" s="304">
        <v>1.0542778932624419</v>
      </c>
      <c r="R106" s="304">
        <v>1.056867484208448</v>
      </c>
      <c r="S106" s="305">
        <v>1.0589849528707052</v>
      </c>
      <c r="T106" s="304">
        <v>1.0611015811630451</v>
      </c>
      <c r="U106" s="304">
        <v>1.0630819861718095</v>
      </c>
      <c r="V106" s="304">
        <v>1.0649390239798644</v>
      </c>
      <c r="W106" s="304">
        <v>1.0662359406576072</v>
      </c>
      <c r="X106" s="304">
        <v>1.0683272863697308</v>
      </c>
      <c r="Y106" s="304">
        <v>1.0698776156137138</v>
      </c>
      <c r="Z106" s="304">
        <v>1.0713425957829967</v>
      </c>
      <c r="AA106" s="304">
        <v>1.0727294458116994</v>
      </c>
      <c r="AB106" s="305">
        <v>1.0736929655219503</v>
      </c>
      <c r="AC106" s="304">
        <v>1.0752914446211923</v>
      </c>
      <c r="AD106" s="304">
        <v>1.0764772844605952</v>
      </c>
      <c r="AE106" s="304">
        <v>1.0776054519434981</v>
      </c>
      <c r="AF106" s="304">
        <v>1.0786806231918753</v>
      </c>
      <c r="AG106" s="304">
        <v>1.0796812959199467</v>
      </c>
      <c r="AH106" s="304">
        <v>1.0806843771564218</v>
      </c>
      <c r="AI106" s="304">
        <v>1.0816195215550453</v>
      </c>
      <c r="AJ106" s="304">
        <v>1.0825139361169582</v>
      </c>
      <c r="AK106" s="304">
        <v>1.0840000000000001</v>
      </c>
      <c r="AL106" s="305">
        <v>1.0845385917498165</v>
      </c>
      <c r="AM106" s="305">
        <f t="shared" si="2"/>
        <v>1.0845385917498165</v>
      </c>
      <c r="AN106" s="299"/>
    </row>
    <row r="107" spans="1:40" x14ac:dyDescent="0.2">
      <c r="A107" s="303">
        <v>24</v>
      </c>
      <c r="B107" s="304">
        <v>0.95677098167921859</v>
      </c>
      <c r="C107" s="304">
        <v>0.97325785267404852</v>
      </c>
      <c r="D107" s="304">
        <v>0.98576390738920538</v>
      </c>
      <c r="E107" s="304">
        <v>0.99697586384318815</v>
      </c>
      <c r="F107" s="304">
        <v>1.0057448849194919</v>
      </c>
      <c r="G107" s="304">
        <v>1.0134269276995633</v>
      </c>
      <c r="H107" s="304">
        <v>1.0202120000670365</v>
      </c>
      <c r="I107" s="304">
        <v>1.0257413417420802</v>
      </c>
      <c r="J107" s="305">
        <v>1.0311960427997926</v>
      </c>
      <c r="K107" s="304">
        <v>1.0354145203589078</v>
      </c>
      <c r="L107" s="304">
        <v>1.0389999999999999</v>
      </c>
      <c r="M107" s="304">
        <v>1.0434671640344566</v>
      </c>
      <c r="N107" s="304">
        <v>1.0466805059115685</v>
      </c>
      <c r="O107" s="304">
        <v>1.0498078402698383</v>
      </c>
      <c r="P107" s="304">
        <v>1.0526883899825312</v>
      </c>
      <c r="Q107" s="304">
        <v>1.0553515759536594</v>
      </c>
      <c r="R107" s="304">
        <v>1.0579781880415542</v>
      </c>
      <c r="S107" s="305">
        <v>1.0601226020989585</v>
      </c>
      <c r="T107" s="304">
        <v>1.0622691260146477</v>
      </c>
      <c r="U107" s="304">
        <v>1.0642781500366278</v>
      </c>
      <c r="V107" s="304">
        <v>1.0661626322659539</v>
      </c>
      <c r="W107" s="304">
        <v>1.0674762626181125</v>
      </c>
      <c r="X107" s="304">
        <v>1.069</v>
      </c>
      <c r="Y107" s="304">
        <v>1.0711771553468559</v>
      </c>
      <c r="Z107" s="304">
        <v>1.0726655130906584</v>
      </c>
      <c r="AA107" s="304">
        <v>1.0740748905126258</v>
      </c>
      <c r="AB107" s="305">
        <v>1.0750625341021975</v>
      </c>
      <c r="AC107" s="304">
        <v>1.0766795201161123</v>
      </c>
      <c r="AD107" s="304">
        <v>1.0778855556036255</v>
      </c>
      <c r="AE107" s="304">
        <v>1.0790332189709222</v>
      </c>
      <c r="AF107" s="304">
        <v>1.0801272319502642</v>
      </c>
      <c r="AG107" s="304">
        <v>1.0811461421547337</v>
      </c>
      <c r="AH107" s="304">
        <v>1.082166834387529</v>
      </c>
      <c r="AI107" s="304">
        <v>1.0831190376465272</v>
      </c>
      <c r="AJ107" s="304">
        <v>1.084029960703909</v>
      </c>
      <c r="AK107" s="304">
        <v>1.0849021212940944</v>
      </c>
      <c r="AL107" s="305">
        <v>1.0860872550792506</v>
      </c>
      <c r="AM107" s="305">
        <f t="shared" si="2"/>
        <v>1.0860872550792506</v>
      </c>
      <c r="AN107" s="299"/>
    </row>
    <row r="108" spans="1:40" x14ac:dyDescent="0.2">
      <c r="A108" s="306">
        <v>25</v>
      </c>
      <c r="B108" s="307">
        <v>0.95699357130106955</v>
      </c>
      <c r="C108" s="307">
        <v>0.9735061756131258</v>
      </c>
      <c r="D108" s="307">
        <v>0.98604273952217047</v>
      </c>
      <c r="E108" s="307">
        <v>0.99727910869321201</v>
      </c>
      <c r="F108" s="307">
        <v>1.0060739208409739</v>
      </c>
      <c r="G108" s="307">
        <v>1.0137877372732</v>
      </c>
      <c r="H108" s="307">
        <v>1.0205958966099202</v>
      </c>
      <c r="I108" s="307">
        <v>1.0269999999999999</v>
      </c>
      <c r="J108" s="308">
        <v>1.0316483253229525</v>
      </c>
      <c r="K108" s="307">
        <v>1.0358910257616187</v>
      </c>
      <c r="L108" s="307">
        <v>1.0400381398254614</v>
      </c>
      <c r="M108" s="307">
        <v>1.0440033011506131</v>
      </c>
      <c r="N108" s="307">
        <v>1.0472415389166823</v>
      </c>
      <c r="O108" s="307">
        <v>1.0509999999999999</v>
      </c>
      <c r="P108" s="307">
        <v>1.054</v>
      </c>
      <c r="Q108" s="307">
        <v>1.0559943380846011</v>
      </c>
      <c r="R108" s="307">
        <v>1.0586516853365029</v>
      </c>
      <c r="S108" s="308">
        <v>1.0608182346187278</v>
      </c>
      <c r="T108" s="307">
        <v>1.0629907165285344</v>
      </c>
      <c r="U108" s="307">
        <v>1.0650253698158696</v>
      </c>
      <c r="V108" s="307">
        <v>1.0669351759929109</v>
      </c>
      <c r="W108" s="307">
        <v>1.069</v>
      </c>
      <c r="X108" s="307">
        <v>1.071</v>
      </c>
      <c r="Y108" s="307">
        <v>1.073</v>
      </c>
      <c r="Z108" s="307">
        <v>1.0735363309055721</v>
      </c>
      <c r="AA108" s="307">
        <v>1.0749695622340116</v>
      </c>
      <c r="AB108" s="308">
        <v>1.0759846731562508</v>
      </c>
      <c r="AC108" s="307">
        <v>1.077621062650951</v>
      </c>
      <c r="AD108" s="307">
        <v>1.0788501337936849</v>
      </c>
      <c r="AE108" s="307">
        <v>1.0800205718074949</v>
      </c>
      <c r="AF108" s="307">
        <v>1.0811371114748658</v>
      </c>
      <c r="AG108" s="307">
        <v>1.082178752273836</v>
      </c>
      <c r="AH108" s="307">
        <v>1.0832210474523689</v>
      </c>
      <c r="AI108" s="307">
        <v>1.0841950597185179</v>
      </c>
      <c r="AJ108" s="307">
        <v>1.0851275539708412</v>
      </c>
      <c r="AK108" s="307">
        <v>1.0860210769565293</v>
      </c>
      <c r="AL108" s="308">
        <v>1.0872275192940952</v>
      </c>
      <c r="AM108" s="308">
        <f t="shared" si="2"/>
        <v>1.0872275192940952</v>
      </c>
      <c r="AN108" s="299"/>
    </row>
    <row r="109" spans="1:40" x14ac:dyDescent="0.2">
      <c r="A109" s="303">
        <v>26</v>
      </c>
      <c r="B109" s="304">
        <v>0.95732058868192349</v>
      </c>
      <c r="C109" s="304">
        <v>0.97392034776003888</v>
      </c>
      <c r="D109" s="304">
        <v>0.98655321047124445</v>
      </c>
      <c r="E109" s="304">
        <v>0.99787448120513222</v>
      </c>
      <c r="F109" s="304">
        <v>1.006750972596187</v>
      </c>
      <c r="G109" s="304">
        <v>1.014547654672814</v>
      </c>
      <c r="H109" s="304">
        <v>1.0214238809880336</v>
      </c>
      <c r="I109" s="304">
        <v>1.0270623000905124</v>
      </c>
      <c r="J109" s="305">
        <v>1.0326170401725445</v>
      </c>
      <c r="K109" s="304">
        <v>1.0369145356364613</v>
      </c>
      <c r="L109" s="304">
        <v>1.0411155594622912</v>
      </c>
      <c r="M109" s="304">
        <v>1.045133861331486</v>
      </c>
      <c r="N109" s="304">
        <v>1.0484148890022098</v>
      </c>
      <c r="O109" s="304">
        <v>1.0516124821543387</v>
      </c>
      <c r="P109" s="304">
        <v>1.0545597629048691</v>
      </c>
      <c r="Q109" s="304">
        <v>1.0572864987561847</v>
      </c>
      <c r="R109" s="304">
        <v>1.0599817747195752</v>
      </c>
      <c r="S109" s="305">
        <v>1.0621758425738297</v>
      </c>
      <c r="T109" s="304">
        <v>1.0643775463321898</v>
      </c>
      <c r="U109" s="304">
        <v>1.0664392947497787</v>
      </c>
      <c r="V109" s="304">
        <v>1.0683742388496174</v>
      </c>
      <c r="W109" s="304">
        <v>1.0697152006536326</v>
      </c>
      <c r="X109" s="304">
        <v>1.0719087809395602</v>
      </c>
      <c r="Y109" s="304">
        <v>1.0735278988378867</v>
      </c>
      <c r="Z109" s="304">
        <v>1.0750589126334509</v>
      </c>
      <c r="AA109" s="304">
        <v>1.0765093175610458</v>
      </c>
      <c r="AB109" s="305">
        <v>1.0775455855207798</v>
      </c>
      <c r="AC109" s="304">
        <v>1.0791913310467778</v>
      </c>
      <c r="AD109" s="304">
        <v>1.0804339013765525</v>
      </c>
      <c r="AE109" s="304">
        <v>1.081616758862181</v>
      </c>
      <c r="AF109" s="304">
        <v>1.0827447049002714</v>
      </c>
      <c r="AG109" s="304">
        <v>1.0837976210779159</v>
      </c>
      <c r="AH109" s="304">
        <v>1.0848486437361711</v>
      </c>
      <c r="AI109" s="304">
        <v>1.0858313442766114</v>
      </c>
      <c r="AJ109" s="304">
        <v>1.0867717101230967</v>
      </c>
      <c r="AK109" s="304">
        <v>1.0876723522144123</v>
      </c>
      <c r="AL109" s="305">
        <v>1.0888844797627475</v>
      </c>
      <c r="AM109" s="305">
        <f t="shared" si="2"/>
        <v>1.0888844797627475</v>
      </c>
      <c r="AN109" s="299"/>
    </row>
    <row r="110" spans="1:40" x14ac:dyDescent="0.2">
      <c r="A110" s="303">
        <v>27</v>
      </c>
      <c r="B110" s="304">
        <v>0.9575579030530299</v>
      </c>
      <c r="C110" s="304">
        <v>0.97420695160771831</v>
      </c>
      <c r="D110" s="304">
        <v>0.98689877979519491</v>
      </c>
      <c r="E110" s="304">
        <v>0.99826796605508172</v>
      </c>
      <c r="F110" s="304">
        <v>1.0071930184744879</v>
      </c>
      <c r="G110" s="304">
        <v>1.0150438628188319</v>
      </c>
      <c r="H110" s="304">
        <v>1.0219624600241888</v>
      </c>
      <c r="I110" s="304">
        <v>1.0276517773762608</v>
      </c>
      <c r="J110" s="305">
        <v>1.0332520938956804</v>
      </c>
      <c r="K110" s="304">
        <v>1.037587580006696</v>
      </c>
      <c r="L110" s="304">
        <v>1.0418270476373768</v>
      </c>
      <c r="M110" s="304">
        <v>1.0458853500722092</v>
      </c>
      <c r="N110" s="304">
        <v>1.0491972353804309</v>
      </c>
      <c r="O110" s="304">
        <v>1.0524275323140055</v>
      </c>
      <c r="P110" s="304">
        <v>1.0554058293150135</v>
      </c>
      <c r="Q110" s="304">
        <v>1.0581620625142723</v>
      </c>
      <c r="R110" s="304">
        <v>1.0608892122633431</v>
      </c>
      <c r="S110" s="305">
        <v>1.0631061901178667</v>
      </c>
      <c r="T110" s="304">
        <v>1.0653333807777825</v>
      </c>
      <c r="U110" s="304">
        <v>1.0674194302829434</v>
      </c>
      <c r="V110" s="304">
        <v>1.0693775814137176</v>
      </c>
      <c r="W110" s="304">
        <v>1.0707294037899167</v>
      </c>
      <c r="X110" s="304">
        <v>1.0729555380738232</v>
      </c>
      <c r="Y110" s="304">
        <v>1.0745949824467513</v>
      </c>
      <c r="Z110" s="304">
        <v>1.0761454448372227</v>
      </c>
      <c r="AA110" s="304">
        <v>1.0776145160268928</v>
      </c>
      <c r="AB110" s="305">
        <v>1.0786752877328065</v>
      </c>
      <c r="AC110" s="304">
        <v>1.080331605456426</v>
      </c>
      <c r="AD110" s="304">
        <v>1.0815906722625321</v>
      </c>
      <c r="AE110" s="304">
        <v>1.0827893824368504</v>
      </c>
      <c r="AF110" s="304">
        <v>1.0839325720926998</v>
      </c>
      <c r="AG110" s="304">
        <v>1.0850013127994056</v>
      </c>
      <c r="AH110" s="304">
        <v>1.0860652969191815</v>
      </c>
      <c r="AI110" s="304">
        <v>1.0870615822481355</v>
      </c>
      <c r="AJ110" s="304">
        <v>1.088015026945842</v>
      </c>
      <c r="AK110" s="304">
        <v>1.0889282843961654</v>
      </c>
      <c r="AL110" s="305">
        <v>1.0901510618437058</v>
      </c>
      <c r="AM110" s="305">
        <f t="shared" si="2"/>
        <v>1.0901510618437058</v>
      </c>
      <c r="AN110" s="299"/>
    </row>
    <row r="111" spans="1:40" x14ac:dyDescent="0.2">
      <c r="A111" s="303">
        <v>28</v>
      </c>
      <c r="B111" s="304">
        <v>0.95777365619023369</v>
      </c>
      <c r="C111" s="304">
        <v>0.97446797903168636</v>
      </c>
      <c r="D111" s="304">
        <v>0.98721640689496626</v>
      </c>
      <c r="E111" s="304">
        <v>0.99862979752540848</v>
      </c>
      <c r="F111" s="304">
        <v>1.0076006161382673</v>
      </c>
      <c r="G111" s="304">
        <v>1.0155040548241334</v>
      </c>
      <c r="H111" s="304">
        <v>1.0224634553714498</v>
      </c>
      <c r="I111" s="304">
        <v>1.0282017411366242</v>
      </c>
      <c r="J111" s="305">
        <v>1.033845232182756</v>
      </c>
      <c r="K111" s="304">
        <v>1.0382181118663594</v>
      </c>
      <c r="L111" s="304">
        <v>1.0424946528549688</v>
      </c>
      <c r="M111" s="304">
        <v>1.046</v>
      </c>
      <c r="N111" s="304">
        <v>1.0499331462410963</v>
      </c>
      <c r="O111" s="304">
        <v>1.0531949452000053</v>
      </c>
      <c r="P111" s="304">
        <v>1.0562030954581378</v>
      </c>
      <c r="Q111" s="304">
        <v>1.0589876993049483</v>
      </c>
      <c r="R111" s="304">
        <v>1.0617454723245232</v>
      </c>
      <c r="S111" s="305">
        <v>1.0639844465716344</v>
      </c>
      <c r="T111" s="304">
        <v>1.0662360840759901</v>
      </c>
      <c r="U111" s="304">
        <v>1.0683454141842814</v>
      </c>
      <c r="V111" s="304">
        <v>1.070325768805017</v>
      </c>
      <c r="W111" s="304">
        <v>1.0716869583828332</v>
      </c>
      <c r="X111" s="304">
        <v>1.0739451960973223</v>
      </c>
      <c r="Y111" s="304">
        <v>1.0756040182198072</v>
      </c>
      <c r="Z111" s="304">
        <v>1.0771729938418009</v>
      </c>
      <c r="AA111" s="304">
        <v>1.0786598109180008</v>
      </c>
      <c r="AB111" s="305">
        <v>1.0797454191580742</v>
      </c>
      <c r="AC111" s="304">
        <v>1.0814101711083441</v>
      </c>
      <c r="AD111" s="304">
        <v>1.0826848484834874</v>
      </c>
      <c r="AE111" s="304">
        <v>1.0838985379006538</v>
      </c>
      <c r="AF111" s="304">
        <v>1.0850561072658125</v>
      </c>
      <c r="AG111" s="304">
        <v>1.0861401145629295</v>
      </c>
      <c r="AH111" s="304">
        <v>1.0872159187723121</v>
      </c>
      <c r="AI111" s="304">
        <v>1.0882249509898867</v>
      </c>
      <c r="AJ111" s="304">
        <v>1.0891906466477734</v>
      </c>
      <c r="AK111" s="304">
        <v>1.0901156989994965</v>
      </c>
      <c r="AL111" s="305">
        <v>1.0913475723813901</v>
      </c>
      <c r="AM111" s="305">
        <f t="shared" si="2"/>
        <v>1.0913475723813901</v>
      </c>
      <c r="AN111" s="299"/>
    </row>
    <row r="112" spans="1:40" x14ac:dyDescent="0.2">
      <c r="A112" s="303">
        <v>29</v>
      </c>
      <c r="B112" s="304">
        <v>0.95796947877858984</v>
      </c>
      <c r="C112" s="304">
        <v>0.97470501017223921</v>
      </c>
      <c r="D112" s="304">
        <v>0.98750734921004679</v>
      </c>
      <c r="E112" s="304">
        <v>0.99896094301906668</v>
      </c>
      <c r="F112" s="304">
        <v>1.0079743095545821</v>
      </c>
      <c r="G112" s="304">
        <v>1.0159282435423949</v>
      </c>
      <c r="H112" s="304">
        <v>1.0229263547232459</v>
      </c>
      <c r="I112" s="304">
        <v>1.028711111745279</v>
      </c>
      <c r="J112" s="305">
        <v>1.0343948506294489</v>
      </c>
      <c r="K112" s="304">
        <v>1.0388039062588503</v>
      </c>
      <c r="L112" s="304">
        <v>1.0431155709003612</v>
      </c>
      <c r="M112" s="304">
        <v>1.0472502387559677</v>
      </c>
      <c r="N112" s="304">
        <v>1.0506186601514327</v>
      </c>
      <c r="O112" s="304">
        <v>1.0539101849594972</v>
      </c>
      <c r="P112" s="304">
        <v>1.0569464555070005</v>
      </c>
      <c r="Q112" s="304">
        <v>1.059757738330833</v>
      </c>
      <c r="R112" s="304">
        <v>1.0625443302224198</v>
      </c>
      <c r="S112" s="305">
        <v>1.0648038285097554</v>
      </c>
      <c r="T112" s="304">
        <v>1.0670783255626379</v>
      </c>
      <c r="U112" s="304">
        <v>1.0692093751248477</v>
      </c>
      <c r="V112" s="304">
        <v>1.0712103956913404</v>
      </c>
      <c r="W112" s="304">
        <v>1.0725789595744801</v>
      </c>
      <c r="X112" s="304">
        <v>1.0748683008322188</v>
      </c>
      <c r="Y112" s="304">
        <v>1.076545037336774</v>
      </c>
      <c r="Z112" s="304">
        <v>1.0781310827433692</v>
      </c>
      <c r="AA112" s="304">
        <v>1.079634223482119</v>
      </c>
      <c r="AB112" s="305">
        <v>1.0807444350037057</v>
      </c>
      <c r="AC112" s="304">
        <v>1.0824150643244137</v>
      </c>
      <c r="AD112" s="304">
        <v>1.0837039830675104</v>
      </c>
      <c r="AE112" s="304">
        <v>1.0849313007975909</v>
      </c>
      <c r="AF112" s="304">
        <v>1.0861019143496402</v>
      </c>
      <c r="AG112" s="304">
        <v>1.0872001314430328</v>
      </c>
      <c r="AH112" s="304">
        <v>1.0882861868885705</v>
      </c>
      <c r="AI112" s="304">
        <v>1.0893066732498764</v>
      </c>
      <c r="AJ112" s="304">
        <v>1.0902833424117904</v>
      </c>
      <c r="AK112" s="304">
        <v>1.0912189248508879</v>
      </c>
      <c r="AL112" s="305">
        <v>1.0924579569979969</v>
      </c>
      <c r="AM112" s="305">
        <f t="shared" si="2"/>
        <v>1.0924579569979969</v>
      </c>
      <c r="AN112" s="299"/>
    </row>
    <row r="113" spans="1:40" x14ac:dyDescent="0.2">
      <c r="A113" s="306">
        <v>30</v>
      </c>
      <c r="B113" s="307">
        <v>0.95810109664468701</v>
      </c>
      <c r="C113" s="307">
        <v>0.9748154599435308</v>
      </c>
      <c r="D113" s="307">
        <v>0.98768158891960411</v>
      </c>
      <c r="E113" s="307">
        <v>0.99921572221972332</v>
      </c>
      <c r="F113" s="307">
        <v>1.0083258561231572</v>
      </c>
      <c r="G113" s="307">
        <v>1.0163894292364108</v>
      </c>
      <c r="H113" s="307">
        <v>1.0234844559344212</v>
      </c>
      <c r="I113" s="307">
        <v>1.029369959522622</v>
      </c>
      <c r="J113" s="308">
        <v>1.0351430440313143</v>
      </c>
      <c r="K113" s="307">
        <v>1.0396336133100517</v>
      </c>
      <c r="L113" s="307">
        <v>1.0440194743585667</v>
      </c>
      <c r="M113" s="307">
        <v>1.0482253800576071</v>
      </c>
      <c r="N113" s="307">
        <v>1.0516490426356624</v>
      </c>
      <c r="O113" s="307">
        <v>1.054993485220689</v>
      </c>
      <c r="P113" s="307">
        <v>1.0580762373857582</v>
      </c>
      <c r="Q113" s="307">
        <v>1.0609280076540379</v>
      </c>
      <c r="R113" s="307">
        <v>1.0637528052415304</v>
      </c>
      <c r="S113" s="308">
        <v>1.0660384933109472</v>
      </c>
      <c r="T113" s="307">
        <v>1.0683376239542004</v>
      </c>
      <c r="U113" s="307">
        <v>1.0704886575229786</v>
      </c>
      <c r="V113" s="307">
        <v>1.0720000000000001</v>
      </c>
      <c r="W113" s="307">
        <v>1.0738727330574926</v>
      </c>
      <c r="X113" s="307">
        <v>1.076182696890817</v>
      </c>
      <c r="Y113" s="307">
        <v>1.0778637310070884</v>
      </c>
      <c r="Z113" s="307">
        <v>1.07945072408245</v>
      </c>
      <c r="AA113" s="307">
        <v>1.0809517236931425</v>
      </c>
      <c r="AB113" s="308">
        <v>1.0820669823188935</v>
      </c>
      <c r="AC113" s="307">
        <v>1.083</v>
      </c>
      <c r="AD113" s="307">
        <v>1.0849981824870312</v>
      </c>
      <c r="AE113" s="307">
        <v>1.0862126760194666</v>
      </c>
      <c r="AF113" s="307">
        <v>1.0873681831017756</v>
      </c>
      <c r="AG113" s="307">
        <v>1.0884510995027488</v>
      </c>
      <c r="AH113" s="307">
        <v>1.089</v>
      </c>
      <c r="AI113" s="307">
        <v>1.0900000000000001</v>
      </c>
      <c r="AJ113" s="307">
        <v>1.0914688802152557</v>
      </c>
      <c r="AK113" s="307">
        <v>1.0923797673568614</v>
      </c>
      <c r="AL113" s="308">
        <v>1.093</v>
      </c>
      <c r="AM113" s="308">
        <f t="shared" si="2"/>
        <v>1.093</v>
      </c>
      <c r="AN113" s="299"/>
    </row>
    <row r="114" spans="1:40" x14ac:dyDescent="0.2">
      <c r="A114" s="303">
        <v>31</v>
      </c>
      <c r="B114" s="304">
        <v>0.95831049759185682</v>
      </c>
      <c r="C114" s="304">
        <v>0.9751187922958271</v>
      </c>
      <c r="D114" s="304">
        <v>0.98802335895675142</v>
      </c>
      <c r="E114" s="304">
        <v>0.99954841454963372</v>
      </c>
      <c r="F114" s="304">
        <v>1.0086400721700404</v>
      </c>
      <c r="G114" s="304">
        <v>1.0166912897605935</v>
      </c>
      <c r="H114" s="304">
        <v>1.0237632003840789</v>
      </c>
      <c r="I114" s="304">
        <v>1.0296359516458529</v>
      </c>
      <c r="J114" s="305">
        <v>1.0353940734320934</v>
      </c>
      <c r="K114" s="304">
        <v>1.0398740955990737</v>
      </c>
      <c r="L114" s="304">
        <v>1.0442525286255162</v>
      </c>
      <c r="M114" s="304">
        <v>1.0484593744698012</v>
      </c>
      <c r="N114" s="304">
        <v>1.0518782378814651</v>
      </c>
      <c r="O114" s="304">
        <v>1.0552260787129284</v>
      </c>
      <c r="P114" s="304">
        <v>1.0583155304134597</v>
      </c>
      <c r="Q114" s="304">
        <v>1.0611771841122535</v>
      </c>
      <c r="R114" s="304">
        <v>1.064018061424959</v>
      </c>
      <c r="S114" s="305">
        <v>1.0663161618246804</v>
      </c>
      <c r="T114" s="304">
        <v>1.0686335638531248</v>
      </c>
      <c r="U114" s="304">
        <v>1.0708052750113266</v>
      </c>
      <c r="V114" s="304">
        <v>1.0728448812985825</v>
      </c>
      <c r="W114" s="304">
        <v>1.075</v>
      </c>
      <c r="X114" s="304">
        <v>1.076574381336973</v>
      </c>
      <c r="Y114" s="304">
        <v>1.0782843118554699</v>
      </c>
      <c r="Z114" s="304">
        <v>1.0799018886349478</v>
      </c>
      <c r="AA114" s="304">
        <v>1.0814350995226252</v>
      </c>
      <c r="AB114" s="305">
        <v>1.0825952141029709</v>
      </c>
      <c r="AC114" s="304">
        <v>1.0842718192076366</v>
      </c>
      <c r="AD114" s="304">
        <v>1.085586713840208</v>
      </c>
      <c r="AE114" s="304">
        <v>1.0868388083248859</v>
      </c>
      <c r="AF114" s="304">
        <v>1.0880330504320459</v>
      </c>
      <c r="AG114" s="304">
        <v>1.0891579263877085</v>
      </c>
      <c r="AH114" s="304">
        <v>1.0902613861309933</v>
      </c>
      <c r="AI114" s="304">
        <v>1.0913023760521401</v>
      </c>
      <c r="AJ114" s="304">
        <v>1.0922986103648622</v>
      </c>
      <c r="AK114" s="304">
        <v>1.0932528870536105</v>
      </c>
      <c r="AL114" s="305">
        <v>1.0940000000000001</v>
      </c>
      <c r="AM114" s="305">
        <f t="shared" si="2"/>
        <v>1.0940000000000001</v>
      </c>
      <c r="AN114" s="299"/>
    </row>
    <row r="115" spans="1:40" x14ac:dyDescent="0.2">
      <c r="A115" s="303">
        <v>32</v>
      </c>
      <c r="B115" s="304">
        <v>0.95845784142898016</v>
      </c>
      <c r="C115" s="304">
        <v>0.97529834723538644</v>
      </c>
      <c r="D115" s="304">
        <v>0.98825154138005245</v>
      </c>
      <c r="E115" s="304">
        <v>0.99980825997401146</v>
      </c>
      <c r="F115" s="304">
        <v>1.0089358861762912</v>
      </c>
      <c r="G115" s="304">
        <v>1.0170339525272774</v>
      </c>
      <c r="H115" s="304">
        <v>1.0241410173960186</v>
      </c>
      <c r="I115" s="304">
        <v>1.030055313656423</v>
      </c>
      <c r="J115" s="305">
        <v>1.0358476505849983</v>
      </c>
      <c r="K115" s="304">
        <v>1.0409999999999999</v>
      </c>
      <c r="L115" s="304">
        <v>1.0447724165379331</v>
      </c>
      <c r="M115" s="304">
        <v>1.0490139934035987</v>
      </c>
      <c r="N115" s="304">
        <v>1.0524560612742793</v>
      </c>
      <c r="O115" s="304">
        <v>1.0558304382891766</v>
      </c>
      <c r="P115" s="304">
        <v>1.058944892716001</v>
      </c>
      <c r="Q115" s="304">
        <v>1.0618301768374712</v>
      </c>
      <c r="R115" s="304">
        <v>1.0646964675564297</v>
      </c>
      <c r="S115" s="305">
        <v>1.0670125700312334</v>
      </c>
      <c r="T115" s="304">
        <v>1.069349950706735</v>
      </c>
      <c r="U115" s="304">
        <v>1.0715405368632558</v>
      </c>
      <c r="V115" s="304">
        <v>1.0735979957821806</v>
      </c>
      <c r="W115" s="304">
        <v>1.0760000000000001</v>
      </c>
      <c r="X115" s="304">
        <v>1.0773604779755472</v>
      </c>
      <c r="Y115" s="304">
        <v>1.0790856212371462</v>
      </c>
      <c r="Z115" s="304">
        <v>1.0807175934445334</v>
      </c>
      <c r="AA115" s="304">
        <v>1.0822644851293117</v>
      </c>
      <c r="AB115" s="305">
        <v>1.0834497128512872</v>
      </c>
      <c r="AC115" s="304">
        <v>1.0851264741041879</v>
      </c>
      <c r="AD115" s="304">
        <v>1.0864530401569497</v>
      </c>
      <c r="AE115" s="304">
        <v>1.0877162206976874</v>
      </c>
      <c r="AF115" s="304">
        <v>1.0889209858155326</v>
      </c>
      <c r="AG115" s="304">
        <v>1.0900582028745371</v>
      </c>
      <c r="AH115" s="304">
        <v>1.0911688037584897</v>
      </c>
      <c r="AI115" s="304">
        <v>1.0922187847850275</v>
      </c>
      <c r="AJ115" s="304">
        <v>1.0932235533164989</v>
      </c>
      <c r="AK115" s="304">
        <v>1.0941859377442666</v>
      </c>
      <c r="AL115" s="305">
        <v>1.095438068666948</v>
      </c>
      <c r="AM115" s="305">
        <f t="shared" si="2"/>
        <v>1.095438068666948</v>
      </c>
      <c r="AN115" s="299"/>
    </row>
    <row r="116" spans="1:40" x14ac:dyDescent="0.2">
      <c r="A116" s="303">
        <v>33</v>
      </c>
      <c r="B116" s="304">
        <v>0.95859180253983278</v>
      </c>
      <c r="C116" s="304">
        <v>0.97546201665701893</v>
      </c>
      <c r="D116" s="304">
        <v>0.98846235947213112</v>
      </c>
      <c r="E116" s="304">
        <v>1.0000483207426243</v>
      </c>
      <c r="F116" s="304">
        <v>1.0092100183832529</v>
      </c>
      <c r="G116" s="304">
        <v>1.017353879132219</v>
      </c>
      <c r="H116" s="304">
        <v>1.024495088179378</v>
      </c>
      <c r="I116" s="304">
        <v>1.0304494356580904</v>
      </c>
      <c r="J116" s="305">
        <v>1.0362741813789524</v>
      </c>
      <c r="K116" s="304">
        <v>1.0408231422899044</v>
      </c>
      <c r="L116" s="304">
        <v>1.0452637362421786</v>
      </c>
      <c r="M116" s="304">
        <v>1.0489999999999999</v>
      </c>
      <c r="N116" s="304">
        <v>1.0530032689235926</v>
      </c>
      <c r="O116" s="304">
        <v>1.0564031932652558</v>
      </c>
      <c r="P116" s="304">
        <v>1.0589999999999999</v>
      </c>
      <c r="Q116" s="304">
        <v>1.0624496402061914</v>
      </c>
      <c r="R116" s="304">
        <v>1.0653402772932767</v>
      </c>
      <c r="S116" s="305">
        <v>1.067673584314536</v>
      </c>
      <c r="T116" s="304">
        <v>1.070030032865475</v>
      </c>
      <c r="U116" s="304">
        <v>1.0722385923978375</v>
      </c>
      <c r="V116" s="304">
        <v>1.0743130100896923</v>
      </c>
      <c r="W116" s="304">
        <v>1.07569763990863</v>
      </c>
      <c r="X116" s="304">
        <v>1.0781067221134957</v>
      </c>
      <c r="Y116" s="304">
        <v>1.0798462141794771</v>
      </c>
      <c r="Z116" s="304">
        <v>1.0814917252667948</v>
      </c>
      <c r="AA116" s="304">
        <v>1.0830514498309745</v>
      </c>
      <c r="AB116" s="305">
        <v>1.0842618764858154</v>
      </c>
      <c r="AC116" s="304">
        <v>1.0859370327281299</v>
      </c>
      <c r="AD116" s="304">
        <v>1.0872744425090421</v>
      </c>
      <c r="AE116" s="304">
        <v>1.0885478892852267</v>
      </c>
      <c r="AF116" s="304">
        <v>1.0897623636180831</v>
      </c>
      <c r="AG116" s="304">
        <v>1.0909112815070379</v>
      </c>
      <c r="AH116" s="304">
        <v>1.0920280544314644</v>
      </c>
      <c r="AI116" s="304">
        <v>1.0930862295015713</v>
      </c>
      <c r="AJ116" s="304">
        <v>1.0940987422129897</v>
      </c>
      <c r="AK116" s="304">
        <v>1.095068449274512</v>
      </c>
      <c r="AL116" s="305">
        <v>1.0963222798031986</v>
      </c>
      <c r="AM116" s="305">
        <f t="shared" si="2"/>
        <v>1.0963222798031986</v>
      </c>
      <c r="AN116" s="299"/>
    </row>
    <row r="117" spans="1:40" x14ac:dyDescent="0.2">
      <c r="A117" s="303">
        <v>34</v>
      </c>
      <c r="B117" s="304">
        <v>0.95871364086363964</v>
      </c>
      <c r="C117" s="304">
        <v>0.97561117208193937</v>
      </c>
      <c r="D117" s="304">
        <v>0.98865728077946435</v>
      </c>
      <c r="E117" s="304">
        <v>1.0002702600703861</v>
      </c>
      <c r="F117" s="304">
        <v>1.0094642935484115</v>
      </c>
      <c r="G117" s="304">
        <v>1.0176530069675109</v>
      </c>
      <c r="H117" s="304">
        <v>1.0248274719851487</v>
      </c>
      <c r="I117" s="304">
        <v>1.0308204944949395</v>
      </c>
      <c r="J117" s="305">
        <v>1.0366759833144328</v>
      </c>
      <c r="K117" s="304">
        <v>1.042</v>
      </c>
      <c r="L117" s="304">
        <v>1.0457289612710574</v>
      </c>
      <c r="M117" s="304">
        <v>1.0500376160848381</v>
      </c>
      <c r="N117" s="304">
        <v>1.0535224962709329</v>
      </c>
      <c r="O117" s="304">
        <v>1.0569470508780463</v>
      </c>
      <c r="P117" s="304">
        <v>1.0601086639835731</v>
      </c>
      <c r="Q117" s="304">
        <v>1.0630384091149492</v>
      </c>
      <c r="R117" s="304">
        <v>1.0659523870775369</v>
      </c>
      <c r="S117" s="305">
        <v>1.0683021484295194</v>
      </c>
      <c r="T117" s="304">
        <v>1.0706768021824995</v>
      </c>
      <c r="U117" s="304">
        <v>1.0729024779496577</v>
      </c>
      <c r="V117" s="304">
        <v>1.0749930016944989</v>
      </c>
      <c r="W117" s="304">
        <v>1.077</v>
      </c>
      <c r="X117" s="304">
        <v>1.0788162636704897</v>
      </c>
      <c r="Y117" s="304">
        <v>1.0805692725353526</v>
      </c>
      <c r="Z117" s="304">
        <v>1.0822274953295314</v>
      </c>
      <c r="AA117" s="304">
        <v>1.0837992316963994</v>
      </c>
      <c r="AB117" s="305">
        <v>1.0850349155557357</v>
      </c>
      <c r="AC117" s="304">
        <v>1.0867067801238797</v>
      </c>
      <c r="AD117" s="304">
        <v>1.0880542263374751</v>
      </c>
      <c r="AE117" s="304">
        <v>1.089337137928885</v>
      </c>
      <c r="AF117" s="304">
        <v>1.0905605243083358</v>
      </c>
      <c r="AG117" s="304">
        <v>1.0917205002166415</v>
      </c>
      <c r="AH117" s="304">
        <v>1.0928425068387584</v>
      </c>
      <c r="AI117" s="304">
        <v>1.0939080907448957</v>
      </c>
      <c r="AJ117" s="304">
        <v>1.0949275679620274</v>
      </c>
      <c r="AK117" s="304">
        <v>1.0959038215687462</v>
      </c>
      <c r="AL117" s="305">
        <v>1.097158107797902</v>
      </c>
      <c r="AM117" s="305">
        <f t="shared" si="2"/>
        <v>1.097158107797902</v>
      </c>
      <c r="AN117" s="299"/>
    </row>
    <row r="118" spans="1:40" x14ac:dyDescent="0.2">
      <c r="A118" s="306">
        <v>35</v>
      </c>
      <c r="B118" s="307">
        <v>0.95889557410010673</v>
      </c>
      <c r="C118" s="307">
        <v>0.97581461000422953</v>
      </c>
      <c r="D118" s="307">
        <v>0.9888995529055753</v>
      </c>
      <c r="E118" s="307">
        <v>1.0005320532706894</v>
      </c>
      <c r="F118" s="307">
        <v>1.0097524267504925</v>
      </c>
      <c r="G118" s="307">
        <v>1.0179820753174034</v>
      </c>
      <c r="H118" s="307">
        <v>1.0251873180030926</v>
      </c>
      <c r="I118" s="307">
        <v>1.0312173727263079</v>
      </c>
      <c r="J118" s="308">
        <v>1.037102923519404</v>
      </c>
      <c r="K118" s="307">
        <v>1.0417212405142129</v>
      </c>
      <c r="L118" s="307">
        <v>1.0462230748749493</v>
      </c>
      <c r="M118" s="307">
        <v>1.05</v>
      </c>
      <c r="N118" s="307">
        <v>1.0540775235279223</v>
      </c>
      <c r="O118" s="307">
        <v>1.0575313344221331</v>
      </c>
      <c r="P118" s="307">
        <v>1.060721373989066</v>
      </c>
      <c r="Q118" s="307">
        <v>1.0636788094995855</v>
      </c>
      <c r="R118" s="307">
        <v>1.0666224612776012</v>
      </c>
      <c r="S118" s="308">
        <v>1.0689957378537671</v>
      </c>
      <c r="T118" s="307">
        <v>1.0713959848982106</v>
      </c>
      <c r="U118" s="307">
        <v>1.073646563468984</v>
      </c>
      <c r="V118" s="307">
        <v>1.0757613394777248</v>
      </c>
      <c r="W118" s="307">
        <v>1.0780000000000001</v>
      </c>
      <c r="X118" s="307">
        <v>1.0796314024906777</v>
      </c>
      <c r="Y118" s="307">
        <v>1.0814069706694487</v>
      </c>
      <c r="Z118" s="307">
        <v>1.0830871915058671</v>
      </c>
      <c r="AA118" s="307">
        <v>1.0846804487118025</v>
      </c>
      <c r="AB118" s="308">
        <v>1.0859519258342543</v>
      </c>
      <c r="AC118" s="307">
        <v>1.0876295659239228</v>
      </c>
      <c r="AD118" s="307">
        <v>1.0889971079679033</v>
      </c>
      <c r="AE118" s="307">
        <v>1.0902996961995801</v>
      </c>
      <c r="AF118" s="307">
        <v>1.0915423436198006</v>
      </c>
      <c r="AG118" s="307">
        <v>1.0927239857257547</v>
      </c>
      <c r="AH118" s="307">
        <v>1.0938616786248692</v>
      </c>
      <c r="AI118" s="307">
        <v>1.0949453600398926</v>
      </c>
      <c r="AJ118" s="307">
        <v>1.0959825847231612</v>
      </c>
      <c r="AK118" s="307">
        <v>1.0969762514251906</v>
      </c>
      <c r="AL118" s="308">
        <v>1.0982414963560634</v>
      </c>
      <c r="AM118" s="308">
        <f t="shared" si="2"/>
        <v>1.0982414963560634</v>
      </c>
      <c r="AN118" s="299"/>
    </row>
    <row r="119" spans="1:40" x14ac:dyDescent="0.2">
      <c r="A119" s="303">
        <v>36</v>
      </c>
      <c r="B119" s="304">
        <v>0.9589236950209028</v>
      </c>
      <c r="C119" s="304">
        <v>0.97587052085368842</v>
      </c>
      <c r="D119" s="304">
        <v>0.98900492254383354</v>
      </c>
      <c r="E119" s="304">
        <v>1.0006660964199954</v>
      </c>
      <c r="F119" s="304">
        <v>1.009920088520615</v>
      </c>
      <c r="G119" s="304">
        <v>1.0181958891727518</v>
      </c>
      <c r="H119" s="304">
        <v>1.0254343919168794</v>
      </c>
      <c r="I119" s="304">
        <v>1.0315008140547026</v>
      </c>
      <c r="J119" s="305">
        <v>1.0374130613920571</v>
      </c>
      <c r="K119" s="304">
        <v>1.0420624288914127</v>
      </c>
      <c r="L119" s="304">
        <v>1.0465889377785405</v>
      </c>
      <c r="M119" s="304">
        <v>1.0509617837575882</v>
      </c>
      <c r="N119" s="304">
        <v>1.0549999999999999</v>
      </c>
      <c r="O119" s="304">
        <v>1.0579563556205536</v>
      </c>
      <c r="P119" s="304">
        <v>1.0611616915072457</v>
      </c>
      <c r="Q119" s="304">
        <v>1.064132524518568</v>
      </c>
      <c r="R119" s="304">
        <v>1.0670903973991348</v>
      </c>
      <c r="S119" s="305">
        <v>1.0694710224879529</v>
      </c>
      <c r="T119" s="304">
        <v>1.0718797362616141</v>
      </c>
      <c r="U119" s="304">
        <v>1.0741373241976468</v>
      </c>
      <c r="V119" s="304">
        <v>1.0762577660097885</v>
      </c>
      <c r="W119" s="304">
        <v>1.0776416736495342</v>
      </c>
      <c r="X119" s="304">
        <v>1.0801356504176673</v>
      </c>
      <c r="Y119" s="304">
        <v>1.0819134945147928</v>
      </c>
      <c r="Z119" s="304">
        <v>1.0835949673017895</v>
      </c>
      <c r="AA119" s="304">
        <v>1.0851885815208353</v>
      </c>
      <c r="AB119" s="305">
        <v>1.087</v>
      </c>
      <c r="AC119" s="304">
        <v>1.0881358378325554</v>
      </c>
      <c r="AD119" s="304">
        <v>1.0895012784899989</v>
      </c>
      <c r="AE119" s="304">
        <v>1.0908010662298118</v>
      </c>
      <c r="AF119" s="304">
        <v>1.0920402432433645</v>
      </c>
      <c r="AG119" s="304">
        <v>1.0932207111123493</v>
      </c>
      <c r="AH119" s="304">
        <v>1.0943508015640693</v>
      </c>
      <c r="AI119" s="304">
        <v>1.095429224789759</v>
      </c>
      <c r="AJ119" s="304">
        <v>1.0964606746516785</v>
      </c>
      <c r="AK119" s="304">
        <v>1.0974480810477705</v>
      </c>
      <c r="AL119" s="305">
        <v>1.0980000000000001</v>
      </c>
      <c r="AM119" s="305">
        <f t="shared" si="2"/>
        <v>1.0980000000000001</v>
      </c>
      <c r="AN119" s="299"/>
    </row>
    <row r="120" spans="1:40" x14ac:dyDescent="0.2">
      <c r="A120" s="303">
        <v>37</v>
      </c>
      <c r="B120" s="304">
        <v>0.95901423857125856</v>
      </c>
      <c r="C120" s="304">
        <v>0.97598276086685387</v>
      </c>
      <c r="D120" s="304">
        <v>0.98915960637578404</v>
      </c>
      <c r="E120" s="304">
        <v>1.0008421534037857</v>
      </c>
      <c r="F120" s="304">
        <v>1.0101239821612134</v>
      </c>
      <c r="G120" s="304">
        <v>1.0184421901864029</v>
      </c>
      <c r="H120" s="304">
        <v>1.0257116829780573</v>
      </c>
      <c r="I120" s="304">
        <v>1.0318130567658823</v>
      </c>
      <c r="J120" s="305">
        <v>1.0377515899238614</v>
      </c>
      <c r="K120" s="304">
        <v>1.0429999999999999</v>
      </c>
      <c r="L120" s="304">
        <v>1.0469872776019915</v>
      </c>
      <c r="M120" s="304">
        <v>1.051391307696516</v>
      </c>
      <c r="N120" s="304">
        <v>1.054932457406343</v>
      </c>
      <c r="O120" s="304">
        <v>1.0584258935259245</v>
      </c>
      <c r="P120" s="304">
        <v>1.0616519686596173</v>
      </c>
      <c r="Q120" s="304">
        <v>1.0646422371024329</v>
      </c>
      <c r="R120" s="304">
        <v>1.0676207937974169</v>
      </c>
      <c r="S120" s="305">
        <v>1.0700159294806451</v>
      </c>
      <c r="T120" s="304">
        <v>1.0724405979392695</v>
      </c>
      <c r="U120" s="304">
        <v>1.0747130723085292</v>
      </c>
      <c r="V120" s="304">
        <v>1.0768474077932939</v>
      </c>
      <c r="W120" s="304">
        <v>1.079</v>
      </c>
      <c r="X120" s="304">
        <v>1.0807505020879389</v>
      </c>
      <c r="Y120" s="304">
        <v>1.0825397216364134</v>
      </c>
      <c r="Z120" s="304">
        <v>1.084231782571238</v>
      </c>
      <c r="AA120" s="304">
        <v>1.0858353057131107</v>
      </c>
      <c r="AB120" s="305">
        <v>1.0871473265622837</v>
      </c>
      <c r="AC120" s="304">
        <v>1.0888003710933352</v>
      </c>
      <c r="AD120" s="304">
        <v>1.0901737942562244</v>
      </c>
      <c r="AE120" s="304">
        <v>1.091481012167713</v>
      </c>
      <c r="AF120" s="304">
        <v>1.0927270814202992</v>
      </c>
      <c r="AG120" s="304">
        <v>1.0939169657009371</v>
      </c>
      <c r="AH120" s="304">
        <v>1.0950499364494208</v>
      </c>
      <c r="AI120" s="304">
        <v>1.0961337897619567</v>
      </c>
      <c r="AJ120" s="304">
        <v>1.0971702430183505</v>
      </c>
      <c r="AK120" s="304">
        <v>1.0981622469051842</v>
      </c>
      <c r="AL120" s="305">
        <v>1.0994115208801827</v>
      </c>
      <c r="AM120" s="305">
        <f t="shared" si="2"/>
        <v>1.0994115208801827</v>
      </c>
      <c r="AN120" s="299"/>
    </row>
    <row r="121" spans="1:40" x14ac:dyDescent="0.2">
      <c r="A121" s="303">
        <v>38</v>
      </c>
      <c r="B121" s="304">
        <v>0.95909566793467682</v>
      </c>
      <c r="C121" s="304">
        <v>0.97608445033825264</v>
      </c>
      <c r="D121" s="304">
        <v>0.98930291152938088</v>
      </c>
      <c r="E121" s="304">
        <v>1.0010053038828088</v>
      </c>
      <c r="F121" s="304">
        <v>1.0103137335547676</v>
      </c>
      <c r="G121" s="304">
        <v>1.0186736957798783</v>
      </c>
      <c r="H121" s="304">
        <v>1.0259735801511582</v>
      </c>
      <c r="I121" s="304">
        <v>1.0321088204736972</v>
      </c>
      <c r="J121" s="305">
        <v>1.0380723380756147</v>
      </c>
      <c r="K121" s="304">
        <v>1.0427871140094367</v>
      </c>
      <c r="L121" s="304">
        <v>1.0473667956307493</v>
      </c>
      <c r="M121" s="304">
        <v>1.0509999999999999</v>
      </c>
      <c r="N121" s="304">
        <v>1.0553594803200668</v>
      </c>
      <c r="O121" s="304">
        <v>1.058874389293349</v>
      </c>
      <c r="P121" s="304">
        <v>1.0621204804667039</v>
      </c>
      <c r="Q121" s="304">
        <v>1.06512946879013</v>
      </c>
      <c r="R121" s="304">
        <v>1.0681278951347353</v>
      </c>
      <c r="S121" s="305">
        <v>1.0705369435898153</v>
      </c>
      <c r="T121" s="304">
        <v>1.0729768715130938</v>
      </c>
      <c r="U121" s="304">
        <v>1.0752635409786309</v>
      </c>
      <c r="V121" s="304">
        <v>1.0774110819431271</v>
      </c>
      <c r="W121" s="304">
        <v>1.0787894257096697</v>
      </c>
      <c r="X121" s="304">
        <v>1.0813380298501749</v>
      </c>
      <c r="Y121" s="304">
        <v>1.083137953033299</v>
      </c>
      <c r="Z121" s="304">
        <v>1.0848399343945934</v>
      </c>
      <c r="AA121" s="304">
        <v>1.0864527037562774</v>
      </c>
      <c r="AB121" s="305">
        <v>1.0877902759751796</v>
      </c>
      <c r="AC121" s="304">
        <v>1.0894342646313504</v>
      </c>
      <c r="AD121" s="304">
        <v>1.0908150195419795</v>
      </c>
      <c r="AE121" s="304">
        <v>1.0921290219053685</v>
      </c>
      <c r="AF121" s="304">
        <v>1.0933813414958373</v>
      </c>
      <c r="AG121" s="304">
        <v>1.0945801013195866</v>
      </c>
      <c r="AH121" s="304">
        <v>1.0957152210956658</v>
      </c>
      <c r="AI121" s="304">
        <v>1.0968038733411678</v>
      </c>
      <c r="AJ121" s="304">
        <v>1.0978447037435828</v>
      </c>
      <c r="AK121" s="304">
        <v>1.0988406821012864</v>
      </c>
      <c r="AL121" s="305">
        <v>1.1000862678560033</v>
      </c>
      <c r="AM121" s="305">
        <f t="shared" si="2"/>
        <v>1.1000862678560033</v>
      </c>
      <c r="AN121" s="299"/>
    </row>
    <row r="122" spans="1:40" x14ac:dyDescent="0.2">
      <c r="A122" s="303">
        <v>39</v>
      </c>
      <c r="B122" s="304">
        <v>0.95916917067968999</v>
      </c>
      <c r="C122" s="304">
        <v>0.97617677704748185</v>
      </c>
      <c r="D122" s="304">
        <v>0.98943601979285567</v>
      </c>
      <c r="E122" s="304">
        <v>1.0011567962601311</v>
      </c>
      <c r="F122" s="304">
        <v>1.0104906473064243</v>
      </c>
      <c r="G122" s="304">
        <v>1.0188917417156542</v>
      </c>
      <c r="H122" s="304">
        <v>1.0262214621815966</v>
      </c>
      <c r="I122" s="304">
        <v>1.0323895407556298</v>
      </c>
      <c r="J122" s="305">
        <v>1.0383768190748972</v>
      </c>
      <c r="K122" s="304">
        <v>1.0431239109056243</v>
      </c>
      <c r="L122" s="304">
        <v>1.0477290874754281</v>
      </c>
      <c r="M122" s="304">
        <v>1.0521937703467752</v>
      </c>
      <c r="N122" s="304">
        <v>1.0557678961752712</v>
      </c>
      <c r="O122" s="304">
        <v>1.0593036022474209</v>
      </c>
      <c r="P122" s="304">
        <v>1.0625690408746951</v>
      </c>
      <c r="Q122" s="304">
        <v>1.06559608793934</v>
      </c>
      <c r="R122" s="304">
        <v>1.0686136279842537</v>
      </c>
      <c r="S122" s="305">
        <v>1.0710360412222151</v>
      </c>
      <c r="T122" s="304">
        <v>1.0734905868201161</v>
      </c>
      <c r="U122" s="304">
        <v>1.0757908131884153</v>
      </c>
      <c r="V122" s="304">
        <v>1.0779509242866427</v>
      </c>
      <c r="W122" s="304">
        <v>1.08</v>
      </c>
      <c r="X122" s="304">
        <v>1.0819004737073008</v>
      </c>
      <c r="Y122" s="304">
        <v>1.0837104801783575</v>
      </c>
      <c r="Z122" s="304">
        <v>1.0854217653196321</v>
      </c>
      <c r="AA122" s="304">
        <v>1.0870431687859734</v>
      </c>
      <c r="AB122" s="305">
        <v>1.0884063423286472</v>
      </c>
      <c r="AC122" s="304">
        <v>1.0900400114911277</v>
      </c>
      <c r="AD122" s="304">
        <v>1.0914274967051552</v>
      </c>
      <c r="AE122" s="304">
        <v>1.0927476866231243</v>
      </c>
      <c r="AF122" s="304">
        <v>1.0940056630593817</v>
      </c>
      <c r="AG122" s="304">
        <v>1.0952127955867341</v>
      </c>
      <c r="AH122" s="304">
        <v>1.0963493906256185</v>
      </c>
      <c r="AI122" s="304">
        <v>1.0974422578373808</v>
      </c>
      <c r="AJ122" s="304">
        <v>1.0984868858676911</v>
      </c>
      <c r="AK122" s="304">
        <v>1.0994862620163772</v>
      </c>
      <c r="AL122" s="305">
        <v>1.1000000000000001</v>
      </c>
      <c r="AM122" s="305">
        <f t="shared" si="2"/>
        <v>1.1000000000000001</v>
      </c>
      <c r="AN122" s="299"/>
    </row>
    <row r="123" spans="1:40" ht="13.5" thickBot="1" x14ac:dyDescent="0.25">
      <c r="A123" s="309">
        <v>40</v>
      </c>
      <c r="B123" s="310">
        <v>0.95922447304269376</v>
      </c>
      <c r="C123" s="310">
        <v>0.97630845555724477</v>
      </c>
      <c r="D123" s="310">
        <v>0.9896272738879206</v>
      </c>
      <c r="E123" s="310">
        <v>1.0013646547652009</v>
      </c>
      <c r="F123" s="310">
        <v>1.0107119502982838</v>
      </c>
      <c r="G123" s="310">
        <v>1.0191373562876758</v>
      </c>
      <c r="H123" s="310">
        <v>1.0264776542816301</v>
      </c>
      <c r="I123" s="310">
        <v>1.0326580043622871</v>
      </c>
      <c r="J123" s="311">
        <v>1.0386484379504481</v>
      </c>
      <c r="K123" s="310">
        <v>1.044</v>
      </c>
      <c r="L123" s="310">
        <v>1.0480212467298875</v>
      </c>
      <c r="M123" s="310">
        <v>1.0524990907724501</v>
      </c>
      <c r="N123" s="310">
        <v>1.0560734726057901</v>
      </c>
      <c r="O123" s="310">
        <v>1.0596157187550124</v>
      </c>
      <c r="P123" s="310">
        <v>1.0628876545712818</v>
      </c>
      <c r="Q123" s="310">
        <v>1.0659212917690324</v>
      </c>
      <c r="R123" s="310">
        <v>1.0689477197816353</v>
      </c>
      <c r="S123" s="311">
        <v>1.0713747566973364</v>
      </c>
      <c r="T123" s="310">
        <v>1.0738363189002949</v>
      </c>
      <c r="U123" s="310">
        <v>1.076143678333308</v>
      </c>
      <c r="V123" s="310">
        <v>1.0783110553182262</v>
      </c>
      <c r="W123" s="310">
        <v>1.079676589554603</v>
      </c>
      <c r="X123" s="310">
        <v>1.082275743136083</v>
      </c>
      <c r="Y123" s="310">
        <v>1.0840935634679743</v>
      </c>
      <c r="Z123" s="310">
        <v>1.0858127898560772</v>
      </c>
      <c r="AA123" s="310">
        <v>1.0874423246969562</v>
      </c>
      <c r="AB123" s="311">
        <v>1.0888320332146302</v>
      </c>
      <c r="AC123" s="310">
        <v>1.0904558412821665</v>
      </c>
      <c r="AD123" s="310">
        <v>1.091851868207063</v>
      </c>
      <c r="AE123" s="310">
        <v>1.0931807498166868</v>
      </c>
      <c r="AF123" s="310">
        <v>1.0944475428546139</v>
      </c>
      <c r="AG123" s="310">
        <v>1.0956669077903116</v>
      </c>
      <c r="AH123" s="310">
        <v>1.0968092710571249</v>
      </c>
      <c r="AI123" s="310">
        <v>1.0979112832705886</v>
      </c>
      <c r="AJ123" s="310">
        <v>1.0989651711957791</v>
      </c>
      <c r="AK123" s="310">
        <v>1.099973911376273</v>
      </c>
      <c r="AL123" s="311">
        <v>1.1012164393059751</v>
      </c>
      <c r="AM123" s="311">
        <f t="shared" si="2"/>
        <v>1.1012164393059751</v>
      </c>
      <c r="AN123" s="299"/>
    </row>
    <row r="124" spans="1:40" ht="14.25" thickTop="1" thickBot="1" x14ac:dyDescent="0.25">
      <c r="A124" s="309">
        <f>A123+0.001</f>
        <v>40.000999999999998</v>
      </c>
      <c r="B124" s="310">
        <f>B123</f>
        <v>0.95922447304269376</v>
      </c>
      <c r="C124" s="310">
        <f t="shared" ref="C124:AL124" si="3">C123</f>
        <v>0.97630845555724477</v>
      </c>
      <c r="D124" s="310">
        <f t="shared" si="3"/>
        <v>0.9896272738879206</v>
      </c>
      <c r="E124" s="310">
        <f t="shared" si="3"/>
        <v>1.0013646547652009</v>
      </c>
      <c r="F124" s="310">
        <f t="shared" si="3"/>
        <v>1.0107119502982838</v>
      </c>
      <c r="G124" s="310">
        <f t="shared" si="3"/>
        <v>1.0191373562876758</v>
      </c>
      <c r="H124" s="310">
        <f t="shared" si="3"/>
        <v>1.0264776542816301</v>
      </c>
      <c r="I124" s="310">
        <f t="shared" si="3"/>
        <v>1.0326580043622871</v>
      </c>
      <c r="J124" s="311">
        <f t="shared" si="3"/>
        <v>1.0386484379504481</v>
      </c>
      <c r="K124" s="310">
        <f t="shared" si="3"/>
        <v>1.044</v>
      </c>
      <c r="L124" s="310">
        <f t="shared" si="3"/>
        <v>1.0480212467298875</v>
      </c>
      <c r="M124" s="310">
        <f t="shared" si="3"/>
        <v>1.0524990907724501</v>
      </c>
      <c r="N124" s="310">
        <f t="shared" si="3"/>
        <v>1.0560734726057901</v>
      </c>
      <c r="O124" s="310">
        <f t="shared" si="3"/>
        <v>1.0596157187550124</v>
      </c>
      <c r="P124" s="310">
        <f t="shared" si="3"/>
        <v>1.0628876545712818</v>
      </c>
      <c r="Q124" s="310">
        <f t="shared" si="3"/>
        <v>1.0659212917690324</v>
      </c>
      <c r="R124" s="310">
        <f t="shared" si="3"/>
        <v>1.0689477197816353</v>
      </c>
      <c r="S124" s="311">
        <f t="shared" si="3"/>
        <v>1.0713747566973364</v>
      </c>
      <c r="T124" s="310">
        <f t="shared" si="3"/>
        <v>1.0738363189002949</v>
      </c>
      <c r="U124" s="310">
        <f t="shared" si="3"/>
        <v>1.076143678333308</v>
      </c>
      <c r="V124" s="310">
        <f t="shared" si="3"/>
        <v>1.0783110553182262</v>
      </c>
      <c r="W124" s="310">
        <f t="shared" si="3"/>
        <v>1.079676589554603</v>
      </c>
      <c r="X124" s="310">
        <f t="shared" si="3"/>
        <v>1.082275743136083</v>
      </c>
      <c r="Y124" s="310">
        <f t="shared" si="3"/>
        <v>1.0840935634679743</v>
      </c>
      <c r="Z124" s="310">
        <f t="shared" si="3"/>
        <v>1.0858127898560772</v>
      </c>
      <c r="AA124" s="310">
        <f t="shared" si="3"/>
        <v>1.0874423246969562</v>
      </c>
      <c r="AB124" s="311">
        <f t="shared" si="3"/>
        <v>1.0888320332146302</v>
      </c>
      <c r="AC124" s="310">
        <f t="shared" si="3"/>
        <v>1.0904558412821665</v>
      </c>
      <c r="AD124" s="310">
        <f t="shared" si="3"/>
        <v>1.091851868207063</v>
      </c>
      <c r="AE124" s="310">
        <f t="shared" si="3"/>
        <v>1.0931807498166868</v>
      </c>
      <c r="AF124" s="310">
        <f t="shared" si="3"/>
        <v>1.0944475428546139</v>
      </c>
      <c r="AG124" s="310">
        <f t="shared" si="3"/>
        <v>1.0956669077903116</v>
      </c>
      <c r="AH124" s="310">
        <f t="shared" si="3"/>
        <v>1.0968092710571249</v>
      </c>
      <c r="AI124" s="310">
        <f t="shared" si="3"/>
        <v>1.0979112832705886</v>
      </c>
      <c r="AJ124" s="310">
        <f t="shared" si="3"/>
        <v>1.0989651711957791</v>
      </c>
      <c r="AK124" s="310">
        <f t="shared" si="3"/>
        <v>1.099973911376273</v>
      </c>
      <c r="AL124" s="311">
        <f t="shared" si="3"/>
        <v>1.1012164393059751</v>
      </c>
      <c r="AM124" s="311">
        <f>AL123</f>
        <v>1.1012164393059751</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93" t="s">
        <v>57</v>
      </c>
      <c r="B128" s="700"/>
      <c r="C128" s="700"/>
      <c r="D128" s="700"/>
      <c r="E128" s="700"/>
      <c r="F128" s="700"/>
      <c r="G128" s="315"/>
      <c r="H128" s="315"/>
      <c r="I128" s="316"/>
    </row>
    <row r="129" spans="1:9" ht="14.25" thickTop="1" thickBot="1" x14ac:dyDescent="0.25">
      <c r="A129" s="263" t="s">
        <v>49</v>
      </c>
      <c r="B129" s="264" t="s">
        <v>50</v>
      </c>
      <c r="C129" s="264" t="s">
        <v>51</v>
      </c>
      <c r="D129" s="264" t="s">
        <v>52</v>
      </c>
      <c r="E129" s="264" t="s">
        <v>53</v>
      </c>
      <c r="F129" s="264" t="s">
        <v>54</v>
      </c>
      <c r="G129" s="264" t="s">
        <v>55</v>
      </c>
      <c r="H129" s="267" t="s">
        <v>56</v>
      </c>
      <c r="I129" s="271"/>
    </row>
    <row r="130" spans="1:9" ht="13.5" thickTop="1" x14ac:dyDescent="0.2">
      <c r="A130" s="273">
        <v>0</v>
      </c>
      <c r="B130" s="274">
        <v>1.0541001173467281</v>
      </c>
      <c r="C130" s="275">
        <v>1.03048654602404</v>
      </c>
      <c r="D130" s="275">
        <v>1.017489551745117</v>
      </c>
      <c r="E130" s="275">
        <v>1.0141851511409581</v>
      </c>
      <c r="F130" s="275">
        <v>1.0111615089994748</v>
      </c>
      <c r="G130" s="275">
        <v>1.0082372173124214</v>
      </c>
      <c r="H130" s="276">
        <v>1.0054735849039305</v>
      </c>
      <c r="I130" s="237"/>
    </row>
    <row r="131" spans="1:9" x14ac:dyDescent="0.2">
      <c r="A131" s="273">
        <v>0.1</v>
      </c>
      <c r="B131" s="277">
        <v>1.0443424298307842</v>
      </c>
      <c r="C131" s="278">
        <v>1.0250659747292408</v>
      </c>
      <c r="D131" s="278">
        <v>1.014427329160281</v>
      </c>
      <c r="E131" s="278">
        <v>1.0117257510489752</v>
      </c>
      <c r="F131" s="278">
        <v>1.0092517415155664</v>
      </c>
      <c r="G131" s="278">
        <v>1.0068381964413196</v>
      </c>
      <c r="H131" s="279">
        <v>1.0045572471142545</v>
      </c>
      <c r="I131" s="237"/>
    </row>
    <row r="132" spans="1:9" x14ac:dyDescent="0.2">
      <c r="A132" s="273">
        <v>0.2</v>
      </c>
      <c r="B132" s="277">
        <v>1.0346750681426169</v>
      </c>
      <c r="C132" s="278">
        <v>1.0196522799332064</v>
      </c>
      <c r="D132" s="278">
        <v>1.0113551296388075</v>
      </c>
      <c r="E132" s="278">
        <v>1.0092554381043533</v>
      </c>
      <c r="F132" s="278">
        <v>1.0073314317545112</v>
      </c>
      <c r="G132" s="278">
        <v>1.0054300356020165</v>
      </c>
      <c r="H132" s="279">
        <v>1.0036340397652921</v>
      </c>
      <c r="I132" s="237"/>
    </row>
    <row r="133" spans="1:9" x14ac:dyDescent="0.2">
      <c r="A133" s="273">
        <v>0.3</v>
      </c>
      <c r="B133" s="277">
        <v>1.0250971961460875</v>
      </c>
      <c r="C133" s="278">
        <v>1.0142456822208072</v>
      </c>
      <c r="D133" s="278">
        <v>1.0082730378462978</v>
      </c>
      <c r="E133" s="278">
        <v>1.0067742470502721</v>
      </c>
      <c r="F133" s="278">
        <v>1.0054005759132336</v>
      </c>
      <c r="G133" s="278">
        <v>1.0040127064259525</v>
      </c>
      <c r="H133" s="279">
        <v>1.0027039256917083</v>
      </c>
      <c r="I133" s="237"/>
    </row>
    <row r="134" spans="1:9" x14ac:dyDescent="0.2">
      <c r="A134" s="273">
        <v>0.4</v>
      </c>
      <c r="B134" s="277">
        <v>1.0156079854450759</v>
      </c>
      <c r="C134" s="278">
        <v>1.0088464009859521</v>
      </c>
      <c r="D134" s="278">
        <v>1.0051811398527664</v>
      </c>
      <c r="E134" s="278">
        <v>1.0042822138815319</v>
      </c>
      <c r="F134" s="278">
        <v>1.0034591710638927</v>
      </c>
      <c r="G134" s="278">
        <v>1.0025861809720831</v>
      </c>
      <c r="H134" s="279">
        <v>1.0017668677718352</v>
      </c>
      <c r="I134" s="237"/>
    </row>
    <row r="135" spans="1:9" x14ac:dyDescent="0.2">
      <c r="A135" s="273">
        <v>0.5</v>
      </c>
      <c r="B135" s="277">
        <v>1.0062066153118339</v>
      </c>
      <c r="C135" s="278">
        <v>1.0034546543972511</v>
      </c>
      <c r="D135" s="278">
        <v>1.002079523127591</v>
      </c>
      <c r="E135" s="278">
        <v>1.0017793758499964</v>
      </c>
      <c r="F135" s="278">
        <v>1.0015072151639186</v>
      </c>
      <c r="G135" s="278">
        <v>1.0011504317361368</v>
      </c>
      <c r="H135" s="279">
        <v>1.0008228289327228</v>
      </c>
      <c r="I135" s="237"/>
    </row>
    <row r="136" spans="1:9" x14ac:dyDescent="0.2">
      <c r="A136" s="273">
        <v>0.6</v>
      </c>
      <c r="B136" s="277">
        <v>0.99689227261599767</v>
      </c>
      <c r="C136" s="278">
        <v>0.99807065936410833</v>
      </c>
      <c r="D136" s="278">
        <v>0.99896827653407616</v>
      </c>
      <c r="E136" s="278">
        <v>0.99926577146979378</v>
      </c>
      <c r="F136" s="278">
        <v>0.99954470706597853</v>
      </c>
      <c r="G136" s="278">
        <v>0.99970543165992798</v>
      </c>
      <c r="H136" s="279">
        <v>0.99987177215526524</v>
      </c>
      <c r="I136" s="237"/>
    </row>
    <row r="137" spans="1:9" x14ac:dyDescent="0.2">
      <c r="A137" s="273">
        <v>0.7</v>
      </c>
      <c r="B137" s="277">
        <v>0.98766415175426114</v>
      </c>
      <c r="C137" s="278">
        <v>0.99269463150325665</v>
      </c>
      <c r="D137" s="278">
        <v>0.99584749032362274</v>
      </c>
      <c r="E137" s="278">
        <v>0.99674144052226987</v>
      </c>
      <c r="F137" s="278">
        <v>0.997571646527876</v>
      </c>
      <c r="G137" s="278">
        <v>0.99825115414071564</v>
      </c>
      <c r="H137" s="279">
        <v>0.99891366047940744</v>
      </c>
      <c r="I137" s="237"/>
    </row>
    <row r="138" spans="1:9" x14ac:dyDescent="0.2">
      <c r="A138" s="273">
        <v>0.8</v>
      </c>
      <c r="B138" s="277">
        <v>0.9785214545806985</v>
      </c>
      <c r="C138" s="278">
        <v>0.98732678510574168</v>
      </c>
      <c r="D138" s="278">
        <v>0.99271725612950756</v>
      </c>
      <c r="E138" s="278">
        <v>0.99420642406069071</v>
      </c>
      <c r="F138" s="278">
        <v>0.99558803422237097</v>
      </c>
      <c r="G138" s="278">
        <v>0.99678757304061238</v>
      </c>
      <c r="H138" s="279">
        <v>0.99794845700942825</v>
      </c>
      <c r="I138" s="237"/>
    </row>
    <row r="139" spans="1:9" x14ac:dyDescent="0.2">
      <c r="A139" s="273">
        <v>0.9</v>
      </c>
      <c r="B139" s="277">
        <v>0.96946339033773177</v>
      </c>
      <c r="C139" s="278">
        <v>0.98196733310437356</v>
      </c>
      <c r="D139" s="278">
        <v>0.98957766696026828</v>
      </c>
      <c r="E139" s="278">
        <v>0.99166076441468587</v>
      </c>
      <c r="F139" s="278">
        <v>0.99359387174692049</v>
      </c>
      <c r="G139" s="278">
        <v>0.99531466269603774</v>
      </c>
      <c r="H139" s="279">
        <v>0.99697612491930077</v>
      </c>
      <c r="I139" s="237"/>
    </row>
    <row r="140" spans="1:9" x14ac:dyDescent="0.2">
      <c r="A140" s="273">
        <v>1</v>
      </c>
      <c r="B140" s="277">
        <v>0.96048917558773783</v>
      </c>
      <c r="C140" s="278">
        <v>0.97661648704164361</v>
      </c>
      <c r="D140" s="278">
        <v>0.98642881719269548</v>
      </c>
      <c r="E140" s="278">
        <v>0.98910450519443316</v>
      </c>
      <c r="F140" s="278">
        <v>0.99158916163333766</v>
      </c>
      <c r="G140" s="278">
        <v>0.993832397927217</v>
      </c>
      <c r="H140" s="279">
        <v>0.99599662745812956</v>
      </c>
      <c r="I140" s="237"/>
    </row>
    <row r="141" spans="1:9" x14ac:dyDescent="0.2">
      <c r="A141" s="273">
        <v>1.1000000000000001</v>
      </c>
      <c r="B141" s="277">
        <v>0.95159803414528887</v>
      </c>
      <c r="C141" s="278">
        <v>0.97127445703812898</v>
      </c>
      <c r="D141" s="278">
        <v>0.98327080256442667</v>
      </c>
      <c r="E141" s="278">
        <v>0.98653769129457525</v>
      </c>
      <c r="F141" s="278">
        <v>0.98957390735735773</v>
      </c>
      <c r="G141" s="278">
        <v>0.99234075404772015</v>
      </c>
      <c r="H141" s="279">
        <v>0.995009927955669</v>
      </c>
      <c r="I141" s="237"/>
    </row>
    <row r="142" spans="1:9" x14ac:dyDescent="0.2">
      <c r="A142" s="273">
        <v>1.2</v>
      </c>
      <c r="B142" s="277">
        <v>0.94278919701001884</v>
      </c>
      <c r="C142" s="278">
        <v>0.96594145176138269</v>
      </c>
      <c r="D142" s="278">
        <v>0.98010372016614744</v>
      </c>
      <c r="E142" s="278">
        <v>0.98396036889786853</v>
      </c>
      <c r="F142" s="278">
        <v>0.98754811334811521</v>
      </c>
      <c r="G142" s="278">
        <v>0.99083970687404166</v>
      </c>
      <c r="H142" s="279">
        <v>0.99401598982791617</v>
      </c>
      <c r="I142" s="237"/>
    </row>
    <row r="143" spans="1:9" x14ac:dyDescent="0.2">
      <c r="A143" s="273">
        <v>1.3</v>
      </c>
      <c r="B143" s="277">
        <v>0.93406190230011266</v>
      </c>
      <c r="C143" s="278">
        <v>0.96061767839532686</v>
      </c>
      <c r="D143" s="278">
        <v>0.97692766843339429</v>
      </c>
      <c r="E143" s="278">
        <v>0.98137258547855455</v>
      </c>
      <c r="F143" s="278">
        <v>0.98551178499752312</v>
      </c>
      <c r="G143" s="278">
        <v>0.989329232735219</v>
      </c>
      <c r="H143" s="279">
        <v>0.9930147765827847</v>
      </c>
      <c r="I143" s="237"/>
    </row>
    <row r="144" spans="1:9" x14ac:dyDescent="0.2">
      <c r="A144" s="273">
        <v>1.4</v>
      </c>
      <c r="B144" s="277">
        <v>0.92541539518641047</v>
      </c>
      <c r="C144" s="278">
        <v>0.95530334261015404</v>
      </c>
      <c r="D144" s="278">
        <v>0.97374274713796005</v>
      </c>
      <c r="E144" s="278">
        <v>0.9787743898054555</v>
      </c>
      <c r="F144" s="278">
        <v>0.98346492866954704</v>
      </c>
      <c r="G144" s="278">
        <v>0.98780930848248505</v>
      </c>
      <c r="H144" s="279">
        <v>0.99200625182585511</v>
      </c>
      <c r="I144" s="237"/>
    </row>
    <row r="145" spans="1:9" x14ac:dyDescent="0.2">
      <c r="A145" s="273">
        <v>1.5</v>
      </c>
      <c r="B145" s="277">
        <v>0.91684892782712202</v>
      </c>
      <c r="C145" s="278">
        <v>0.94999864853274252</v>
      </c>
      <c r="D145" s="278">
        <v>0.97054905737890429</v>
      </c>
      <c r="E145" s="278">
        <v>0.97616583194478379</v>
      </c>
      <c r="F145" s="278">
        <v>0.98140755170937877</v>
      </c>
      <c r="G145" s="278">
        <v>0.98627991149895444</v>
      </c>
      <c r="H145" s="279">
        <v>0.99099037926620492</v>
      </c>
      <c r="I145" s="237"/>
    </row>
    <row r="146" spans="1:9" x14ac:dyDescent="0.2">
      <c r="A146" s="273">
        <v>1.6</v>
      </c>
      <c r="B146" s="277">
        <v>0.90836175930314533</v>
      </c>
      <c r="C146" s="278">
        <v>0.94470379871760124</v>
      </c>
      <c r="D146" s="278">
        <v>0.96734670157316427</v>
      </c>
      <c r="E146" s="278">
        <v>0.97354696326266676</v>
      </c>
      <c r="F146" s="278">
        <v>0.97933966245249526</v>
      </c>
      <c r="G146" s="278">
        <v>0.98474101970934258</v>
      </c>
      <c r="H146" s="279">
        <v>0.98996712272231591</v>
      </c>
      <c r="I146" s="237"/>
    </row>
    <row r="147" spans="1:9" x14ac:dyDescent="0.2">
      <c r="A147" s="273">
        <v>1.7</v>
      </c>
      <c r="B147" s="277">
        <v>0.89995315555398381</v>
      </c>
      <c r="C147" s="278">
        <v>0.93941899411834484</v>
      </c>
      <c r="D147" s="278">
        <v>0.96413578344577144</v>
      </c>
      <c r="E147" s="278">
        <v>0.97091783642737772</v>
      </c>
      <c r="F147" s="278">
        <v>0.97726127023360432</v>
      </c>
      <c r="G147" s="278">
        <v>0.98319261158971094</v>
      </c>
      <c r="H147" s="279">
        <v>0.9889364461280602</v>
      </c>
      <c r="I147" s="237"/>
    </row>
    <row r="148" spans="1:9" x14ac:dyDescent="0.2">
      <c r="A148" s="273">
        <v>1.8</v>
      </c>
      <c r="B148" s="277">
        <v>0.89162238931425752</v>
      </c>
      <c r="C148" s="278">
        <v>0.93414443405970793</v>
      </c>
      <c r="D148" s="278">
        <v>0.96091640801966949</v>
      </c>
      <c r="E148" s="278">
        <v>0.96827850541127447</v>
      </c>
      <c r="F148" s="278">
        <v>0.9751723853954698</v>
      </c>
      <c r="G148" s="278">
        <v>0.98163466617724182</v>
      </c>
      <c r="H148" s="279">
        <v>0.98789831353876489</v>
      </c>
      <c r="I148" s="237"/>
    </row>
    <row r="149" spans="1:9" x14ac:dyDescent="0.2">
      <c r="A149" s="273">
        <v>1.9</v>
      </c>
      <c r="B149" s="277">
        <v>0.88336874005080146</v>
      </c>
      <c r="C149" s="278">
        <v>0.92888031621011036</v>
      </c>
      <c r="D149" s="278">
        <v>0.95768868160513831</v>
      </c>
      <c r="E149" s="278">
        <v>0.96562902549243412</v>
      </c>
      <c r="F149" s="278">
        <v>0.97307301929761392</v>
      </c>
      <c r="G149" s="278">
        <v>0.98006716308003428</v>
      </c>
      <c r="H149" s="279">
        <v>0.98685268913735524</v>
      </c>
      <c r="I149" s="237"/>
    </row>
    <row r="150" spans="1:9" x14ac:dyDescent="0.2">
      <c r="A150" s="273">
        <v>2</v>
      </c>
      <c r="B150" s="277">
        <v>0.87519149390034523</v>
      </c>
      <c r="C150" s="278">
        <v>0.92362683655477362</v>
      </c>
      <c r="D150" s="278">
        <v>0.95445271178882174</v>
      </c>
      <c r="E150" s="278">
        <v>0.96296945325598982</v>
      </c>
      <c r="F150" s="278">
        <v>0.97096318432489037</v>
      </c>
      <c r="G150" s="278">
        <v>0.97849008248692348</v>
      </c>
      <c r="H150" s="279">
        <v>0.98579953724057523</v>
      </c>
      <c r="I150" s="237"/>
    </row>
    <row r="151" spans="1:9" x14ac:dyDescent="0.2">
      <c r="A151" s="273">
        <v>2.1</v>
      </c>
      <c r="B151" s="277">
        <v>0.86708994360777203</v>
      </c>
      <c r="C151" s="278">
        <v>0.91838418936940069</v>
      </c>
      <c r="D151" s="278">
        <v>0.95120860742236224</v>
      </c>
      <c r="E151" s="278">
        <v>0.96029984659515621</v>
      </c>
      <c r="F151" s="278">
        <v>0.96884289389592415</v>
      </c>
      <c r="G151" s="278">
        <v>0.97690340517731866</v>
      </c>
      <c r="H151" s="279">
        <v>0.98473882230528631</v>
      </c>
      <c r="I151" s="237"/>
    </row>
    <row r="152" spans="1:9" x14ac:dyDescent="0.2">
      <c r="A152" s="273">
        <v>2.2000000000000002</v>
      </c>
      <c r="B152" s="277">
        <v>0.85906338846494668</v>
      </c>
      <c r="C152" s="278">
        <v>0.9131525671944225</v>
      </c>
      <c r="D152" s="278">
        <v>0.94795647861064203</v>
      </c>
      <c r="E152" s="278">
        <v>0.95762026471194717</v>
      </c>
      <c r="F152" s="278">
        <v>0.96671216247141378</v>
      </c>
      <c r="G152" s="278">
        <v>0.9753071125310574</v>
      </c>
      <c r="H152" s="279">
        <v>0.98367050893484509</v>
      </c>
      <c r="I152" s="237"/>
    </row>
    <row r="153" spans="1:9" x14ac:dyDescent="0.2">
      <c r="A153" s="273">
        <v>2.2999999999999998</v>
      </c>
      <c r="B153" s="277">
        <v>0.85111113425011131</v>
      </c>
      <c r="C153" s="278">
        <v>0.90793216080981798</v>
      </c>
      <c r="D153" s="278">
        <v>0.94469643669963332</v>
      </c>
      <c r="E153" s="278">
        <v>0.9549307681175776</v>
      </c>
      <c r="F153" s="278">
        <v>0.96457100556229125</v>
      </c>
      <c r="G153" s="278">
        <v>0.97370118653827331</v>
      </c>
      <c r="H153" s="279">
        <v>0.98259456188555772</v>
      </c>
      <c r="I153" s="237"/>
    </row>
    <row r="154" spans="1:9" x14ac:dyDescent="0.2">
      <c r="A154" s="273">
        <v>2.4</v>
      </c>
      <c r="B154" s="277">
        <v>0.84323249316784155</v>
      </c>
      <c r="C154" s="278">
        <v>0.90272315921051138</v>
      </c>
      <c r="D154" s="278">
        <v>0.94142859426385817</v>
      </c>
      <c r="E154" s="278">
        <v>0.95223141863254768</v>
      </c>
      <c r="F154" s="278">
        <v>0.96241943973773481</v>
      </c>
      <c r="G154" s="278">
        <v>0.97208560980927528</v>
      </c>
      <c r="H154" s="279">
        <v>0.98151094607321243</v>
      </c>
      <c r="I154" s="237"/>
    </row>
    <row r="155" spans="1:9" x14ac:dyDescent="0.2">
      <c r="A155" s="273">
        <v>2.5</v>
      </c>
      <c r="B155" s="277">
        <v>0.83542678378955881</v>
      </c>
      <c r="C155" s="278">
        <v>0.89752574958235776</v>
      </c>
      <c r="D155" s="278">
        <v>0.93815306509346197</v>
      </c>
      <c r="E155" s="278">
        <v>0.94952227938640854</v>
      </c>
      <c r="F155" s="278">
        <v>0.9602574826330309</v>
      </c>
      <c r="G155" s="278">
        <v>0.97046036558443483</v>
      </c>
      <c r="H155" s="279">
        <v>0.9804196265796884</v>
      </c>
      <c r="I155" s="237"/>
    </row>
    <row r="156" spans="1:9" x14ac:dyDescent="0.2">
      <c r="A156" s="273">
        <v>2.6</v>
      </c>
      <c r="B156" s="277">
        <v>0.8276933309945933</v>
      </c>
      <c r="C156" s="278">
        <v>0.89234011727871387</v>
      </c>
      <c r="D156" s="278">
        <v>0.93486996418089752</v>
      </c>
      <c r="E156" s="278">
        <v>0.94680341481720021</v>
      </c>
      <c r="F156" s="278">
        <v>0.95808515295727892</v>
      </c>
      <c r="G156" s="278">
        <v>0.96882543774407892</v>
      </c>
      <c r="H156" s="279">
        <v>0.97932056865964368</v>
      </c>
      <c r="I156" s="237"/>
    </row>
    <row r="157" spans="1:9" x14ac:dyDescent="0.2">
      <c r="A157" s="273">
        <v>2.7</v>
      </c>
      <c r="B157" s="277">
        <v>0.82003146591179155</v>
      </c>
      <c r="C157" s="278">
        <v>0.88716644579760562</v>
      </c>
      <c r="D157" s="278">
        <v>0.93157940770722836</v>
      </c>
      <c r="E157" s="278">
        <v>0.94407489067056338</v>
      </c>
      <c r="F157" s="278">
        <v>0.9559024705009348</v>
      </c>
      <c r="G157" s="278">
        <v>0.96718081081838458</v>
      </c>
      <c r="H157" s="279">
        <v>0.9782137377472776</v>
      </c>
      <c r="I157" s="237"/>
    </row>
    <row r="158" spans="1:9" x14ac:dyDescent="0.2">
      <c r="A158" s="273">
        <v>2.8</v>
      </c>
      <c r="B158" s="277">
        <v>0.81244052586166648</v>
      </c>
      <c r="C158" s="278">
        <v>0.88200491675949333</v>
      </c>
      <c r="D158" s="278">
        <v>0.92828151302804973</v>
      </c>
      <c r="E158" s="278">
        <v>0.94133677399852311</v>
      </c>
      <c r="F158" s="278">
        <v>0.95370945614319169</v>
      </c>
      <c r="G158" s="278">
        <v>0.96552646999727532</v>
      </c>
      <c r="H158" s="279">
        <v>0.97709909946317108</v>
      </c>
      <c r="I158" s="237"/>
    </row>
    <row r="159" spans="1:9" x14ac:dyDescent="0.2">
      <c r="A159" s="273">
        <v>2.9</v>
      </c>
      <c r="B159" s="277">
        <v>0.80491985429908119</v>
      </c>
      <c r="C159" s="278">
        <v>0.8768557098856401</v>
      </c>
      <c r="D159" s="278">
        <v>0.92497639865903025</v>
      </c>
      <c r="E159" s="278">
        <v>0.93858913315793591</v>
      </c>
      <c r="F159" s="278">
        <v>0.95150613185918675</v>
      </c>
      <c r="G159" s="278">
        <v>0.9638624011403113</v>
      </c>
      <c r="H159" s="279">
        <v>0.97597661962120197</v>
      </c>
      <c r="I159" s="237"/>
    </row>
    <row r="160" spans="1:9" x14ac:dyDescent="0.2">
      <c r="A160" s="273">
        <v>3</v>
      </c>
      <c r="B160" s="277">
        <v>0.79746880075646398</v>
      </c>
      <c r="C160" s="278">
        <v>0.87171900297708538</v>
      </c>
      <c r="D160" s="278">
        <v>0.92166418426107699</v>
      </c>
      <c r="E160" s="278">
        <v>0.93583203780860202</v>
      </c>
      <c r="F160" s="278">
        <v>0.94929252072703696</v>
      </c>
      <c r="G160" s="278">
        <v>0.96218859078657482</v>
      </c>
      <c r="H160" s="279">
        <v>0.974846264235538</v>
      </c>
      <c r="I160" s="237"/>
    </row>
    <row r="161" spans="1:9" x14ac:dyDescent="0.2">
      <c r="A161" s="273">
        <v>3.1</v>
      </c>
      <c r="B161" s="277">
        <v>0.79008672078754894</v>
      </c>
      <c r="C161" s="278">
        <v>0.86659497189422952</v>
      </c>
      <c r="D161" s="278">
        <v>0.9183449906251282</v>
      </c>
      <c r="E161" s="278">
        <v>0.93306555891103948</v>
      </c>
      <c r="F161" s="278">
        <v>0.94706864693469295</v>
      </c>
      <c r="G161" s="278">
        <v>0.96050502616454636</v>
      </c>
      <c r="H161" s="279">
        <v>0.9737079995277016</v>
      </c>
      <c r="I161" s="237"/>
    </row>
    <row r="162" spans="1:9" x14ac:dyDescent="0.2">
      <c r="A162" s="273">
        <v>3.2</v>
      </c>
      <c r="B162" s="277">
        <v>0.78277297591163786</v>
      </c>
      <c r="C162" s="278">
        <v>0.86148379053703106</v>
      </c>
      <c r="D162" s="278">
        <v>0.91501893965657677</v>
      </c>
      <c r="E162" s="278">
        <v>0.93028976872391678</v>
      </c>
      <c r="F162" s="278">
        <v>0.94483453578660981</v>
      </c>
      <c r="G162" s="278">
        <v>0.95881169520196741</v>
      </c>
      <c r="H162" s="279">
        <v>0.97256179193371206</v>
      </c>
      <c r="I162" s="237"/>
    </row>
    <row r="163" spans="1:9" x14ac:dyDescent="0.2">
      <c r="A163" s="273">
        <v>3.3</v>
      </c>
      <c r="B163" s="277">
        <v>0.77552693355837743</v>
      </c>
      <c r="C163" s="278">
        <v>0.85638563082581864</v>
      </c>
      <c r="D163" s="278">
        <v>0.91168615435932465</v>
      </c>
      <c r="E163" s="278">
        <v>0.92750474080114043</v>
      </c>
      <c r="F163" s="278">
        <v>0.94259021371022977</v>
      </c>
      <c r="G163" s="278">
        <v>0.95710858653568665</v>
      </c>
      <c r="H163" s="279">
        <v>0.971407608111302</v>
      </c>
      <c r="I163" s="237"/>
    </row>
    <row r="164" spans="1:9" x14ac:dyDescent="0.2">
      <c r="A164" s="273">
        <v>3.4</v>
      </c>
      <c r="B164" s="277">
        <v>0.76834796701304697</v>
      </c>
      <c r="C164" s="278">
        <v>0.85130066268272286</v>
      </c>
      <c r="D164" s="278">
        <v>0.90834675881947768</v>
      </c>
      <c r="E164" s="278">
        <v>0.92471054998859858</v>
      </c>
      <c r="F164" s="278">
        <v>0.94033570826227153</v>
      </c>
      <c r="G164" s="278">
        <v>0.95539568952148912</v>
      </c>
      <c r="H164" s="279">
        <v>0.97024541494720551</v>
      </c>
      <c r="I164" s="237"/>
    </row>
    <row r="165" spans="1:9" x14ac:dyDescent="0.2">
      <c r="A165" s="273">
        <v>3.5</v>
      </c>
      <c r="B165" s="277">
        <v>0.76123545536235515</v>
      </c>
      <c r="C165" s="278">
        <v>0.84622905401372872</v>
      </c>
      <c r="D165" s="278">
        <v>0.90500087818867725</v>
      </c>
      <c r="E165" s="278">
        <v>0.92190727242055581</v>
      </c>
      <c r="F165" s="278">
        <v>0.93807104813482145</v>
      </c>
      <c r="G165" s="278">
        <v>0.95367299424390106</v>
      </c>
      <c r="H165" s="279">
        <v>0.96907517956452094</v>
      </c>
      <c r="I165" s="237"/>
    </row>
    <row r="166" spans="1:9" x14ac:dyDescent="0.2">
      <c r="A166" s="273">
        <v>3.6</v>
      </c>
      <c r="B166" s="277">
        <v>0.75418878344073548</v>
      </c>
      <c r="C166" s="278">
        <v>0.84117097069134739</v>
      </c>
      <c r="D166" s="278">
        <v>0.90164863866708123</v>
      </c>
      <c r="E166" s="278">
        <v>0.91909498551569657</v>
      </c>
      <c r="F166" s="278">
        <v>0.93579626316122277</v>
      </c>
      <c r="G166" s="278">
        <v>0.95194049152597005</v>
      </c>
      <c r="H166" s="279">
        <v>0.96789686933014529</v>
      </c>
      <c r="I166" s="237"/>
    </row>
    <row r="167" spans="1:9" x14ac:dyDescent="0.2">
      <c r="A167" s="273">
        <v>3.7</v>
      </c>
      <c r="B167" s="277">
        <v>0.74720734177714065</v>
      </c>
      <c r="C167" s="278">
        <v>0.83612657653791511</v>
      </c>
      <c r="D167" s="278">
        <v>0.89829016748598944</v>
      </c>
      <c r="E167" s="278">
        <v>0.91627376797281868</v>
      </c>
      <c r="F167" s="278">
        <v>0.93351138432175884</v>
      </c>
      <c r="G167" s="278">
        <v>0.95019817293901399</v>
      </c>
      <c r="H167" s="279">
        <v>0.96671045186228133</v>
      </c>
      <c r="I167" s="237"/>
    </row>
    <row r="168" spans="1:9" x14ac:dyDescent="0.2">
      <c r="A168" s="273">
        <v>3.8</v>
      </c>
      <c r="B168" s="277">
        <v>0.74029052654232896</v>
      </c>
      <c r="C168" s="278">
        <v>0.83109603330951665</v>
      </c>
      <c r="D168" s="278">
        <v>0.89492559289012608</v>
      </c>
      <c r="E168" s="278">
        <v>0.91344369976617201</v>
      </c>
      <c r="F168" s="278">
        <v>0.93121644374912405</v>
      </c>
      <c r="G168" s="278">
        <v>0.94844603081234058</v>
      </c>
      <c r="H168" s="279">
        <v>0.96551589503801472</v>
      </c>
      <c r="I168" s="237"/>
    </row>
    <row r="169" spans="1:9" x14ac:dyDescent="0.2">
      <c r="A169" s="273">
        <v>3.9</v>
      </c>
      <c r="B169" s="277">
        <v>0.73343773949663926</v>
      </c>
      <c r="C169" s="278">
        <v>0.82607950068053304</v>
      </c>
      <c r="D169" s="278">
        <v>0.89155504411957731</v>
      </c>
      <c r="E169" s="278">
        <v>0.91060486214044256</v>
      </c>
      <c r="F169" s="278">
        <v>0.92891147473367941</v>
      </c>
      <c r="G169" s="278">
        <v>0.94668405824292834</v>
      </c>
      <c r="H169" s="279">
        <v>0.96431316700096148</v>
      </c>
      <c r="I169" s="237"/>
    </row>
    <row r="170" spans="1:9" x14ac:dyDescent="0.2">
      <c r="A170" s="273">
        <v>4</v>
      </c>
      <c r="B170" s="277">
        <v>0.72627273013799987</v>
      </c>
      <c r="C170" s="278">
        <v>0.82040017140699995</v>
      </c>
      <c r="D170" s="278">
        <v>0.88771882060500007</v>
      </c>
      <c r="E170" s="278">
        <v>0.90733147306299999</v>
      </c>
      <c r="F170" s="278">
        <v>0.92626400839099998</v>
      </c>
      <c r="G170" s="278">
        <v>0.9446924313720001</v>
      </c>
      <c r="H170" s="279">
        <v>0.96295290095600006</v>
      </c>
      <c r="I170" s="237"/>
    </row>
    <row r="171" spans="1:9" x14ac:dyDescent="0.2">
      <c r="A171" s="273">
        <v>4.0999999999999996</v>
      </c>
      <c r="B171" s="277">
        <v>0.71961008645047997</v>
      </c>
      <c r="C171" s="278">
        <v>0.81546282277535997</v>
      </c>
      <c r="D171" s="278">
        <v>0.88436330774876004</v>
      </c>
      <c r="E171" s="278">
        <v>0.90450315758499999</v>
      </c>
      <c r="F171" s="278">
        <v>0.92396164078176002</v>
      </c>
      <c r="G171" s="278">
        <v>0.94292646647972012</v>
      </c>
      <c r="H171" s="279">
        <v>0.96174651199040007</v>
      </c>
      <c r="I171" s="237"/>
    </row>
    <row r="172" spans="1:9" x14ac:dyDescent="0.2">
      <c r="A172" s="273">
        <v>4.2</v>
      </c>
      <c r="B172" s="277">
        <v>0.71300235375911991</v>
      </c>
      <c r="C172" s="278">
        <v>0.81054412298683998</v>
      </c>
      <c r="D172" s="278">
        <v>0.88100688205284006</v>
      </c>
      <c r="E172" s="278">
        <v>0.90166984295300001</v>
      </c>
      <c r="F172" s="278">
        <v>0.92165183539203999</v>
      </c>
      <c r="G172" s="278">
        <v>0.94115204805848007</v>
      </c>
      <c r="H172" s="279">
        <v>0.96053225695000011</v>
      </c>
      <c r="I172" s="237"/>
    </row>
    <row r="173" spans="1:9" x14ac:dyDescent="0.2">
      <c r="A173" s="273">
        <v>4.3</v>
      </c>
      <c r="B173" s="277">
        <v>0.70644953206391992</v>
      </c>
      <c r="C173" s="278">
        <v>0.80564407204143995</v>
      </c>
      <c r="D173" s="278">
        <v>0.87764954351724012</v>
      </c>
      <c r="E173" s="278">
        <v>0.89883152916700004</v>
      </c>
      <c r="F173" s="278">
        <v>0.91933459222184</v>
      </c>
      <c r="G173" s="278">
        <v>0.93936917610828008</v>
      </c>
      <c r="H173" s="279">
        <v>0.95931013583480007</v>
      </c>
      <c r="I173" s="237"/>
    </row>
    <row r="174" spans="1:9" x14ac:dyDescent="0.2">
      <c r="A174" s="273">
        <v>4.4000000000000004</v>
      </c>
      <c r="B174" s="277">
        <v>0.69995162136487987</v>
      </c>
      <c r="C174" s="278">
        <v>0.8007626699391599</v>
      </c>
      <c r="D174" s="278">
        <v>0.87429129214196011</v>
      </c>
      <c r="E174" s="278">
        <v>0.89598821622700009</v>
      </c>
      <c r="F174" s="278">
        <v>0.91700991127115994</v>
      </c>
      <c r="G174" s="278">
        <v>0.93757785062912002</v>
      </c>
      <c r="H174" s="279">
        <v>0.95808014864480007</v>
      </c>
      <c r="I174" s="237"/>
    </row>
    <row r="175" spans="1:9" x14ac:dyDescent="0.2">
      <c r="A175" s="273">
        <v>4.5</v>
      </c>
      <c r="B175" s="277">
        <v>0.69350862166199989</v>
      </c>
      <c r="C175" s="278">
        <v>0.79589991667999993</v>
      </c>
      <c r="D175" s="278">
        <v>0.87093212792700014</v>
      </c>
      <c r="E175" s="278">
        <v>0.89313990413300004</v>
      </c>
      <c r="F175" s="278">
        <v>0.91467779254000003</v>
      </c>
      <c r="G175" s="278">
        <v>0.93577807162100002</v>
      </c>
      <c r="H175" s="279">
        <v>0.9568422953800001</v>
      </c>
      <c r="I175" s="237"/>
    </row>
    <row r="176" spans="1:9" x14ac:dyDescent="0.2">
      <c r="A176" s="273">
        <v>4.5999999999999996</v>
      </c>
      <c r="B176" s="277">
        <v>0.68712053295527997</v>
      </c>
      <c r="C176" s="278">
        <v>0.79105581226395993</v>
      </c>
      <c r="D176" s="278">
        <v>0.86757205087236011</v>
      </c>
      <c r="E176" s="278">
        <v>0.89028659288500012</v>
      </c>
      <c r="F176" s="278">
        <v>0.91233823602836006</v>
      </c>
      <c r="G176" s="278">
        <v>0.93396983908392006</v>
      </c>
      <c r="H176" s="279">
        <v>0.95559657604040016</v>
      </c>
      <c r="I176" s="237"/>
    </row>
    <row r="177" spans="1:9" x14ac:dyDescent="0.2">
      <c r="A177" s="273">
        <v>4.7</v>
      </c>
      <c r="B177" s="277">
        <v>0.68078735524471989</v>
      </c>
      <c r="C177" s="278">
        <v>0.78623035669104002</v>
      </c>
      <c r="D177" s="278">
        <v>0.86421106097804012</v>
      </c>
      <c r="E177" s="278">
        <v>0.88742828248299999</v>
      </c>
      <c r="F177" s="278">
        <v>0.90999124173624002</v>
      </c>
      <c r="G177" s="278">
        <v>0.93215315301788004</v>
      </c>
      <c r="H177" s="279">
        <v>0.95434299062600014</v>
      </c>
      <c r="I177" s="237"/>
    </row>
    <row r="178" spans="1:9" x14ac:dyDescent="0.2">
      <c r="A178" s="273">
        <v>4.8</v>
      </c>
      <c r="B178" s="277">
        <v>0.67450908853031999</v>
      </c>
      <c r="C178" s="278">
        <v>0.78142354996123997</v>
      </c>
      <c r="D178" s="278">
        <v>0.86084915824404007</v>
      </c>
      <c r="E178" s="278">
        <v>0.88456497292700009</v>
      </c>
      <c r="F178" s="278">
        <v>0.90763680966364002</v>
      </c>
      <c r="G178" s="278">
        <v>0.93032801342288007</v>
      </c>
      <c r="H178" s="279">
        <v>0.95308153913680016</v>
      </c>
      <c r="I178" s="237"/>
    </row>
    <row r="179" spans="1:9" x14ac:dyDescent="0.2">
      <c r="A179" s="273">
        <v>4.9000000000000004</v>
      </c>
      <c r="B179" s="277">
        <v>0.66828573281207992</v>
      </c>
      <c r="C179" s="278">
        <v>0.77663539207455989</v>
      </c>
      <c r="D179" s="278">
        <v>0.85748634267036006</v>
      </c>
      <c r="E179" s="278">
        <v>0.8816966642170001</v>
      </c>
      <c r="F179" s="278">
        <v>0.90527493981055995</v>
      </c>
      <c r="G179" s="278">
        <v>0.92849442029892004</v>
      </c>
      <c r="H179" s="279">
        <v>0.9518122215728001</v>
      </c>
      <c r="I179" s="237"/>
    </row>
    <row r="180" spans="1:9" x14ac:dyDescent="0.2">
      <c r="A180" s="273">
        <v>5</v>
      </c>
      <c r="B180" s="277">
        <v>0.66211728808999992</v>
      </c>
      <c r="C180" s="278">
        <v>0.7718658830309999</v>
      </c>
      <c r="D180" s="278">
        <v>0.85412261425700009</v>
      </c>
      <c r="E180" s="278">
        <v>0.87882335635300002</v>
      </c>
      <c r="F180" s="278">
        <v>0.90290563217699993</v>
      </c>
      <c r="G180" s="278">
        <v>0.92665237364600006</v>
      </c>
      <c r="H180" s="279">
        <v>0.95053503793400007</v>
      </c>
      <c r="I180" s="237"/>
    </row>
    <row r="181" spans="1:9" x14ac:dyDescent="0.2">
      <c r="A181" s="273">
        <v>5.0999999999999996</v>
      </c>
      <c r="B181" s="277">
        <v>0.65600375436407998</v>
      </c>
      <c r="C181" s="278">
        <v>0.76711502283055999</v>
      </c>
      <c r="D181" s="278">
        <v>0.85075797300396006</v>
      </c>
      <c r="E181" s="278">
        <v>0.87594504933500006</v>
      </c>
      <c r="F181" s="278">
        <v>0.90052888676295995</v>
      </c>
      <c r="G181" s="278">
        <v>0.92480187346412013</v>
      </c>
      <c r="H181" s="279">
        <v>0.94924998822040008</v>
      </c>
      <c r="I181" s="237"/>
    </row>
    <row r="182" spans="1:9" x14ac:dyDescent="0.2">
      <c r="A182" s="273">
        <v>5.2</v>
      </c>
      <c r="B182" s="277">
        <v>0.64994513163431988</v>
      </c>
      <c r="C182" s="278">
        <v>0.76238281147323994</v>
      </c>
      <c r="D182" s="278">
        <v>0.84739241891124006</v>
      </c>
      <c r="E182" s="278">
        <v>0.873061743163</v>
      </c>
      <c r="F182" s="278">
        <v>0.89814470356844001</v>
      </c>
      <c r="G182" s="278">
        <v>0.92294291975328002</v>
      </c>
      <c r="H182" s="279">
        <v>0.94795707243200011</v>
      </c>
      <c r="I182" s="237"/>
    </row>
    <row r="183" spans="1:9" x14ac:dyDescent="0.2">
      <c r="A183" s="273">
        <v>5.3</v>
      </c>
      <c r="B183" s="277">
        <v>0.64394141990071996</v>
      </c>
      <c r="C183" s="278">
        <v>0.75766924895903998</v>
      </c>
      <c r="D183" s="278">
        <v>0.84402595197884012</v>
      </c>
      <c r="E183" s="278">
        <v>0.87017343783700007</v>
      </c>
      <c r="F183" s="278">
        <v>0.89575308259344</v>
      </c>
      <c r="G183" s="278">
        <v>0.92107551251348008</v>
      </c>
      <c r="H183" s="279">
        <v>0.94665629056880007</v>
      </c>
      <c r="I183" s="237"/>
    </row>
    <row r="184" spans="1:9" x14ac:dyDescent="0.2">
      <c r="A184" s="273">
        <v>5.4</v>
      </c>
      <c r="B184" s="277">
        <v>0.63799261916327987</v>
      </c>
      <c r="C184" s="278">
        <v>0.75297433528795998</v>
      </c>
      <c r="D184" s="278">
        <v>0.8406585722067601</v>
      </c>
      <c r="E184" s="278">
        <v>0.86728013335700005</v>
      </c>
      <c r="F184" s="278">
        <v>0.89335402383796003</v>
      </c>
      <c r="G184" s="278">
        <v>0.91919965174472007</v>
      </c>
      <c r="H184" s="279">
        <v>0.94534764263080007</v>
      </c>
      <c r="I184" s="237"/>
    </row>
    <row r="185" spans="1:9" x14ac:dyDescent="0.2">
      <c r="A185" s="273">
        <v>5.5</v>
      </c>
      <c r="B185" s="277">
        <v>0.63209872942199996</v>
      </c>
      <c r="C185" s="278">
        <v>0.74829807045999996</v>
      </c>
      <c r="D185" s="278">
        <v>0.83729027959500013</v>
      </c>
      <c r="E185" s="278">
        <v>0.86438182972300004</v>
      </c>
      <c r="F185" s="278">
        <v>0.890947527302</v>
      </c>
      <c r="G185" s="278">
        <v>0.91731533744700011</v>
      </c>
      <c r="H185" s="279">
        <v>0.94403112861800009</v>
      </c>
      <c r="I185" s="237"/>
    </row>
    <row r="186" spans="1:9" x14ac:dyDescent="0.2">
      <c r="A186" s="273">
        <v>5.6</v>
      </c>
      <c r="B186" s="277">
        <v>0.62625975067687989</v>
      </c>
      <c r="C186" s="278">
        <v>0.74364045447516003</v>
      </c>
      <c r="D186" s="278">
        <v>0.83392107414356009</v>
      </c>
      <c r="E186" s="278">
        <v>0.86147852693500004</v>
      </c>
      <c r="F186" s="278">
        <v>0.88853359298556001</v>
      </c>
      <c r="G186" s="278">
        <v>0.91542256962032009</v>
      </c>
      <c r="H186" s="279">
        <v>0.94270674853040015</v>
      </c>
      <c r="I186" s="237"/>
    </row>
    <row r="187" spans="1:9" x14ac:dyDescent="0.2">
      <c r="A187" s="273">
        <v>5.7</v>
      </c>
      <c r="B187" s="277">
        <v>0.62047568292791988</v>
      </c>
      <c r="C187" s="278">
        <v>0.73900148733343995</v>
      </c>
      <c r="D187" s="278">
        <v>0.8305509558524401</v>
      </c>
      <c r="E187" s="278">
        <v>0.85857022499300006</v>
      </c>
      <c r="F187" s="278">
        <v>0.88611222088863995</v>
      </c>
      <c r="G187" s="278">
        <v>0.91352134826468001</v>
      </c>
      <c r="H187" s="279">
        <v>0.94137450236800013</v>
      </c>
      <c r="I187" s="237"/>
    </row>
    <row r="188" spans="1:9" x14ac:dyDescent="0.2">
      <c r="A188" s="273">
        <v>5.8</v>
      </c>
      <c r="B188" s="277">
        <v>0.61474652617511993</v>
      </c>
      <c r="C188" s="278">
        <v>0.73438116903483996</v>
      </c>
      <c r="D188" s="278">
        <v>0.82717992472164015</v>
      </c>
      <c r="E188" s="278">
        <v>0.8556569238970001</v>
      </c>
      <c r="F188" s="278">
        <v>0.88368341101123993</v>
      </c>
      <c r="G188" s="278">
        <v>0.91161167338008009</v>
      </c>
      <c r="H188" s="279">
        <v>0.94003439013080015</v>
      </c>
      <c r="I188" s="237"/>
    </row>
    <row r="189" spans="1:9" x14ac:dyDescent="0.2">
      <c r="A189" s="273">
        <v>5.9</v>
      </c>
      <c r="B189" s="277">
        <v>0.60907228041847994</v>
      </c>
      <c r="C189" s="278">
        <v>0.72977949957935995</v>
      </c>
      <c r="D189" s="278">
        <v>0.82380798075116013</v>
      </c>
      <c r="E189" s="278">
        <v>0.85273862364700004</v>
      </c>
      <c r="F189" s="278">
        <v>0.88124716335335995</v>
      </c>
      <c r="G189" s="278">
        <v>0.90969354496652011</v>
      </c>
      <c r="H189" s="279">
        <v>0.93868641181880008</v>
      </c>
      <c r="I189" s="237"/>
    </row>
    <row r="190" spans="1:9" x14ac:dyDescent="0.2">
      <c r="A190" s="273">
        <v>6</v>
      </c>
      <c r="B190" s="277">
        <v>0.60345294565800001</v>
      </c>
      <c r="C190" s="278">
        <v>0.7251964789669999</v>
      </c>
      <c r="D190" s="278">
        <v>0.82043512394100016</v>
      </c>
      <c r="E190" s="278">
        <v>0.84981532424299999</v>
      </c>
      <c r="F190" s="278">
        <v>0.87880347791500002</v>
      </c>
      <c r="G190" s="278">
        <v>0.90776696302400006</v>
      </c>
      <c r="H190" s="279">
        <v>0.93733056743200005</v>
      </c>
      <c r="I190" s="237"/>
    </row>
    <row r="191" spans="1:9" x14ac:dyDescent="0.2">
      <c r="A191" s="273">
        <v>6.1</v>
      </c>
      <c r="B191" s="277">
        <v>0.59788852189368002</v>
      </c>
      <c r="C191" s="278">
        <v>0.72063210719775994</v>
      </c>
      <c r="D191" s="278">
        <v>0.81706135429116011</v>
      </c>
      <c r="E191" s="278">
        <v>0.84688702568500007</v>
      </c>
      <c r="F191" s="278">
        <v>0.87635235469616002</v>
      </c>
      <c r="G191" s="278">
        <v>0.90583192755252007</v>
      </c>
      <c r="H191" s="279">
        <v>0.93596685697040005</v>
      </c>
      <c r="I191" s="237"/>
    </row>
    <row r="192" spans="1:9" x14ac:dyDescent="0.2">
      <c r="A192" s="273">
        <v>6.2</v>
      </c>
      <c r="B192" s="277">
        <v>0.59237900912551988</v>
      </c>
      <c r="C192" s="278">
        <v>0.71608638427163995</v>
      </c>
      <c r="D192" s="278">
        <v>0.81368667180164012</v>
      </c>
      <c r="E192" s="278">
        <v>0.84395372797300006</v>
      </c>
      <c r="F192" s="278">
        <v>0.87389379369683995</v>
      </c>
      <c r="G192" s="278">
        <v>0.90388843855208001</v>
      </c>
      <c r="H192" s="279">
        <v>0.93459528043400009</v>
      </c>
      <c r="I192" s="237"/>
    </row>
    <row r="193" spans="1:9" x14ac:dyDescent="0.2">
      <c r="A193" s="273">
        <v>6.3</v>
      </c>
      <c r="B193" s="277">
        <v>0.58692440735351981</v>
      </c>
      <c r="C193" s="278">
        <v>0.71155931018863994</v>
      </c>
      <c r="D193" s="278">
        <v>0.81031107647244016</v>
      </c>
      <c r="E193" s="278">
        <v>0.84101543110700006</v>
      </c>
      <c r="F193" s="278">
        <v>0.87142779491703992</v>
      </c>
      <c r="G193" s="278">
        <v>0.90193649602268011</v>
      </c>
      <c r="H193" s="279">
        <v>0.93321583782280015</v>
      </c>
      <c r="I193" s="237"/>
    </row>
    <row r="194" spans="1:9" x14ac:dyDescent="0.2">
      <c r="A194" s="273">
        <v>6.4</v>
      </c>
      <c r="B194" s="281">
        <v>0.5815247165776799</v>
      </c>
      <c r="C194" s="282">
        <v>0.70705088494875989</v>
      </c>
      <c r="D194" s="282">
        <v>0.80693456830356003</v>
      </c>
      <c r="E194" s="282">
        <v>0.83807213508699996</v>
      </c>
      <c r="F194" s="282">
        <v>0.86895435835676005</v>
      </c>
      <c r="G194" s="282">
        <v>0.89997609996432004</v>
      </c>
      <c r="H194" s="283">
        <v>0.93182852913680014</v>
      </c>
      <c r="I194" s="237"/>
    </row>
    <row r="195" spans="1:9" x14ac:dyDescent="0.2">
      <c r="A195" s="273">
        <v>6.5</v>
      </c>
      <c r="B195" s="284">
        <v>0.57617993679799995</v>
      </c>
      <c r="C195" s="285">
        <v>0.70256110855199994</v>
      </c>
      <c r="D195" s="285">
        <v>0.80355714729500005</v>
      </c>
      <c r="E195" s="285">
        <v>0.8351238399130001</v>
      </c>
      <c r="F195" s="285">
        <v>0.866473484016</v>
      </c>
      <c r="G195" s="285">
        <v>0.89800725037700002</v>
      </c>
      <c r="H195" s="286">
        <v>0.93043335437600017</v>
      </c>
      <c r="I195" s="237"/>
    </row>
    <row r="196" spans="1:9" x14ac:dyDescent="0.2">
      <c r="A196" s="273">
        <v>6.6</v>
      </c>
      <c r="B196" s="277">
        <v>0.57089006801447995</v>
      </c>
      <c r="C196" s="278">
        <v>0.69808998099835995</v>
      </c>
      <c r="D196" s="278">
        <v>0.80017881344676012</v>
      </c>
      <c r="E196" s="278">
        <v>0.83217054558500003</v>
      </c>
      <c r="F196" s="278">
        <v>0.86398517189475998</v>
      </c>
      <c r="G196" s="278">
        <v>0.89602994726072005</v>
      </c>
      <c r="H196" s="279">
        <v>0.92903031354040011</v>
      </c>
      <c r="I196" s="237"/>
    </row>
    <row r="197" spans="1:9" x14ac:dyDescent="0.2">
      <c r="A197" s="273">
        <v>6.7</v>
      </c>
      <c r="B197" s="277">
        <v>0.56565511022711989</v>
      </c>
      <c r="C197" s="278">
        <v>0.69363750228783994</v>
      </c>
      <c r="D197" s="278">
        <v>0.79679956675884012</v>
      </c>
      <c r="E197" s="278">
        <v>0.82921225210300009</v>
      </c>
      <c r="F197" s="278">
        <v>0.86148942199304002</v>
      </c>
      <c r="G197" s="278">
        <v>0.89404419061548013</v>
      </c>
      <c r="H197" s="279">
        <v>0.92761940663000009</v>
      </c>
      <c r="I197" s="237"/>
    </row>
    <row r="198" spans="1:9" x14ac:dyDescent="0.2">
      <c r="A198" s="273">
        <v>6.8</v>
      </c>
      <c r="B198" s="277">
        <v>0.56047506343591991</v>
      </c>
      <c r="C198" s="278">
        <v>0.68920367242044001</v>
      </c>
      <c r="D198" s="278">
        <v>0.79341940723124016</v>
      </c>
      <c r="E198" s="278">
        <v>0.82624895946700005</v>
      </c>
      <c r="F198" s="278">
        <v>0.85898623431083998</v>
      </c>
      <c r="G198" s="278">
        <v>0.89204998044128003</v>
      </c>
      <c r="H198" s="279">
        <v>0.9262006336448001</v>
      </c>
      <c r="I198" s="237"/>
    </row>
    <row r="199" spans="1:9" x14ac:dyDescent="0.2">
      <c r="A199" s="273">
        <v>6.9</v>
      </c>
      <c r="B199" s="290">
        <v>0.55534992764087987</v>
      </c>
      <c r="C199" s="291">
        <v>0.68478849139615994</v>
      </c>
      <c r="D199" s="291">
        <v>0.79003833486396013</v>
      </c>
      <c r="E199" s="291">
        <v>0.82328066767700003</v>
      </c>
      <c r="F199" s="291">
        <v>0.85647560884815999</v>
      </c>
      <c r="G199" s="291">
        <v>0.8900473167381201</v>
      </c>
      <c r="H199" s="292">
        <v>0.92477399458480014</v>
      </c>
      <c r="I199" s="237"/>
    </row>
    <row r="200" spans="1:9" x14ac:dyDescent="0.2">
      <c r="A200" s="273">
        <v>7</v>
      </c>
      <c r="B200" s="287">
        <v>0.5502797028419999</v>
      </c>
      <c r="C200" s="288">
        <v>0.68039195921499995</v>
      </c>
      <c r="D200" s="288">
        <v>0.78665634965700015</v>
      </c>
      <c r="E200" s="288">
        <v>0.82030737673300003</v>
      </c>
      <c r="F200" s="288">
        <v>0.85395754560499992</v>
      </c>
      <c r="G200" s="288">
        <v>0.8880361995060001</v>
      </c>
      <c r="H200" s="289">
        <v>0.92333948945000011</v>
      </c>
      <c r="I200" s="237"/>
    </row>
    <row r="201" spans="1:9" x14ac:dyDescent="0.2">
      <c r="A201" s="273">
        <v>7.1</v>
      </c>
      <c r="B201" s="277">
        <v>0.54526438903927998</v>
      </c>
      <c r="C201" s="278">
        <v>0.67601407587695994</v>
      </c>
      <c r="D201" s="278">
        <v>0.78327345161036011</v>
      </c>
      <c r="E201" s="278">
        <v>0.81732908663500003</v>
      </c>
      <c r="F201" s="278">
        <v>0.85143204458136001</v>
      </c>
      <c r="G201" s="278">
        <v>0.88601662874492004</v>
      </c>
      <c r="H201" s="279">
        <v>0.9218971182404001</v>
      </c>
      <c r="I201" s="237"/>
    </row>
    <row r="202" spans="1:9" x14ac:dyDescent="0.2">
      <c r="A202" s="273">
        <v>7.2</v>
      </c>
      <c r="B202" s="277">
        <v>0.54030398623271991</v>
      </c>
      <c r="C202" s="278">
        <v>0.67165484138204001</v>
      </c>
      <c r="D202" s="278">
        <v>0.7798896407240401</v>
      </c>
      <c r="E202" s="278">
        <v>0.81434579738300006</v>
      </c>
      <c r="F202" s="278">
        <v>0.84889910577723993</v>
      </c>
      <c r="G202" s="278">
        <v>0.88398860445488003</v>
      </c>
      <c r="H202" s="279">
        <v>0.92044688095600014</v>
      </c>
      <c r="I202" s="237"/>
    </row>
    <row r="203" spans="1:9" x14ac:dyDescent="0.2">
      <c r="A203" s="273">
        <v>7.3</v>
      </c>
      <c r="B203" s="277">
        <v>0.5353984944223199</v>
      </c>
      <c r="C203" s="278">
        <v>0.66731425573023995</v>
      </c>
      <c r="D203" s="278">
        <v>0.77650491699804014</v>
      </c>
      <c r="E203" s="278">
        <v>0.81135750897699999</v>
      </c>
      <c r="F203" s="278">
        <v>0.84635872919263999</v>
      </c>
      <c r="G203" s="278">
        <v>0.88195212663588007</v>
      </c>
      <c r="H203" s="279">
        <v>0.91898877759680009</v>
      </c>
      <c r="I203" s="237"/>
    </row>
    <row r="204" spans="1:9" x14ac:dyDescent="0.2">
      <c r="A204" s="273">
        <v>7.4</v>
      </c>
      <c r="B204" s="281">
        <v>0.53054791360807996</v>
      </c>
      <c r="C204" s="282">
        <v>0.66299231892155996</v>
      </c>
      <c r="D204" s="282">
        <v>0.77311928043236011</v>
      </c>
      <c r="E204" s="282">
        <v>0.80836422141700004</v>
      </c>
      <c r="F204" s="282">
        <v>0.84381091482755999</v>
      </c>
      <c r="G204" s="282">
        <v>0.87990719528792005</v>
      </c>
      <c r="H204" s="283">
        <v>0.91752280816280007</v>
      </c>
      <c r="I204" s="237"/>
    </row>
    <row r="205" spans="1:9" x14ac:dyDescent="0.2">
      <c r="A205" s="273">
        <v>7.5</v>
      </c>
      <c r="B205" s="284">
        <v>0.52575224378999996</v>
      </c>
      <c r="C205" s="285">
        <v>0.65868903095599995</v>
      </c>
      <c r="D205" s="285">
        <v>0.76973273102700013</v>
      </c>
      <c r="E205" s="285">
        <v>0.805365934703</v>
      </c>
      <c r="F205" s="285">
        <v>0.84125566268200003</v>
      </c>
      <c r="G205" s="285">
        <v>0.87785381041100008</v>
      </c>
      <c r="H205" s="286">
        <v>0.91604897265400009</v>
      </c>
      <c r="I205" s="237"/>
    </row>
    <row r="206" spans="1:9" x14ac:dyDescent="0.2">
      <c r="A206" s="273">
        <v>7.6</v>
      </c>
      <c r="B206" s="277">
        <v>0.52101148496808003</v>
      </c>
      <c r="C206" s="278">
        <v>0.65440439183356003</v>
      </c>
      <c r="D206" s="278">
        <v>0.76634526878196008</v>
      </c>
      <c r="E206" s="278">
        <v>0.80236264883500008</v>
      </c>
      <c r="F206" s="278">
        <v>0.83869297275596</v>
      </c>
      <c r="G206" s="278">
        <v>0.87579197200512005</v>
      </c>
      <c r="H206" s="279">
        <v>0.91456727107040015</v>
      </c>
      <c r="I206" s="237"/>
    </row>
    <row r="207" spans="1:9" x14ac:dyDescent="0.2">
      <c r="A207" s="273">
        <v>7.7</v>
      </c>
      <c r="B207" s="277">
        <v>0.51632563714231994</v>
      </c>
      <c r="C207" s="278">
        <v>0.65013840155423996</v>
      </c>
      <c r="D207" s="278">
        <v>0.76295689369724018</v>
      </c>
      <c r="E207" s="278">
        <v>0.79935436381300007</v>
      </c>
      <c r="F207" s="278">
        <v>0.83612284504944001</v>
      </c>
      <c r="G207" s="278">
        <v>0.87372168007028006</v>
      </c>
      <c r="H207" s="279">
        <v>0.91307770341200012</v>
      </c>
      <c r="I207" s="237"/>
    </row>
    <row r="208" spans="1:9" x14ac:dyDescent="0.2">
      <c r="A208" s="273">
        <v>7.8</v>
      </c>
      <c r="B208" s="277">
        <v>0.51169470031271991</v>
      </c>
      <c r="C208" s="278">
        <v>0.64589106011803998</v>
      </c>
      <c r="D208" s="278">
        <v>0.7595676057728401</v>
      </c>
      <c r="E208" s="278">
        <v>0.79634107963700007</v>
      </c>
      <c r="F208" s="278">
        <v>0.83354527956244007</v>
      </c>
      <c r="G208" s="278">
        <v>0.87164293460648001</v>
      </c>
      <c r="H208" s="279">
        <v>0.91158026967880013</v>
      </c>
      <c r="I208" s="237"/>
    </row>
    <row r="209" spans="1:9" x14ac:dyDescent="0.2">
      <c r="A209" s="273">
        <v>7.9</v>
      </c>
      <c r="B209" s="290">
        <v>0.50711867447927994</v>
      </c>
      <c r="C209" s="291">
        <v>0.64166236752495998</v>
      </c>
      <c r="D209" s="291">
        <v>0.75617740500876007</v>
      </c>
      <c r="E209" s="291">
        <v>0.79332279630699998</v>
      </c>
      <c r="F209" s="291">
        <v>0.83096027629495994</v>
      </c>
      <c r="G209" s="291">
        <v>0.86955573561372002</v>
      </c>
      <c r="H209" s="292">
        <v>0.91007496987080005</v>
      </c>
      <c r="I209" s="237"/>
    </row>
    <row r="210" spans="1:9" x14ac:dyDescent="0.2">
      <c r="A210" s="273">
        <v>8</v>
      </c>
      <c r="B210" s="287">
        <v>0.50259755964199992</v>
      </c>
      <c r="C210" s="288">
        <v>0.63745232377499994</v>
      </c>
      <c r="D210" s="288">
        <v>0.75278629140500009</v>
      </c>
      <c r="E210" s="288">
        <v>0.79029951382300001</v>
      </c>
      <c r="F210" s="288">
        <v>0.82836783524699997</v>
      </c>
      <c r="G210" s="288">
        <v>0.86746008309200007</v>
      </c>
      <c r="H210" s="289">
        <v>0.90856180398800013</v>
      </c>
      <c r="I210" s="237"/>
    </row>
    <row r="211" spans="1:9" x14ac:dyDescent="0.2">
      <c r="A211" s="273">
        <v>8.1</v>
      </c>
      <c r="B211" s="277">
        <v>0.49813135580087997</v>
      </c>
      <c r="C211" s="278">
        <v>0.63326092886815999</v>
      </c>
      <c r="D211" s="278">
        <v>0.74939426496156014</v>
      </c>
      <c r="E211" s="278">
        <v>0.78727123218500006</v>
      </c>
      <c r="F211" s="278">
        <v>0.82576795641856005</v>
      </c>
      <c r="G211" s="278">
        <v>0.86535597704132006</v>
      </c>
      <c r="H211" s="279">
        <v>0.90704077203040012</v>
      </c>
      <c r="I211" s="237"/>
    </row>
    <row r="212" spans="1:9" x14ac:dyDescent="0.2">
      <c r="A212" s="273">
        <v>8.1999999999999993</v>
      </c>
      <c r="B212" s="277">
        <v>0.49372006295591997</v>
      </c>
      <c r="C212" s="278">
        <v>0.62908818280444001</v>
      </c>
      <c r="D212" s="278">
        <v>0.74600132567844013</v>
      </c>
      <c r="E212" s="278">
        <v>0.78423795139300001</v>
      </c>
      <c r="F212" s="278">
        <v>0.82316063980964005</v>
      </c>
      <c r="G212" s="278">
        <v>0.8632434174616801</v>
      </c>
      <c r="H212" s="279">
        <v>0.90551187399800015</v>
      </c>
      <c r="I212" s="237"/>
    </row>
    <row r="213" spans="1:9" x14ac:dyDescent="0.2">
      <c r="A213" s="273">
        <v>8.3000000000000007</v>
      </c>
      <c r="B213" s="277">
        <v>0.48936368110711992</v>
      </c>
      <c r="C213" s="278">
        <v>0.62493408558383989</v>
      </c>
      <c r="D213" s="278">
        <v>0.74260747355564005</v>
      </c>
      <c r="E213" s="278">
        <v>0.78119967144699998</v>
      </c>
      <c r="F213" s="278">
        <v>0.82054588542023998</v>
      </c>
      <c r="G213" s="278">
        <v>0.86112240435308007</v>
      </c>
      <c r="H213" s="279">
        <v>0.9039751098908001</v>
      </c>
      <c r="I213" s="237"/>
    </row>
    <row r="214" spans="1:9" x14ac:dyDescent="0.2">
      <c r="A214" s="273">
        <v>8.4</v>
      </c>
      <c r="B214" s="281">
        <v>0.48506221025447993</v>
      </c>
      <c r="C214" s="282">
        <v>0.62079863720635997</v>
      </c>
      <c r="D214" s="282">
        <v>0.73921270859316013</v>
      </c>
      <c r="E214" s="282">
        <v>0.77815639234700007</v>
      </c>
      <c r="F214" s="282">
        <v>0.81792369325035996</v>
      </c>
      <c r="G214" s="282">
        <v>0.8589929377155201</v>
      </c>
      <c r="H214" s="283">
        <v>0.90243047970880008</v>
      </c>
      <c r="I214" s="237"/>
    </row>
    <row r="215" spans="1:9" x14ac:dyDescent="0.2">
      <c r="A215" s="273">
        <v>8.5</v>
      </c>
      <c r="B215" s="284">
        <v>0.48081565039799989</v>
      </c>
      <c r="C215" s="285">
        <v>0.61668183767200002</v>
      </c>
      <c r="D215" s="285">
        <v>0.73581703079100014</v>
      </c>
      <c r="E215" s="285">
        <v>0.77510811409300007</v>
      </c>
      <c r="F215" s="285">
        <v>0.81529406329999998</v>
      </c>
      <c r="G215" s="285">
        <v>0.85685501754900006</v>
      </c>
      <c r="H215" s="286">
        <v>0.9008779834520001</v>
      </c>
      <c r="I215" s="237"/>
    </row>
    <row r="216" spans="1:9" x14ac:dyDescent="0.2">
      <c r="A216" s="273">
        <v>8.6</v>
      </c>
      <c r="B216" s="277">
        <v>0.47662400153767992</v>
      </c>
      <c r="C216" s="278">
        <v>0.61258368698075993</v>
      </c>
      <c r="D216" s="278">
        <v>0.73242044014916008</v>
      </c>
      <c r="E216" s="278">
        <v>0.77205483668500008</v>
      </c>
      <c r="F216" s="278">
        <v>0.81265699556916005</v>
      </c>
      <c r="G216" s="278">
        <v>0.85470864385352008</v>
      </c>
      <c r="H216" s="279">
        <v>0.89931762112040015</v>
      </c>
      <c r="I216" s="237"/>
    </row>
    <row r="217" spans="1:9" x14ac:dyDescent="0.2">
      <c r="A217" s="273">
        <v>8.6999999999999993</v>
      </c>
      <c r="B217" s="277">
        <v>0.47248726367352001</v>
      </c>
      <c r="C217" s="278">
        <v>0.60850418513264004</v>
      </c>
      <c r="D217" s="278">
        <v>0.72902293666764018</v>
      </c>
      <c r="E217" s="278">
        <v>0.76899656012300011</v>
      </c>
      <c r="F217" s="278">
        <v>0.81001249005784004</v>
      </c>
      <c r="G217" s="278">
        <v>0.85255381662908003</v>
      </c>
      <c r="H217" s="279">
        <v>0.89774939271400012</v>
      </c>
      <c r="I217" s="237"/>
    </row>
    <row r="218" spans="1:9" x14ac:dyDescent="0.2">
      <c r="A218" s="273">
        <v>8.8000000000000007</v>
      </c>
      <c r="B218" s="277">
        <v>0.46840543680551983</v>
      </c>
      <c r="C218" s="278">
        <v>0.6044433321276399</v>
      </c>
      <c r="D218" s="278">
        <v>0.72562452034644009</v>
      </c>
      <c r="E218" s="278">
        <v>0.76593328440700004</v>
      </c>
      <c r="F218" s="278">
        <v>0.80736054676603997</v>
      </c>
      <c r="G218" s="278">
        <v>0.85039053587568003</v>
      </c>
      <c r="H218" s="279">
        <v>0.89617329823280012</v>
      </c>
      <c r="I218" s="237"/>
    </row>
    <row r="219" spans="1:9" x14ac:dyDescent="0.2">
      <c r="A219" s="273">
        <v>8.9</v>
      </c>
      <c r="B219" s="290">
        <v>0.46437852093367993</v>
      </c>
      <c r="C219" s="291">
        <v>0.60040112796575995</v>
      </c>
      <c r="D219" s="291">
        <v>0.72222519118556017</v>
      </c>
      <c r="E219" s="291">
        <v>0.76286500953699998</v>
      </c>
      <c r="F219" s="291">
        <v>0.80470116569375993</v>
      </c>
      <c r="G219" s="291">
        <v>0.84821880159332008</v>
      </c>
      <c r="H219" s="292">
        <v>0.89458933767680016</v>
      </c>
      <c r="I219" s="237"/>
    </row>
    <row r="220" spans="1:9" x14ac:dyDescent="0.2">
      <c r="A220" s="273">
        <v>9</v>
      </c>
      <c r="B220" s="287">
        <v>0.46040651605799998</v>
      </c>
      <c r="C220" s="288">
        <v>0.59637757264699998</v>
      </c>
      <c r="D220" s="288">
        <v>0.71882494918500006</v>
      </c>
      <c r="E220" s="288">
        <v>0.75979173551300005</v>
      </c>
      <c r="F220" s="288">
        <v>0.80203434684100006</v>
      </c>
      <c r="G220" s="288">
        <v>0.84603861378200007</v>
      </c>
      <c r="H220" s="289">
        <v>0.89299751104600011</v>
      </c>
      <c r="I220" s="237"/>
    </row>
    <row r="221" spans="1:9" x14ac:dyDescent="0.2">
      <c r="A221" s="273">
        <v>9.1</v>
      </c>
      <c r="B221" s="277">
        <v>0.45648942217847999</v>
      </c>
      <c r="C221" s="278">
        <v>0.59237266617135997</v>
      </c>
      <c r="D221" s="278">
        <v>0.71542379434476011</v>
      </c>
      <c r="E221" s="278">
        <v>0.75671346233500003</v>
      </c>
      <c r="F221" s="278">
        <v>0.79936009020776</v>
      </c>
      <c r="G221" s="278">
        <v>0.84384997244172011</v>
      </c>
      <c r="H221" s="279">
        <v>0.89139781834040011</v>
      </c>
      <c r="I221" s="237"/>
    </row>
    <row r="222" spans="1:9" x14ac:dyDescent="0.2">
      <c r="A222" s="273">
        <v>9.1999999999999993</v>
      </c>
      <c r="B222" s="277">
        <v>0.45262723929511994</v>
      </c>
      <c r="C222" s="278">
        <v>0.58838640853883994</v>
      </c>
      <c r="D222" s="278">
        <v>0.71202172666484009</v>
      </c>
      <c r="E222" s="278">
        <v>0.75363019000300002</v>
      </c>
      <c r="F222" s="278">
        <v>0.79667839579403998</v>
      </c>
      <c r="G222" s="278">
        <v>0.84165287757248008</v>
      </c>
      <c r="H222" s="279">
        <v>0.88979025956000013</v>
      </c>
      <c r="I222" s="237"/>
    </row>
    <row r="223" spans="1:9" x14ac:dyDescent="0.2">
      <c r="A223" s="273">
        <v>9.3000000000000007</v>
      </c>
      <c r="B223" s="277">
        <v>0.44881996740791996</v>
      </c>
      <c r="C223" s="278">
        <v>0.58441879974943989</v>
      </c>
      <c r="D223" s="278">
        <v>0.70861874614524001</v>
      </c>
      <c r="E223" s="278">
        <v>0.75054191851700003</v>
      </c>
      <c r="F223" s="278">
        <v>0.79398926359984001</v>
      </c>
      <c r="G223" s="278">
        <v>0.83944732917428011</v>
      </c>
      <c r="H223" s="279">
        <v>0.88817483470480008</v>
      </c>
      <c r="I223" s="237"/>
    </row>
    <row r="224" spans="1:9" x14ac:dyDescent="0.2">
      <c r="A224" s="273">
        <v>9.4</v>
      </c>
      <c r="B224" s="281">
        <v>0.44506760651687993</v>
      </c>
      <c r="C224" s="282">
        <v>0.58046983980316003</v>
      </c>
      <c r="D224" s="282">
        <v>0.70521485278596008</v>
      </c>
      <c r="E224" s="282">
        <v>0.74744864787700005</v>
      </c>
      <c r="F224" s="282">
        <v>0.79129269362515997</v>
      </c>
      <c r="G224" s="282">
        <v>0.83723332724712007</v>
      </c>
      <c r="H224" s="283">
        <v>0.88655154377480005</v>
      </c>
      <c r="I224" s="237"/>
    </row>
    <row r="225" spans="1:12" x14ac:dyDescent="0.2">
      <c r="A225" s="273">
        <v>9.5</v>
      </c>
      <c r="B225" s="284">
        <v>0.44137015662199997</v>
      </c>
      <c r="C225" s="285">
        <v>0.57653952869999991</v>
      </c>
      <c r="D225" s="285">
        <v>0.70181004658700008</v>
      </c>
      <c r="E225" s="285">
        <v>0.74435037808300009</v>
      </c>
      <c r="F225" s="285">
        <v>0.78858868586999997</v>
      </c>
      <c r="G225" s="285">
        <v>0.83501087179100009</v>
      </c>
      <c r="H225" s="286">
        <v>0.88492038677000007</v>
      </c>
      <c r="I225" s="237"/>
    </row>
    <row r="226" spans="1:12" x14ac:dyDescent="0.2">
      <c r="A226" s="273">
        <v>9.6</v>
      </c>
      <c r="B226" s="277">
        <v>0.43772761772327995</v>
      </c>
      <c r="C226" s="278">
        <v>0.57262786643996</v>
      </c>
      <c r="D226" s="278">
        <v>0.69840432754836013</v>
      </c>
      <c r="E226" s="278">
        <v>0.74124710913500014</v>
      </c>
      <c r="F226" s="278">
        <v>0.78587724033436002</v>
      </c>
      <c r="G226" s="278">
        <v>0.83277996280592004</v>
      </c>
      <c r="H226" s="279">
        <v>0.88328136369040011</v>
      </c>
      <c r="I226" s="237"/>
    </row>
    <row r="227" spans="1:12" x14ac:dyDescent="0.2">
      <c r="A227" s="273">
        <v>9.6999999999999993</v>
      </c>
      <c r="B227" s="277">
        <v>0.43413998982071988</v>
      </c>
      <c r="C227" s="278">
        <v>0.56873485302304005</v>
      </c>
      <c r="D227" s="278">
        <v>0.69499769567004011</v>
      </c>
      <c r="E227" s="278">
        <v>0.73813884103300009</v>
      </c>
      <c r="F227" s="278">
        <v>0.78315835701823999</v>
      </c>
      <c r="G227" s="278">
        <v>0.83054060029188004</v>
      </c>
      <c r="H227" s="279">
        <v>0.88163447453600008</v>
      </c>
      <c r="I227" s="237"/>
    </row>
    <row r="228" spans="1:12" x14ac:dyDescent="0.2">
      <c r="A228" s="273">
        <v>9.8000000000000007</v>
      </c>
      <c r="B228" s="277">
        <v>0.43060727291431999</v>
      </c>
      <c r="C228" s="278">
        <v>0.56486048844923997</v>
      </c>
      <c r="D228" s="278">
        <v>0.69159015095204013</v>
      </c>
      <c r="E228" s="278">
        <v>0.73502557377699995</v>
      </c>
      <c r="F228" s="278">
        <v>0.7804320359216399</v>
      </c>
      <c r="G228" s="278">
        <v>0.82829278424888009</v>
      </c>
      <c r="H228" s="279">
        <v>0.87997971930680008</v>
      </c>
      <c r="I228" s="237"/>
    </row>
    <row r="229" spans="1:12" x14ac:dyDescent="0.2">
      <c r="A229" s="273">
        <v>9.9</v>
      </c>
      <c r="B229" s="290">
        <v>0.42712946700407994</v>
      </c>
      <c r="C229" s="291">
        <v>0.56100477271855997</v>
      </c>
      <c r="D229" s="291">
        <v>0.68818169339436008</v>
      </c>
      <c r="E229" s="291">
        <v>0.73190730736699994</v>
      </c>
      <c r="F229" s="291">
        <v>0.77769827704455996</v>
      </c>
      <c r="G229" s="291">
        <v>0.82603651467692008</v>
      </c>
      <c r="H229" s="292">
        <v>0.87831709800280011</v>
      </c>
      <c r="I229" s="237"/>
    </row>
    <row r="230" spans="1:12" ht="13.5" thickBot="1" x14ac:dyDescent="0.25">
      <c r="A230" s="317">
        <v>10</v>
      </c>
      <c r="B230" s="294">
        <v>0.42370657208999996</v>
      </c>
      <c r="C230" s="295">
        <v>0.55716770583100006</v>
      </c>
      <c r="D230" s="295">
        <v>0.68477232299700008</v>
      </c>
      <c r="E230" s="295">
        <v>0.72878404180300005</v>
      </c>
      <c r="F230" s="295">
        <v>0.77495708038699995</v>
      </c>
      <c r="G230" s="295">
        <v>0.82377179157600011</v>
      </c>
      <c r="H230" s="296">
        <v>0.87664661062400007</v>
      </c>
      <c r="I230" s="237"/>
    </row>
    <row r="231" spans="1:12" ht="14.25" thickTop="1" thickBot="1" x14ac:dyDescent="0.25">
      <c r="A231" s="317">
        <v>10.000999999999999</v>
      </c>
      <c r="B231" s="294">
        <v>0.42370657208999996</v>
      </c>
      <c r="C231" s="295">
        <v>0.55716770583100006</v>
      </c>
      <c r="D231" s="295">
        <v>0.68477232299700008</v>
      </c>
      <c r="E231" s="295">
        <v>0.72878404180300005</v>
      </c>
      <c r="F231" s="295">
        <v>0.77495708038699995</v>
      </c>
      <c r="G231" s="295">
        <v>0.82377179157600011</v>
      </c>
      <c r="H231" s="296">
        <v>0.87664661062400007</v>
      </c>
      <c r="I231" s="237"/>
    </row>
    <row r="232" spans="1:12" ht="14.25" thickTop="1" thickBot="1" x14ac:dyDescent="0.25">
      <c r="A232" s="318"/>
      <c r="B232" s="247"/>
      <c r="C232" s="247"/>
      <c r="D232" s="247"/>
      <c r="E232" s="247"/>
      <c r="F232" s="247"/>
      <c r="G232" s="247"/>
      <c r="H232" s="247"/>
      <c r="I232" s="248"/>
    </row>
    <row r="233" spans="1:12" ht="14.25" thickTop="1" thickBot="1" x14ac:dyDescent="0.25"/>
    <row r="234" spans="1:12" ht="21.75" thickTop="1" thickBot="1" x14ac:dyDescent="0.25">
      <c r="A234" s="693" t="s">
        <v>143</v>
      </c>
      <c r="B234" s="694"/>
      <c r="C234" s="694"/>
      <c r="D234" s="694"/>
      <c r="E234" s="260"/>
      <c r="F234" s="260"/>
      <c r="G234" s="260"/>
      <c r="H234" s="260"/>
      <c r="I234" s="260"/>
      <c r="J234" s="260"/>
      <c r="K234" s="260"/>
      <c r="L234" s="261"/>
    </row>
    <row r="235" spans="1:12" ht="26.25" thickBot="1" x14ac:dyDescent="0.25">
      <c r="A235" s="345" t="s">
        <v>98</v>
      </c>
      <c r="B235" s="320" t="s">
        <v>99</v>
      </c>
      <c r="C235" s="298"/>
      <c r="D235" s="298"/>
      <c r="E235" s="231"/>
      <c r="F235" s="231"/>
      <c r="G235" s="231"/>
      <c r="H235" s="231"/>
      <c r="I235" s="231"/>
      <c r="J235" s="231"/>
      <c r="K235" s="231"/>
      <c r="L235" s="237"/>
    </row>
    <row r="236" spans="1:12" ht="16.5" thickTop="1" x14ac:dyDescent="0.25">
      <c r="A236" s="303">
        <v>4</v>
      </c>
      <c r="B236" s="321">
        <v>0.97219509915315594</v>
      </c>
      <c r="C236" s="298"/>
      <c r="D236" s="322" t="s">
        <v>100</v>
      </c>
      <c r="E236" s="231"/>
      <c r="F236" s="231"/>
      <c r="G236" s="231"/>
      <c r="H236" s="231"/>
      <c r="I236" s="231"/>
      <c r="J236" s="231"/>
      <c r="K236" s="231"/>
      <c r="L236" s="237"/>
    </row>
    <row r="237" spans="1:12" x14ac:dyDescent="0.2">
      <c r="A237" s="306">
        <v>5</v>
      </c>
      <c r="B237" s="323">
        <v>0.97852186926765217</v>
      </c>
      <c r="C237" s="298"/>
      <c r="D237" s="298"/>
      <c r="E237" s="231"/>
      <c r="F237" s="231"/>
      <c r="G237" s="231"/>
      <c r="H237" s="231"/>
      <c r="I237" s="231"/>
      <c r="J237" s="231"/>
      <c r="K237" s="231"/>
      <c r="L237" s="237"/>
    </row>
    <row r="238" spans="1:12" x14ac:dyDescent="0.2">
      <c r="A238" s="303">
        <v>6</v>
      </c>
      <c r="B238" s="321">
        <v>0.98398216333717115</v>
      </c>
      <c r="C238" s="298"/>
      <c r="D238" s="298"/>
      <c r="E238" s="231"/>
      <c r="F238" s="231"/>
      <c r="G238" s="231"/>
      <c r="H238" s="231"/>
      <c r="I238" s="231"/>
      <c r="J238" s="231"/>
      <c r="K238" s="231"/>
      <c r="L238" s="237"/>
    </row>
    <row r="239" spans="1:12" x14ac:dyDescent="0.2">
      <c r="A239" s="303">
        <v>7</v>
      </c>
      <c r="B239" s="321">
        <v>0.98874018611082837</v>
      </c>
      <c r="C239" s="298"/>
      <c r="D239" s="298"/>
      <c r="E239" s="231"/>
      <c r="F239" s="231"/>
      <c r="G239" s="231"/>
      <c r="H239" s="231"/>
      <c r="I239" s="231"/>
      <c r="J239" s="231"/>
      <c r="K239" s="231"/>
      <c r="L239" s="237"/>
    </row>
    <row r="240" spans="1:12" x14ac:dyDescent="0.2">
      <c r="A240" s="303">
        <v>8</v>
      </c>
      <c r="B240" s="321">
        <v>0.99291188526001639</v>
      </c>
      <c r="C240" s="298"/>
      <c r="D240" s="298"/>
      <c r="E240" s="231"/>
      <c r="F240" s="231"/>
      <c r="G240" s="231"/>
      <c r="H240" s="231"/>
      <c r="I240" s="231"/>
      <c r="J240" s="231"/>
      <c r="K240" s="231"/>
      <c r="L240" s="237"/>
    </row>
    <row r="241" spans="1:12" x14ac:dyDescent="0.2">
      <c r="A241" s="303">
        <v>9</v>
      </c>
      <c r="B241" s="321">
        <v>0.99663895875988417</v>
      </c>
      <c r="C241" s="298"/>
      <c r="D241" s="298"/>
      <c r="E241" s="231"/>
      <c r="F241" s="231"/>
      <c r="G241" s="231"/>
      <c r="H241" s="231"/>
      <c r="I241" s="231"/>
      <c r="J241" s="231"/>
      <c r="K241" s="231"/>
      <c r="L241" s="237"/>
    </row>
    <row r="242" spans="1:12" x14ac:dyDescent="0.2">
      <c r="A242" s="306">
        <v>10</v>
      </c>
      <c r="B242" s="323">
        <v>0.99999317620204053</v>
      </c>
      <c r="C242" s="298"/>
      <c r="D242" s="298"/>
      <c r="E242" s="231"/>
      <c r="F242" s="231"/>
      <c r="G242" s="231"/>
      <c r="H242" s="231"/>
      <c r="I242" s="231"/>
      <c r="J242" s="231"/>
      <c r="K242" s="231"/>
      <c r="L242" s="237"/>
    </row>
    <row r="243" spans="1:12" x14ac:dyDescent="0.2">
      <c r="A243" s="303">
        <v>11</v>
      </c>
      <c r="B243" s="321">
        <v>1.0030219457519551</v>
      </c>
      <c r="C243" s="298"/>
      <c r="D243" s="298"/>
      <c r="E243" s="231"/>
      <c r="F243" s="231"/>
      <c r="G243" s="231"/>
      <c r="H243" s="231"/>
      <c r="I243" s="231"/>
      <c r="J243" s="231"/>
      <c r="K243" s="231"/>
      <c r="L243" s="237"/>
    </row>
    <row r="244" spans="1:12" x14ac:dyDescent="0.2">
      <c r="A244" s="303">
        <v>12</v>
      </c>
      <c r="B244" s="321">
        <v>1.005770972831258</v>
      </c>
      <c r="C244" s="298"/>
      <c r="D244" s="298"/>
      <c r="E244" s="231"/>
      <c r="F244" s="231"/>
      <c r="G244" s="231"/>
      <c r="H244" s="231"/>
      <c r="I244" s="231"/>
      <c r="J244" s="231"/>
      <c r="K244" s="231"/>
      <c r="L244" s="237"/>
    </row>
    <row r="245" spans="1:12" x14ac:dyDescent="0.2">
      <c r="A245" s="303">
        <v>13</v>
      </c>
      <c r="B245" s="321">
        <v>1.0082915220145801</v>
      </c>
      <c r="C245" s="298"/>
      <c r="D245" s="298"/>
      <c r="E245" s="231"/>
      <c r="F245" s="231"/>
      <c r="G245" s="231"/>
      <c r="H245" s="231"/>
      <c r="I245" s="231"/>
      <c r="J245" s="231"/>
      <c r="K245" s="231"/>
      <c r="L245" s="237"/>
    </row>
    <row r="246" spans="1:12" x14ac:dyDescent="0.2">
      <c r="A246" s="303">
        <v>14</v>
      </c>
      <c r="B246" s="321">
        <v>1.0106117116576132</v>
      </c>
      <c r="C246" s="298"/>
      <c r="D246" s="298"/>
      <c r="E246" s="231"/>
      <c r="F246" s="231"/>
      <c r="G246" s="231"/>
      <c r="H246" s="231"/>
      <c r="I246" s="231"/>
      <c r="J246" s="231"/>
      <c r="K246" s="231"/>
      <c r="L246" s="237"/>
    </row>
    <row r="247" spans="1:12" x14ac:dyDescent="0.2">
      <c r="A247" s="306">
        <v>15</v>
      </c>
      <c r="B247" s="323">
        <v>1.0127472144493319</v>
      </c>
      <c r="C247" s="298"/>
      <c r="D247" s="298"/>
      <c r="E247" s="231"/>
      <c r="F247" s="231"/>
      <c r="G247" s="231"/>
      <c r="H247" s="231"/>
      <c r="I247" s="231"/>
      <c r="J247" s="231"/>
      <c r="K247" s="231"/>
      <c r="L247" s="237"/>
    </row>
    <row r="248" spans="1:12" x14ac:dyDescent="0.2">
      <c r="A248" s="303">
        <v>16</v>
      </c>
      <c r="B248" s="321">
        <v>1.0147231846034606</v>
      </c>
      <c r="C248" s="298"/>
      <c r="D248" s="298"/>
      <c r="E248" s="231"/>
      <c r="F248" s="231"/>
      <c r="G248" s="231"/>
      <c r="H248" s="231"/>
      <c r="I248" s="231"/>
      <c r="J248" s="231"/>
      <c r="K248" s="231"/>
      <c r="L248" s="237"/>
    </row>
    <row r="249" spans="1:12" x14ac:dyDescent="0.2">
      <c r="A249" s="303">
        <v>17</v>
      </c>
      <c r="B249" s="321">
        <v>1.0165620192124696</v>
      </c>
      <c r="C249" s="298"/>
      <c r="D249" s="298"/>
      <c r="E249" s="231"/>
      <c r="F249" s="231"/>
      <c r="G249" s="231"/>
      <c r="H249" s="231"/>
      <c r="I249" s="231"/>
      <c r="J249" s="231"/>
      <c r="K249" s="231"/>
      <c r="L249" s="237"/>
    </row>
    <row r="250" spans="1:12" x14ac:dyDescent="0.2">
      <c r="A250" s="303">
        <v>18</v>
      </c>
      <c r="B250" s="321">
        <v>1.0182774081603918</v>
      </c>
      <c r="C250" s="298"/>
      <c r="D250" s="298"/>
      <c r="E250" s="231"/>
      <c r="F250" s="231"/>
      <c r="G250" s="231"/>
      <c r="H250" s="231"/>
      <c r="I250" s="231"/>
      <c r="J250" s="231"/>
      <c r="K250" s="231"/>
      <c r="L250" s="237"/>
    </row>
    <row r="251" spans="1:12" x14ac:dyDescent="0.2">
      <c r="A251" s="303">
        <v>19</v>
      </c>
      <c r="B251" s="321">
        <v>1.0198741613262179</v>
      </c>
      <c r="C251" s="298"/>
      <c r="D251" s="298"/>
      <c r="E251" s="231"/>
      <c r="F251" s="231"/>
      <c r="G251" s="231"/>
      <c r="H251" s="231"/>
      <c r="I251" s="231"/>
      <c r="J251" s="231"/>
      <c r="K251" s="231"/>
      <c r="L251" s="237"/>
    </row>
    <row r="252" spans="1:12" x14ac:dyDescent="0.2">
      <c r="A252" s="306">
        <v>20</v>
      </c>
      <c r="B252" s="323">
        <v>1.0213696161372745</v>
      </c>
      <c r="C252" s="298"/>
      <c r="D252" s="298"/>
      <c r="E252" s="231"/>
      <c r="F252" s="231"/>
      <c r="G252" s="231"/>
      <c r="H252" s="231"/>
      <c r="I252" s="231"/>
      <c r="J252" s="231"/>
      <c r="K252" s="231"/>
      <c r="L252" s="237"/>
    </row>
    <row r="253" spans="1:12" x14ac:dyDescent="0.2">
      <c r="A253" s="303">
        <v>21</v>
      </c>
      <c r="B253" s="321">
        <v>1.0227745153469625</v>
      </c>
      <c r="C253" s="298"/>
      <c r="D253" s="298"/>
      <c r="E253" s="231"/>
      <c r="F253" s="231"/>
      <c r="G253" s="231"/>
      <c r="H253" s="231"/>
      <c r="I253" s="231"/>
      <c r="J253" s="231"/>
      <c r="K253" s="231"/>
      <c r="L253" s="237"/>
    </row>
    <row r="254" spans="1:12" x14ac:dyDescent="0.2">
      <c r="A254" s="303">
        <v>22</v>
      </c>
      <c r="B254" s="321">
        <v>1.0240964913509301</v>
      </c>
      <c r="C254" s="298"/>
      <c r="D254" s="298"/>
      <c r="E254" s="231"/>
      <c r="F254" s="231"/>
      <c r="G254" s="231"/>
      <c r="H254" s="231"/>
      <c r="I254" s="231"/>
      <c r="J254" s="231"/>
      <c r="K254" s="231"/>
      <c r="L254" s="237"/>
    </row>
    <row r="255" spans="1:12" x14ac:dyDescent="0.2">
      <c r="A255" s="303">
        <v>23</v>
      </c>
      <c r="B255" s="321">
        <v>1.0253359721416582</v>
      </c>
      <c r="C255" s="298"/>
      <c r="D255" s="298"/>
      <c r="E255" s="231"/>
      <c r="F255" s="231"/>
      <c r="G255" s="231"/>
      <c r="H255" s="231"/>
      <c r="I255" s="231"/>
      <c r="J255" s="231"/>
      <c r="K255" s="231"/>
      <c r="L255" s="237"/>
    </row>
    <row r="256" spans="1:12" x14ac:dyDescent="0.2">
      <c r="A256" s="303">
        <v>24</v>
      </c>
      <c r="B256" s="321">
        <v>1.0265064882894495</v>
      </c>
      <c r="C256" s="298"/>
      <c r="D256" s="298"/>
      <c r="E256" s="231"/>
      <c r="F256" s="231"/>
      <c r="G256" s="231"/>
      <c r="H256" s="231"/>
      <c r="I256" s="231"/>
      <c r="J256" s="231"/>
      <c r="K256" s="231"/>
      <c r="L256" s="237"/>
    </row>
    <row r="257" spans="1:12" x14ac:dyDescent="0.2">
      <c r="A257" s="306">
        <v>25</v>
      </c>
      <c r="B257" s="323">
        <v>1.027613133440757</v>
      </c>
      <c r="C257" s="298"/>
      <c r="D257" s="298"/>
      <c r="E257" s="231"/>
      <c r="F257" s="231"/>
      <c r="G257" s="231"/>
      <c r="H257" s="231"/>
      <c r="I257" s="231"/>
      <c r="J257" s="231"/>
      <c r="K257" s="231"/>
      <c r="L257" s="237"/>
    </row>
    <row r="258" spans="1:12" x14ac:dyDescent="0.2">
      <c r="A258" s="303">
        <v>26</v>
      </c>
      <c r="B258" s="321">
        <v>1.0286596835601212</v>
      </c>
      <c r="C258" s="298"/>
      <c r="D258" s="298"/>
      <c r="E258" s="231"/>
      <c r="F258" s="231"/>
      <c r="G258" s="231"/>
      <c r="H258" s="231"/>
      <c r="I258" s="231"/>
      <c r="J258" s="231"/>
      <c r="K258" s="231"/>
      <c r="L258" s="237"/>
    </row>
    <row r="259" spans="1:12" x14ac:dyDescent="0.2">
      <c r="A259" s="303">
        <v>27</v>
      </c>
      <c r="B259" s="321">
        <v>1.029647797333276</v>
      </c>
      <c r="C259" s="298"/>
      <c r="D259" s="298"/>
      <c r="E259" s="231"/>
      <c r="F259" s="231"/>
      <c r="G259" s="231"/>
      <c r="H259" s="231"/>
      <c r="I259" s="231"/>
      <c r="J259" s="231"/>
      <c r="K259" s="231"/>
      <c r="L259" s="237"/>
    </row>
    <row r="260" spans="1:12" x14ac:dyDescent="0.2">
      <c r="A260" s="303">
        <v>28</v>
      </c>
      <c r="B260" s="321">
        <v>1.0305853656633377</v>
      </c>
      <c r="C260" s="298"/>
      <c r="D260" s="298"/>
      <c r="E260" s="231"/>
      <c r="F260" s="231"/>
      <c r="G260" s="231"/>
      <c r="H260" s="231"/>
      <c r="I260" s="231"/>
      <c r="J260" s="231"/>
      <c r="K260" s="231"/>
      <c r="L260" s="237"/>
    </row>
    <row r="261" spans="1:12" x14ac:dyDescent="0.2">
      <c r="A261" s="303">
        <v>29</v>
      </c>
      <c r="B261" s="321">
        <v>1.0314758021641564</v>
      </c>
      <c r="C261" s="298"/>
      <c r="D261" s="298"/>
      <c r="E261" s="231"/>
      <c r="F261" s="231"/>
      <c r="G261" s="231"/>
      <c r="H261" s="231"/>
      <c r="I261" s="231"/>
      <c r="J261" s="231"/>
      <c r="K261" s="231"/>
      <c r="L261" s="237"/>
    </row>
    <row r="262" spans="1:12" x14ac:dyDescent="0.2">
      <c r="A262" s="306">
        <v>30</v>
      </c>
      <c r="B262" s="323">
        <v>1.0323208022528201</v>
      </c>
      <c r="C262" s="298"/>
      <c r="D262" s="298"/>
      <c r="E262" s="231"/>
      <c r="F262" s="231"/>
      <c r="G262" s="231"/>
      <c r="H262" s="231"/>
      <c r="I262" s="231"/>
      <c r="J262" s="231"/>
      <c r="K262" s="231"/>
      <c r="L262" s="237"/>
    </row>
    <row r="263" spans="1:12" x14ac:dyDescent="0.2">
      <c r="A263" s="303">
        <v>31</v>
      </c>
      <c r="B263" s="321">
        <v>1.0331225656421024</v>
      </c>
      <c r="C263" s="298"/>
      <c r="D263" s="298"/>
      <c r="E263" s="231"/>
      <c r="F263" s="231"/>
      <c r="G263" s="231"/>
      <c r="H263" s="231"/>
      <c r="I263" s="231"/>
      <c r="J263" s="231"/>
      <c r="K263" s="231"/>
      <c r="L263" s="237"/>
    </row>
    <row r="264" spans="1:12" x14ac:dyDescent="0.2">
      <c r="A264" s="303">
        <v>32</v>
      </c>
      <c r="B264" s="321">
        <v>1.0338860827834513</v>
      </c>
      <c r="C264" s="298"/>
      <c r="D264" s="298"/>
      <c r="E264" s="231"/>
      <c r="F264" s="231"/>
      <c r="G264" s="231"/>
      <c r="H264" s="231"/>
      <c r="I264" s="231"/>
      <c r="J264" s="231"/>
      <c r="K264" s="231"/>
      <c r="L264" s="237"/>
    </row>
    <row r="265" spans="1:12" x14ac:dyDescent="0.2">
      <c r="A265" s="303">
        <v>33</v>
      </c>
      <c r="B265" s="321">
        <v>1.0346135542543713</v>
      </c>
      <c r="C265" s="298"/>
      <c r="D265" s="298"/>
      <c r="E265" s="231"/>
      <c r="F265" s="231"/>
      <c r="G265" s="231"/>
      <c r="H265" s="231"/>
      <c r="I265" s="231"/>
      <c r="J265" s="231"/>
      <c r="K265" s="231"/>
      <c r="L265" s="237"/>
    </row>
    <row r="266" spans="1:12" x14ac:dyDescent="0.2">
      <c r="A266" s="303">
        <v>34</v>
      </c>
      <c r="B266" s="321">
        <v>1.0353054884406778</v>
      </c>
      <c r="C266" s="298"/>
      <c r="D266" s="298"/>
      <c r="E266" s="231"/>
      <c r="F266" s="231"/>
      <c r="G266" s="231"/>
      <c r="H266" s="231"/>
      <c r="I266" s="231"/>
      <c r="J266" s="231"/>
      <c r="K266" s="231"/>
      <c r="L266" s="237"/>
    </row>
    <row r="267" spans="1:12" x14ac:dyDescent="0.2">
      <c r="A267" s="306">
        <v>35</v>
      </c>
      <c r="B267" s="323">
        <v>1.0359645602017971</v>
      </c>
      <c r="C267" s="298"/>
      <c r="D267" s="298"/>
      <c r="E267" s="231"/>
      <c r="F267" s="231"/>
      <c r="G267" s="231"/>
      <c r="H267" s="231"/>
      <c r="I267" s="231"/>
      <c r="J267" s="231"/>
      <c r="K267" s="231"/>
      <c r="L267" s="237"/>
    </row>
    <row r="268" spans="1:12" x14ac:dyDescent="0.2">
      <c r="A268" s="303">
        <v>36</v>
      </c>
      <c r="B268" s="321">
        <v>1.0365938212692376</v>
      </c>
      <c r="C268" s="298"/>
      <c r="D268" s="298"/>
      <c r="E268" s="231"/>
      <c r="F268" s="231"/>
      <c r="G268" s="231"/>
      <c r="H268" s="231"/>
      <c r="I268" s="231"/>
      <c r="J268" s="231"/>
      <c r="K268" s="231"/>
      <c r="L268" s="237"/>
    </row>
    <row r="269" spans="1:12" x14ac:dyDescent="0.2">
      <c r="A269" s="303">
        <v>37</v>
      </c>
      <c r="B269" s="321">
        <v>1.0371946415944511</v>
      </c>
      <c r="C269" s="298"/>
      <c r="D269" s="298"/>
      <c r="E269" s="231"/>
      <c r="F269" s="231"/>
      <c r="G269" s="231"/>
      <c r="H269" s="231"/>
      <c r="I269" s="231"/>
      <c r="J269" s="231"/>
      <c r="K269" s="231"/>
      <c r="L269" s="237"/>
    </row>
    <row r="270" spans="1:12" x14ac:dyDescent="0.2">
      <c r="A270" s="303">
        <v>38</v>
      </c>
      <c r="B270" s="321">
        <v>1.0377669982211395</v>
      </c>
      <c r="C270" s="298"/>
      <c r="D270" s="298"/>
      <c r="E270" s="231"/>
      <c r="F270" s="231"/>
      <c r="G270" s="231"/>
      <c r="H270" s="231"/>
      <c r="I270" s="231"/>
      <c r="J270" s="231"/>
      <c r="K270" s="231"/>
      <c r="L270" s="237"/>
    </row>
    <row r="271" spans="1:12" x14ac:dyDescent="0.2">
      <c r="A271" s="303">
        <v>39</v>
      </c>
      <c r="B271" s="321">
        <v>1.0383138104835565</v>
      </c>
      <c r="C271" s="298"/>
      <c r="D271" s="298"/>
      <c r="E271" s="231"/>
      <c r="F271" s="231"/>
      <c r="G271" s="231"/>
      <c r="H271" s="231"/>
      <c r="I271" s="231"/>
      <c r="J271" s="231"/>
      <c r="K271" s="231"/>
      <c r="L271" s="237"/>
    </row>
    <row r="272" spans="1:12" x14ac:dyDescent="0.2">
      <c r="A272" s="324">
        <v>40</v>
      </c>
      <c r="B272" s="325">
        <v>1.0388366303787386</v>
      </c>
      <c r="C272" s="298"/>
      <c r="D272" s="298"/>
      <c r="E272" s="231"/>
      <c r="F272" s="231"/>
      <c r="G272" s="231"/>
      <c r="H272" s="231"/>
      <c r="I272" s="231"/>
      <c r="J272" s="231"/>
      <c r="K272" s="231"/>
      <c r="L272" s="237"/>
    </row>
    <row r="273" spans="1:12" x14ac:dyDescent="0.2">
      <c r="A273" s="324">
        <v>41</v>
      </c>
      <c r="B273" s="325">
        <v>1.0393369216232435</v>
      </c>
      <c r="C273" s="298"/>
      <c r="D273" s="298"/>
      <c r="E273" s="231"/>
      <c r="F273" s="231"/>
      <c r="G273" s="231"/>
      <c r="H273" s="231"/>
      <c r="I273" s="231"/>
      <c r="J273" s="231"/>
      <c r="K273" s="231"/>
      <c r="L273" s="237"/>
    </row>
    <row r="274" spans="1:12" x14ac:dyDescent="0.2">
      <c r="A274" s="324">
        <v>42</v>
      </c>
      <c r="B274" s="325">
        <v>1.0398137456205867</v>
      </c>
      <c r="C274" s="298"/>
      <c r="D274" s="298"/>
      <c r="E274" s="231"/>
      <c r="F274" s="231"/>
      <c r="G274" s="231"/>
      <c r="H274" s="231"/>
      <c r="I274" s="231"/>
      <c r="J274" s="231"/>
      <c r="K274" s="231"/>
      <c r="L274" s="237"/>
    </row>
    <row r="275" spans="1:12" x14ac:dyDescent="0.2">
      <c r="A275" s="324">
        <v>43</v>
      </c>
      <c r="B275" s="325">
        <v>1.040270242206903</v>
      </c>
      <c r="C275" s="298"/>
      <c r="D275" s="298"/>
      <c r="E275" s="231"/>
      <c r="F275" s="231"/>
      <c r="G275" s="231"/>
      <c r="H275" s="231"/>
      <c r="I275" s="231"/>
      <c r="J275" s="231"/>
      <c r="K275" s="231"/>
      <c r="L275" s="237"/>
    </row>
    <row r="276" spans="1:12" x14ac:dyDescent="0.2">
      <c r="A276" s="324">
        <v>44</v>
      </c>
      <c r="B276" s="325">
        <v>1.0407073448645285</v>
      </c>
      <c r="C276" s="298"/>
      <c r="D276" s="298"/>
      <c r="E276" s="231"/>
      <c r="F276" s="231"/>
      <c r="G276" s="231"/>
      <c r="H276" s="231"/>
      <c r="I276" s="231"/>
      <c r="J276" s="231"/>
      <c r="K276" s="231"/>
      <c r="L276" s="237"/>
    </row>
    <row r="277" spans="1:12" x14ac:dyDescent="0.2">
      <c r="A277" s="324">
        <v>45</v>
      </c>
      <c r="B277" s="325">
        <v>1.0411255245788198</v>
      </c>
      <c r="C277" s="298"/>
      <c r="D277" s="298"/>
      <c r="E277" s="231"/>
      <c r="F277" s="231"/>
      <c r="G277" s="231"/>
      <c r="H277" s="231"/>
      <c r="I277" s="231"/>
      <c r="J277" s="231"/>
      <c r="K277" s="231"/>
      <c r="L277" s="237"/>
    </row>
    <row r="278" spans="1:12" x14ac:dyDescent="0.2">
      <c r="A278" s="324">
        <v>46</v>
      </c>
      <c r="B278" s="325">
        <v>1.041524963479622</v>
      </c>
      <c r="C278" s="298"/>
      <c r="D278" s="298"/>
      <c r="E278" s="231"/>
      <c r="F278" s="231"/>
      <c r="G278" s="231"/>
      <c r="H278" s="231"/>
      <c r="I278" s="231"/>
      <c r="J278" s="231"/>
      <c r="K278" s="231"/>
      <c r="L278" s="237"/>
    </row>
    <row r="279" spans="1:12" x14ac:dyDescent="0.2">
      <c r="A279" s="324">
        <v>47</v>
      </c>
      <c r="B279" s="325">
        <v>1.0419076000737695</v>
      </c>
      <c r="C279" s="298"/>
      <c r="D279" s="298"/>
      <c r="E279" s="231"/>
      <c r="F279" s="231"/>
      <c r="G279" s="231"/>
      <c r="H279" s="231"/>
      <c r="I279" s="231"/>
      <c r="J279" s="231"/>
      <c r="K279" s="231"/>
      <c r="L279" s="237"/>
    </row>
    <row r="280" spans="1:12" x14ac:dyDescent="0.2">
      <c r="A280" s="324">
        <v>48</v>
      </c>
      <c r="B280" s="325">
        <v>1.0422742314749023</v>
      </c>
      <c r="C280" s="298"/>
      <c r="D280" s="298"/>
      <c r="E280" s="231"/>
      <c r="F280" s="231"/>
      <c r="G280" s="231"/>
      <c r="H280" s="231"/>
      <c r="I280" s="231"/>
      <c r="J280" s="231"/>
      <c r="K280" s="231"/>
      <c r="L280" s="237"/>
    </row>
    <row r="281" spans="1:12" x14ac:dyDescent="0.2">
      <c r="A281" s="324">
        <v>49</v>
      </c>
      <c r="B281" s="325">
        <v>1.0426249386255868</v>
      </c>
      <c r="C281" s="298"/>
      <c r="D281" s="298"/>
      <c r="E281" s="231"/>
      <c r="F281" s="231"/>
      <c r="G281" s="231"/>
      <c r="H281" s="231"/>
      <c r="I281" s="231"/>
      <c r="J281" s="231"/>
      <c r="K281" s="231"/>
      <c r="L281" s="237"/>
    </row>
    <row r="282" spans="1:12" x14ac:dyDescent="0.2">
      <c r="A282" s="324">
        <v>50</v>
      </c>
      <c r="B282" s="325">
        <v>1.0429603432697807</v>
      </c>
      <c r="C282" s="298"/>
      <c r="D282" s="298"/>
      <c r="E282" s="231"/>
      <c r="F282" s="231"/>
      <c r="G282" s="231"/>
      <c r="H282" s="231"/>
      <c r="I282" s="231"/>
      <c r="J282" s="231"/>
      <c r="K282" s="231"/>
      <c r="L282" s="237"/>
    </row>
    <row r="283" spans="1:12" x14ac:dyDescent="0.2">
      <c r="A283" s="324">
        <v>51</v>
      </c>
      <c r="B283" s="325">
        <v>1.0432817695046539</v>
      </c>
      <c r="C283" s="298"/>
      <c r="D283" s="298"/>
      <c r="E283" s="231"/>
      <c r="F283" s="231"/>
      <c r="G283" s="231"/>
      <c r="H283" s="231"/>
      <c r="I283" s="231"/>
      <c r="J283" s="231"/>
      <c r="K283" s="231"/>
      <c r="L283" s="237"/>
    </row>
    <row r="284" spans="1:12" x14ac:dyDescent="0.2">
      <c r="A284" s="324">
        <v>52</v>
      </c>
      <c r="B284" s="325">
        <v>1.0435897808037728</v>
      </c>
      <c r="C284" s="298"/>
      <c r="D284" s="298"/>
      <c r="E284" s="231"/>
      <c r="F284" s="231"/>
      <c r="G284" s="231"/>
      <c r="H284" s="231"/>
      <c r="I284" s="231"/>
      <c r="J284" s="231"/>
      <c r="K284" s="231"/>
      <c r="L284" s="237"/>
    </row>
    <row r="285" spans="1:12" x14ac:dyDescent="0.2">
      <c r="A285" s="324">
        <v>53</v>
      </c>
      <c r="B285" s="325">
        <v>1.0438842159434343</v>
      </c>
      <c r="C285" s="298"/>
      <c r="D285" s="298"/>
      <c r="E285" s="231"/>
      <c r="F285" s="231"/>
      <c r="G285" s="231"/>
      <c r="H285" s="231"/>
      <c r="I285" s="231"/>
      <c r="J285" s="231"/>
      <c r="K285" s="231"/>
      <c r="L285" s="237"/>
    </row>
    <row r="286" spans="1:12" x14ac:dyDescent="0.2">
      <c r="A286" s="324">
        <v>54</v>
      </c>
      <c r="B286" s="325">
        <v>1.0441658882734217</v>
      </c>
      <c r="C286" s="298"/>
      <c r="D286" s="298"/>
      <c r="E286" s="231"/>
      <c r="F286" s="231"/>
      <c r="G286" s="231"/>
      <c r="H286" s="231"/>
      <c r="I286" s="231"/>
      <c r="J286" s="231"/>
      <c r="K286" s="231"/>
      <c r="L286" s="237"/>
    </row>
    <row r="287" spans="1:12" x14ac:dyDescent="0.2">
      <c r="A287" s="324">
        <v>55</v>
      </c>
      <c r="B287" s="325">
        <v>1.0444358279359072</v>
      </c>
      <c r="C287" s="298"/>
      <c r="D287" s="298"/>
      <c r="E287" s="231"/>
      <c r="F287" s="231"/>
      <c r="G287" s="231"/>
      <c r="H287" s="231"/>
      <c r="I287" s="231"/>
      <c r="J287" s="231"/>
      <c r="K287" s="231"/>
      <c r="L287" s="237"/>
    </row>
    <row r="288" spans="1:12" x14ac:dyDescent="0.2">
      <c r="A288" s="324">
        <v>56</v>
      </c>
      <c r="B288" s="325">
        <v>1.0446943620868558</v>
      </c>
      <c r="C288" s="298"/>
      <c r="D288" s="298"/>
      <c r="E288" s="231"/>
      <c r="F288" s="231"/>
      <c r="G288" s="231"/>
      <c r="H288" s="231"/>
      <c r="I288" s="231"/>
      <c r="J288" s="231"/>
      <c r="K288" s="231"/>
      <c r="L288" s="237"/>
    </row>
    <row r="289" spans="1:40" x14ac:dyDescent="0.2">
      <c r="A289" s="324">
        <v>57</v>
      </c>
      <c r="B289" s="325">
        <v>1.0449413320915824</v>
      </c>
      <c r="C289" s="298"/>
      <c r="D289" s="298"/>
      <c r="E289" s="231"/>
      <c r="F289" s="231"/>
      <c r="G289" s="231"/>
      <c r="H289" s="231"/>
      <c r="I289" s="231"/>
      <c r="J289" s="231"/>
      <c r="K289" s="231"/>
      <c r="L289" s="237"/>
    </row>
    <row r="290" spans="1:40" x14ac:dyDescent="0.2">
      <c r="A290" s="324">
        <v>58</v>
      </c>
      <c r="B290" s="325">
        <v>1.0451776296771673</v>
      </c>
      <c r="C290" s="298"/>
      <c r="D290" s="298"/>
      <c r="E290" s="231"/>
      <c r="F290" s="231"/>
      <c r="G290" s="231"/>
      <c r="H290" s="231"/>
      <c r="I290" s="231"/>
      <c r="J290" s="231"/>
      <c r="K290" s="231"/>
      <c r="L290" s="237"/>
    </row>
    <row r="291" spans="1:40" ht="13.5" thickBot="1" x14ac:dyDescent="0.25">
      <c r="A291" s="326">
        <v>59</v>
      </c>
      <c r="B291" s="327">
        <v>1.0454037762988517</v>
      </c>
      <c r="C291" s="298"/>
      <c r="D291" s="298"/>
      <c r="E291" s="231"/>
      <c r="F291" s="231"/>
      <c r="G291" s="231"/>
      <c r="H291" s="231"/>
      <c r="I291" s="231"/>
      <c r="J291" s="231"/>
      <c r="K291" s="231"/>
      <c r="L291" s="237"/>
    </row>
    <row r="292" spans="1:40" ht="13.5" thickBot="1" x14ac:dyDescent="0.25">
      <c r="A292" s="326">
        <v>59.000999999999998</v>
      </c>
      <c r="B292" s="327">
        <v>1.0454037762988517</v>
      </c>
      <c r="C292" s="298"/>
      <c r="D292" s="298"/>
      <c r="E292" s="231"/>
      <c r="F292" s="231"/>
      <c r="G292" s="231"/>
      <c r="H292" s="231"/>
      <c r="I292" s="231"/>
      <c r="J292" s="231"/>
      <c r="K292" s="231"/>
      <c r="L292" s="237"/>
    </row>
    <row r="293" spans="1:40" ht="13.5" thickBot="1" x14ac:dyDescent="0.25">
      <c r="A293" s="312"/>
      <c r="B293" s="313"/>
      <c r="C293" s="313"/>
      <c r="D293" s="313"/>
      <c r="E293" s="247"/>
      <c r="F293" s="247"/>
      <c r="G293" s="247"/>
      <c r="H293" s="247"/>
      <c r="I293" s="247"/>
      <c r="J293" s="247"/>
      <c r="K293" s="247"/>
      <c r="L293" s="248"/>
    </row>
    <row r="294" spans="1:40" ht="14.25" thickTop="1" thickBot="1" x14ac:dyDescent="0.25"/>
    <row r="295" spans="1:40" ht="21" thickTop="1" x14ac:dyDescent="0.2">
      <c r="A295" s="693" t="s">
        <v>91</v>
      </c>
      <c r="B295" s="694"/>
      <c r="C295" s="694"/>
      <c r="D295" s="694"/>
      <c r="E295" s="260"/>
      <c r="F295" s="260"/>
      <c r="G295" s="260"/>
      <c r="H295" s="260"/>
      <c r="I295" s="260"/>
      <c r="J295" s="260"/>
      <c r="K295" s="260"/>
      <c r="L295" s="260"/>
      <c r="M295" s="260"/>
      <c r="N295" s="260"/>
      <c r="O295" s="260"/>
      <c r="P295" s="260"/>
      <c r="Q295" s="260"/>
      <c r="R295" s="260"/>
      <c r="S295" s="260"/>
      <c r="T295" s="260"/>
      <c r="U295" s="260"/>
      <c r="V295" s="260"/>
      <c r="W295" s="260"/>
      <c r="X295" s="260"/>
      <c r="Y295" s="260"/>
      <c r="Z295" s="260"/>
      <c r="AA295" s="260"/>
      <c r="AB295" s="260"/>
      <c r="AC295" s="260"/>
      <c r="AD295" s="260"/>
      <c r="AE295" s="260"/>
      <c r="AF295" s="260"/>
      <c r="AG295" s="260"/>
      <c r="AH295" s="260"/>
      <c r="AI295" s="260"/>
      <c r="AJ295" s="260"/>
      <c r="AK295" s="260"/>
      <c r="AL295" s="260"/>
      <c r="AM295" s="260"/>
      <c r="AN295" s="261"/>
    </row>
    <row r="296" spans="1:40" ht="13.5" thickBot="1" x14ac:dyDescent="0.25">
      <c r="A296" s="297"/>
      <c r="B296" s="696" t="s">
        <v>28</v>
      </c>
      <c r="C296" s="697"/>
      <c r="D296" s="697"/>
      <c r="E296" s="697"/>
      <c r="F296" s="697"/>
      <c r="G296" s="697"/>
      <c r="H296" s="697"/>
      <c r="I296" s="697"/>
      <c r="J296" s="697"/>
      <c r="K296" s="298"/>
      <c r="L296" s="298"/>
      <c r="M296" s="298"/>
      <c r="N296" s="298"/>
      <c r="O296" s="298"/>
      <c r="P296" s="298"/>
      <c r="Q296" s="298"/>
      <c r="R296" s="298"/>
      <c r="S296" s="298"/>
      <c r="T296" s="298"/>
      <c r="U296" s="298"/>
      <c r="V296" s="298"/>
      <c r="W296" s="298"/>
      <c r="X296" s="298"/>
      <c r="Y296" s="298"/>
      <c r="Z296" s="298"/>
      <c r="AA296" s="298"/>
      <c r="AB296" s="298"/>
      <c r="AC296" s="298"/>
      <c r="AD296" s="298"/>
      <c r="AE296" s="298"/>
      <c r="AF296" s="298"/>
      <c r="AG296" s="298"/>
      <c r="AH296" s="298"/>
      <c r="AI296" s="298"/>
      <c r="AJ296" s="298"/>
      <c r="AK296" s="298"/>
      <c r="AL296" s="298"/>
      <c r="AM296" s="298"/>
      <c r="AN296" s="299"/>
    </row>
    <row r="297" spans="1:40" ht="14.25" thickTop="1" thickBot="1" x14ac:dyDescent="0.25">
      <c r="A297" s="300" t="s">
        <v>29</v>
      </c>
      <c r="B297" s="301">
        <v>4</v>
      </c>
      <c r="C297" s="301">
        <v>5</v>
      </c>
      <c r="D297" s="301">
        <v>6</v>
      </c>
      <c r="E297" s="301">
        <v>7</v>
      </c>
      <c r="F297" s="301">
        <v>8</v>
      </c>
      <c r="G297" s="301">
        <v>9</v>
      </c>
      <c r="H297" s="301">
        <v>10</v>
      </c>
      <c r="I297" s="301">
        <v>11</v>
      </c>
      <c r="J297" s="302">
        <v>12</v>
      </c>
      <c r="K297" s="301">
        <v>13</v>
      </c>
      <c r="L297" s="301">
        <v>14</v>
      </c>
      <c r="M297" s="301">
        <v>15</v>
      </c>
      <c r="N297" s="301">
        <v>16</v>
      </c>
      <c r="O297" s="301">
        <v>17</v>
      </c>
      <c r="P297" s="301">
        <v>18</v>
      </c>
      <c r="Q297" s="301">
        <v>19</v>
      </c>
      <c r="R297" s="301">
        <v>20</v>
      </c>
      <c r="S297" s="302">
        <v>21</v>
      </c>
      <c r="T297" s="301">
        <v>22</v>
      </c>
      <c r="U297" s="301">
        <v>23</v>
      </c>
      <c r="V297" s="301">
        <v>24</v>
      </c>
      <c r="W297" s="301">
        <v>25</v>
      </c>
      <c r="X297" s="301">
        <v>26</v>
      </c>
      <c r="Y297" s="301">
        <v>27</v>
      </c>
      <c r="Z297" s="301">
        <v>28</v>
      </c>
      <c r="AA297" s="301">
        <v>29</v>
      </c>
      <c r="AB297" s="302">
        <v>30</v>
      </c>
      <c r="AC297" s="301">
        <v>31</v>
      </c>
      <c r="AD297" s="301">
        <v>32</v>
      </c>
      <c r="AE297" s="301">
        <v>33</v>
      </c>
      <c r="AF297" s="301">
        <v>34</v>
      </c>
      <c r="AG297" s="301">
        <v>35</v>
      </c>
      <c r="AH297" s="301">
        <v>36</v>
      </c>
      <c r="AI297" s="301">
        <v>37</v>
      </c>
      <c r="AJ297" s="301">
        <v>38</v>
      </c>
      <c r="AK297" s="301">
        <v>39</v>
      </c>
      <c r="AL297" s="302">
        <v>40</v>
      </c>
      <c r="AM297" s="302">
        <f>AL297+0.001</f>
        <v>40.000999999999998</v>
      </c>
      <c r="AN297" s="299"/>
    </row>
    <row r="298" spans="1:40" ht="13.5" thickTop="1" x14ac:dyDescent="0.2">
      <c r="A298" s="303">
        <v>4</v>
      </c>
      <c r="B298" s="304">
        <v>0.95082900024176653</v>
      </c>
      <c r="C298" s="304">
        <v>0.95808090517214972</v>
      </c>
      <c r="D298" s="304">
        <v>0.96336219158340253</v>
      </c>
      <c r="E298" s="304">
        <v>0.96761709127584683</v>
      </c>
      <c r="F298" s="304">
        <v>0.97067002833654303</v>
      </c>
      <c r="G298" s="304">
        <v>0.97361438120571331</v>
      </c>
      <c r="H298" s="304">
        <v>0.97592007894071053</v>
      </c>
      <c r="I298" s="304">
        <v>0.97776004260322547</v>
      </c>
      <c r="J298" s="305">
        <v>0.9796284396178927</v>
      </c>
      <c r="K298" s="304">
        <v>0.98080257953594396</v>
      </c>
      <c r="L298" s="304">
        <v>0.98203919067397338</v>
      </c>
      <c r="M298" s="304">
        <v>0.98330365938584885</v>
      </c>
      <c r="N298" s="304">
        <v>0.98410023071432873</v>
      </c>
      <c r="O298" s="304">
        <v>0.98496728765034613</v>
      </c>
      <c r="P298" s="304">
        <v>0.98574684038230942</v>
      </c>
      <c r="Q298" s="304">
        <v>0.98645122122180751</v>
      </c>
      <c r="R298" s="304">
        <v>0.98710159090320237</v>
      </c>
      <c r="S298" s="305">
        <v>0.98767302346691466</v>
      </c>
      <c r="T298" s="304">
        <v>0.98820539615665437</v>
      </c>
      <c r="U298" s="304">
        <v>0.98869413263425066</v>
      </c>
      <c r="V298" s="304">
        <v>0.98914380903903454</v>
      </c>
      <c r="W298" s="304">
        <v>0.99</v>
      </c>
      <c r="X298" s="304">
        <v>0.98994297167312451</v>
      </c>
      <c r="Y298" s="304">
        <v>0.99029903674737685</v>
      </c>
      <c r="Z298" s="304">
        <v>0.99062990831919739</v>
      </c>
      <c r="AA298" s="304">
        <v>0.99093845692247107</v>
      </c>
      <c r="AB298" s="305">
        <v>0.99102413999581762</v>
      </c>
      <c r="AC298" s="304">
        <v>0.99149557017532786</v>
      </c>
      <c r="AD298" s="304">
        <v>0.99174754792768072</v>
      </c>
      <c r="AE298" s="304">
        <v>0.99198374482076068</v>
      </c>
      <c r="AF298" s="304">
        <v>0.99220607388929283</v>
      </c>
      <c r="AG298" s="304">
        <v>0.99243509512836736</v>
      </c>
      <c r="AH298" s="304">
        <v>0.99261189845597064</v>
      </c>
      <c r="AI298" s="304">
        <v>0.99279795199082965</v>
      </c>
      <c r="AJ298" s="304">
        <v>0.99297329212314467</v>
      </c>
      <c r="AK298" s="304">
        <v>0.99313917445001776</v>
      </c>
      <c r="AL298" s="305">
        <v>0.99344816365183508</v>
      </c>
      <c r="AM298" s="305">
        <f>AL298</f>
        <v>0.99344816365183508</v>
      </c>
      <c r="AN298" s="299"/>
    </row>
    <row r="299" spans="1:40" x14ac:dyDescent="0.2">
      <c r="A299" s="306">
        <v>5</v>
      </c>
      <c r="B299" s="307">
        <v>0.95515834042218639</v>
      </c>
      <c r="C299" s="307">
        <v>0.96362833153490524</v>
      </c>
      <c r="D299" s="307">
        <v>0.96961995991107996</v>
      </c>
      <c r="E299" s="307">
        <v>0.97461059777070647</v>
      </c>
      <c r="F299" s="307">
        <v>0.97826273525640439</v>
      </c>
      <c r="G299" s="307">
        <v>0.98137963370557768</v>
      </c>
      <c r="H299" s="307">
        <v>0.98394223271262715</v>
      </c>
      <c r="I299" s="307">
        <v>0.98597460385386237</v>
      </c>
      <c r="J299" s="308">
        <v>0.98788429873108163</v>
      </c>
      <c r="K299" s="307">
        <v>0.98929131294211103</v>
      </c>
      <c r="L299" s="307">
        <v>0.99062355190420992</v>
      </c>
      <c r="M299" s="307">
        <v>0.99203601380658402</v>
      </c>
      <c r="N299" s="307">
        <v>0.99281960496879695</v>
      </c>
      <c r="O299" s="307">
        <v>0.99373357021709419</v>
      </c>
      <c r="P299" s="307">
        <v>0.99454982823389693</v>
      </c>
      <c r="Q299" s="307">
        <v>0.9952823712315384</v>
      </c>
      <c r="R299" s="307">
        <v>0.99600029606596696</v>
      </c>
      <c r="S299" s="308">
        <v>0.99654131240111199</v>
      </c>
      <c r="T299" s="307">
        <v>0.99708500269164324</v>
      </c>
      <c r="U299" s="307">
        <v>0.99758100056066257</v>
      </c>
      <c r="V299" s="307">
        <v>0.99803469729410255</v>
      </c>
      <c r="W299" s="307">
        <v>0.999</v>
      </c>
      <c r="X299" s="307">
        <v>0.99883472927756101</v>
      </c>
      <c r="Y299" s="307">
        <v>0.9991883365253531</v>
      </c>
      <c r="Z299" s="307">
        <v>0.99951549100820625</v>
      </c>
      <c r="AA299" s="307">
        <v>0.99981874827787076</v>
      </c>
      <c r="AB299" s="308">
        <v>0.9999223669576911</v>
      </c>
      <c r="AC299" s="307">
        <v>1.0003628297474638</v>
      </c>
      <c r="AD299" s="307">
        <v>1.0006073295718321</v>
      </c>
      <c r="AE299" s="307">
        <v>1.0008356391435123</v>
      </c>
      <c r="AF299" s="307">
        <v>1.0010494630519939</v>
      </c>
      <c r="AG299" s="307">
        <v>1.0013097146442045</v>
      </c>
      <c r="AH299" s="307">
        <v>1.0014379841518692</v>
      </c>
      <c r="AI299" s="307">
        <v>1.001615049107536</v>
      </c>
      <c r="AJ299" s="307">
        <v>1.0017815947032183</v>
      </c>
      <c r="AK299" s="307">
        <v>1.0019385820711184</v>
      </c>
      <c r="AL299" s="308">
        <v>1.0022262444808958</v>
      </c>
      <c r="AM299" s="308">
        <f t="shared" ref="AM299:AM334" si="4">AL299</f>
        <v>1.0022262444808958</v>
      </c>
      <c r="AN299" s="299"/>
    </row>
    <row r="300" spans="1:40" x14ac:dyDescent="0.2">
      <c r="A300" s="303">
        <v>6</v>
      </c>
      <c r="B300" s="304">
        <v>0.95813192266444536</v>
      </c>
      <c r="C300" s="304">
        <v>0.96727628619332939</v>
      </c>
      <c r="D300" s="304">
        <v>0.97372970547631776</v>
      </c>
      <c r="E300" s="304">
        <v>0.97921939124141577</v>
      </c>
      <c r="F300" s="304">
        <v>0.98328800732823507</v>
      </c>
      <c r="G300" s="304">
        <v>0.98663458518135383</v>
      </c>
      <c r="H300" s="304">
        <v>0.99</v>
      </c>
      <c r="I300" s="304">
        <v>0.99170006171539471</v>
      </c>
      <c r="J300" s="305">
        <v>0.99377556307935677</v>
      </c>
      <c r="K300" s="304">
        <v>0.996</v>
      </c>
      <c r="L300" s="304">
        <v>0.99686036168962033</v>
      </c>
      <c r="M300" s="304">
        <v>0.99845402981128539</v>
      </c>
      <c r="N300" s="304">
        <v>0.99931385528720007</v>
      </c>
      <c r="O300" s="304">
        <v>1.0003386682975317</v>
      </c>
      <c r="P300" s="304">
        <v>1.0012560322861339</v>
      </c>
      <c r="Q300" s="304">
        <v>1.0020810688502697</v>
      </c>
      <c r="R300" s="304">
        <v>1.0029187177189134</v>
      </c>
      <c r="S300" s="305">
        <v>1.0035034057848757</v>
      </c>
      <c r="T300" s="304">
        <v>1.0041196720202761</v>
      </c>
      <c r="U300" s="304">
        <v>1.0046828464409794</v>
      </c>
      <c r="V300" s="304">
        <v>1.0051989899424369</v>
      </c>
      <c r="W300" s="304">
        <v>1.006</v>
      </c>
      <c r="X300" s="304">
        <v>1.0061115442433255</v>
      </c>
      <c r="Y300" s="304">
        <v>1.0065159942723128</v>
      </c>
      <c r="Z300" s="304">
        <v>1.0068908757365727</v>
      </c>
      <c r="AA300" s="304">
        <v>1.0072387629534902</v>
      </c>
      <c r="AB300" s="305">
        <v>1.008</v>
      </c>
      <c r="AC300" s="304">
        <v>1.0078643923242339</v>
      </c>
      <c r="AD300" s="304">
        <v>1.0081461984412277</v>
      </c>
      <c r="AE300" s="304">
        <v>1.0084097722158618</v>
      </c>
      <c r="AF300" s="304">
        <v>1.0086567623844487</v>
      </c>
      <c r="AG300" s="304">
        <v>1.0089653750633243</v>
      </c>
      <c r="AH300" s="304">
        <v>1.0091065753330373</v>
      </c>
      <c r="AI300" s="304">
        <v>1.0093117920065771</v>
      </c>
      <c r="AJ300" s="304">
        <v>1.0095051741260397</v>
      </c>
      <c r="AK300" s="304">
        <v>1.009687591447874</v>
      </c>
      <c r="AL300" s="305">
        <v>1.0100087866556349</v>
      </c>
      <c r="AM300" s="305">
        <f t="shared" si="4"/>
        <v>1.0100087866556349</v>
      </c>
      <c r="AN300" s="299"/>
    </row>
    <row r="301" spans="1:40" x14ac:dyDescent="0.2">
      <c r="A301" s="303">
        <v>7</v>
      </c>
      <c r="B301" s="304">
        <v>0.96027980026900428</v>
      </c>
      <c r="C301" s="304">
        <v>0.96988076557981506</v>
      </c>
      <c r="D301" s="304">
        <v>0.97664774074571703</v>
      </c>
      <c r="E301" s="304">
        <v>0.98245016079592884</v>
      </c>
      <c r="F301" s="304">
        <v>0.98675691996250392</v>
      </c>
      <c r="G301" s="304">
        <v>0.99026747658932934</v>
      </c>
      <c r="H301" s="304">
        <v>0.99320236729339961</v>
      </c>
      <c r="I301" s="304">
        <v>0.99561446798701403</v>
      </c>
      <c r="J301" s="305">
        <v>0.99781736865902748</v>
      </c>
      <c r="K301" s="304">
        <v>1</v>
      </c>
      <c r="L301" s="304">
        <v>1.0010679715289115</v>
      </c>
      <c r="M301" s="304">
        <v>1.0027668378589096</v>
      </c>
      <c r="N301" s="304">
        <v>1.0036632628244879</v>
      </c>
      <c r="O301" s="304">
        <v>1.0047477436711314</v>
      </c>
      <c r="P301" s="304">
        <v>1.0057187509271084</v>
      </c>
      <c r="Q301" s="304">
        <v>1.0065921901635386</v>
      </c>
      <c r="R301" s="304">
        <v>1.0075002683629413</v>
      </c>
      <c r="S301" s="305">
        <v>1.0080982915235317</v>
      </c>
      <c r="T301" s="304">
        <v>1.0087509993721056</v>
      </c>
      <c r="U301" s="304">
        <v>1.0093474472443194</v>
      </c>
      <c r="V301" s="304">
        <v>1.0098941493065201</v>
      </c>
      <c r="W301" s="304">
        <v>1.0099665317383988</v>
      </c>
      <c r="X301" s="304">
        <v>1.0108606299504288</v>
      </c>
      <c r="Y301" s="304">
        <v>1.012</v>
      </c>
      <c r="Z301" s="304">
        <v>1.0116860153268612</v>
      </c>
      <c r="AA301" s="304">
        <v>1.0120543452306809</v>
      </c>
      <c r="AB301" s="305">
        <v>1.0129999999999999</v>
      </c>
      <c r="AC301" s="304">
        <v>1.0127165852029498</v>
      </c>
      <c r="AD301" s="304">
        <v>1.0130148173828271</v>
      </c>
      <c r="AE301" s="304">
        <v>1.0132937320727873</v>
      </c>
      <c r="AF301" s="304">
        <v>1.0135549283218617</v>
      </c>
      <c r="AG301" s="304">
        <v>1.013882312604979</v>
      </c>
      <c r="AH301" s="304">
        <v>1.0140305059271129</v>
      </c>
      <c r="AI301" s="304">
        <v>1.0142472851129609</v>
      </c>
      <c r="AJ301" s="304">
        <v>1.0149999999999999</v>
      </c>
      <c r="AK301" s="304">
        <v>1.0146441668295649</v>
      </c>
      <c r="AL301" s="305">
        <v>1.0149935722137022</v>
      </c>
      <c r="AM301" s="305">
        <f t="shared" si="4"/>
        <v>1.0149935722137022</v>
      </c>
      <c r="AN301" s="299"/>
    </row>
    <row r="302" spans="1:40" x14ac:dyDescent="0.2">
      <c r="A302" s="303">
        <v>8</v>
      </c>
      <c r="B302" s="304">
        <v>0.96171341932814536</v>
      </c>
      <c r="C302" s="304">
        <v>0.97158751331267634</v>
      </c>
      <c r="D302" s="304">
        <v>0.97861199650753605</v>
      </c>
      <c r="E302" s="304">
        <v>0.98469213849185699</v>
      </c>
      <c r="F302" s="304">
        <v>0.98922851909537857</v>
      </c>
      <c r="G302" s="304">
        <v>0.992964000091488</v>
      </c>
      <c r="H302" s="304">
        <v>0.99607684209458547</v>
      </c>
      <c r="I302" s="304">
        <v>0.9986893094868432</v>
      </c>
      <c r="J302" s="305">
        <v>1.0010929544876144</v>
      </c>
      <c r="K302" s="304">
        <v>1.002890018175119</v>
      </c>
      <c r="L302" s="304">
        <v>1.0045960431320702</v>
      </c>
      <c r="M302" s="304">
        <v>1.0064415492940646</v>
      </c>
      <c r="N302" s="304">
        <v>1.0074339398374281</v>
      </c>
      <c r="O302" s="304">
        <v>1.0086251979773424</v>
      </c>
      <c r="P302" s="304">
        <v>1.0096945164330173</v>
      </c>
      <c r="Q302" s="304">
        <v>1.0106585640472714</v>
      </c>
      <c r="R302" s="304">
        <v>1.011670738291228</v>
      </c>
      <c r="S302" s="305">
        <v>1.0123253641419938</v>
      </c>
      <c r="T302" s="304">
        <v>1.0130493144848149</v>
      </c>
      <c r="U302" s="304">
        <v>1.0137115336631588</v>
      </c>
      <c r="V302" s="304">
        <v>1.0143190535125832</v>
      </c>
      <c r="W302" s="304">
        <v>1.0149999999999999</v>
      </c>
      <c r="X302" s="304">
        <v>1.015393528478302</v>
      </c>
      <c r="Y302" s="304">
        <v>1.0158698193031337</v>
      </c>
      <c r="Z302" s="304">
        <v>1.0163110608993331</v>
      </c>
      <c r="AA302" s="304">
        <v>1.0167201539371118</v>
      </c>
      <c r="AB302" s="305">
        <v>1.0168800043421193</v>
      </c>
      <c r="AC302" s="304">
        <v>1.0174544867724054</v>
      </c>
      <c r="AD302" s="304">
        <v>1.017784477862913</v>
      </c>
      <c r="AE302" s="304">
        <v>1.0180925537624952</v>
      </c>
      <c r="AF302" s="304">
        <v>1.0183803783847507</v>
      </c>
      <c r="AG302" s="304">
        <v>1.0187316774068118</v>
      </c>
      <c r="AH302" s="304">
        <v>1.0189024643518545</v>
      </c>
      <c r="AI302" s="304">
        <v>1.0191392989412607</v>
      </c>
      <c r="AJ302" s="304">
        <v>1.0193617432841258</v>
      </c>
      <c r="AK302" s="304">
        <v>1.019570685169624</v>
      </c>
      <c r="AL302" s="305">
        <v>1.0199569070380556</v>
      </c>
      <c r="AM302" s="305">
        <f t="shared" si="4"/>
        <v>1.0199569070380556</v>
      </c>
      <c r="AN302" s="299"/>
    </row>
    <row r="303" spans="1:40" x14ac:dyDescent="0.2">
      <c r="A303" s="303">
        <v>9</v>
      </c>
      <c r="B303" s="304">
        <v>0.96311542222408875</v>
      </c>
      <c r="C303" s="304">
        <v>0.97313156676172796</v>
      </c>
      <c r="D303" s="304">
        <v>0.98029502231459631</v>
      </c>
      <c r="E303" s="304">
        <v>0.98652375924925473</v>
      </c>
      <c r="F303" s="304">
        <v>0.99117167523242322</v>
      </c>
      <c r="G303" s="304">
        <v>0.99505439046811217</v>
      </c>
      <c r="H303" s="304">
        <v>0.99826721468732593</v>
      </c>
      <c r="I303" s="304">
        <v>1.001010846129069</v>
      </c>
      <c r="J303" s="305">
        <v>1.0029999999999999</v>
      </c>
      <c r="K303" s="304">
        <v>1.0054191035857105</v>
      </c>
      <c r="L303" s="304">
        <v>1.0072212959106748</v>
      </c>
      <c r="M303" s="304">
        <v>1.0091720479656014</v>
      </c>
      <c r="N303" s="304">
        <v>1.0102384224598757</v>
      </c>
      <c r="O303" s="304">
        <v>1.0115134142932805</v>
      </c>
      <c r="P303" s="304">
        <v>1.0126629723260514</v>
      </c>
      <c r="Q303" s="304">
        <v>1.0137040552092662</v>
      </c>
      <c r="R303" s="304">
        <v>1.0148061851163892</v>
      </c>
      <c r="S303" s="305">
        <v>1.0155161535953772</v>
      </c>
      <c r="T303" s="304">
        <v>1.0163087871889926</v>
      </c>
      <c r="U303" s="304">
        <v>1.0170372611331957</v>
      </c>
      <c r="V303" s="304">
        <v>1.0177088432213512</v>
      </c>
      <c r="W303" s="304">
        <v>1.0178300438855616</v>
      </c>
      <c r="X303" s="304">
        <v>1.0189051294159759</v>
      </c>
      <c r="Y303" s="304">
        <v>1.0194395220523831</v>
      </c>
      <c r="Z303" s="304">
        <v>1.0199370863630259</v>
      </c>
      <c r="AA303" s="304">
        <v>1.0204008618570044</v>
      </c>
      <c r="AB303" s="305">
        <v>1.0205894520758634</v>
      </c>
      <c r="AC303" s="304">
        <v>1.0212399216952364</v>
      </c>
      <c r="AD303" s="304">
        <v>1.0216201505700415</v>
      </c>
      <c r="AE303" s="304">
        <v>1.0219771600967769</v>
      </c>
      <c r="AF303" s="304">
        <v>1.0223126142268002</v>
      </c>
      <c r="AG303" s="304">
        <v>1.0227069503831119</v>
      </c>
      <c r="AH303" s="304">
        <v>1.0229264461886731</v>
      </c>
      <c r="AI303" s="304">
        <v>1.0232074518975662</v>
      </c>
      <c r="AJ303" s="304">
        <v>1.0234730536964842</v>
      </c>
      <c r="AK303" s="304">
        <v>1.0237241699298978</v>
      </c>
      <c r="AL303" s="305">
        <v>1.0241745433500917</v>
      </c>
      <c r="AM303" s="305">
        <f t="shared" si="4"/>
        <v>1.0241745433500917</v>
      </c>
      <c r="AN303" s="299"/>
    </row>
    <row r="304" spans="1:40" x14ac:dyDescent="0.2">
      <c r="A304" s="306">
        <v>10</v>
      </c>
      <c r="B304" s="307">
        <v>0.96432824999956868</v>
      </c>
      <c r="C304" s="307">
        <v>0.97447481914038581</v>
      </c>
      <c r="D304" s="307">
        <v>0.98099999999999998</v>
      </c>
      <c r="E304" s="307">
        <v>0.98804293652878006</v>
      </c>
      <c r="F304" s="307">
        <v>0.9927274923771312</v>
      </c>
      <c r="G304" s="307">
        <v>0.99669613374835131</v>
      </c>
      <c r="H304" s="307">
        <v>0.99994484056398614</v>
      </c>
      <c r="I304" s="307">
        <v>1.0027545855692865</v>
      </c>
      <c r="J304" s="308">
        <v>1.0054046756210999</v>
      </c>
      <c r="K304" s="307">
        <v>1.0072557241057463</v>
      </c>
      <c r="L304" s="307">
        <v>1.0091025366107678</v>
      </c>
      <c r="M304" s="307">
        <v>1.0111062028675812</v>
      </c>
      <c r="N304" s="307">
        <v>1.0122068792303129</v>
      </c>
      <c r="O304" s="307">
        <v>1.0135247679450019</v>
      </c>
      <c r="P304" s="307">
        <v>1.0147169042804134</v>
      </c>
      <c r="Q304" s="307">
        <v>1.0158003510941978</v>
      </c>
      <c r="R304" s="307">
        <v>1.0169569433357721</v>
      </c>
      <c r="S304" s="308">
        <v>1.0176965887432829</v>
      </c>
      <c r="T304" s="307">
        <v>1.0185310611840075</v>
      </c>
      <c r="U304" s="307">
        <v>1.02</v>
      </c>
      <c r="V304" s="307">
        <v>1.0209999999999999</v>
      </c>
      <c r="W304" s="307">
        <v>1.0209999999999999</v>
      </c>
      <c r="X304" s="307">
        <v>1.022</v>
      </c>
      <c r="Y304" s="307">
        <v>1.02186924935484</v>
      </c>
      <c r="Z304" s="307">
        <v>1.0229999999999999</v>
      </c>
      <c r="AA304" s="307">
        <v>1.0229127992887306</v>
      </c>
      <c r="AB304" s="308">
        <v>1.024</v>
      </c>
      <c r="AC304" s="307">
        <v>1.023833604188972</v>
      </c>
      <c r="AD304" s="307">
        <v>1.0249999999999999</v>
      </c>
      <c r="AE304" s="307">
        <v>1.0246521656896548</v>
      </c>
      <c r="AF304" s="307">
        <v>1.0250280869921982</v>
      </c>
      <c r="AG304" s="307">
        <v>1.026</v>
      </c>
      <c r="AH304" s="307">
        <v>1.025722494898758</v>
      </c>
      <c r="AI304" s="307">
        <v>1.0260435722120764</v>
      </c>
      <c r="AJ304" s="307">
        <v>1.0263491319392604</v>
      </c>
      <c r="AK304" s="307">
        <v>1.0266400942810967</v>
      </c>
      <c r="AL304" s="308">
        <v>1.027152410432834</v>
      </c>
      <c r="AM304" s="308">
        <f t="shared" si="4"/>
        <v>1.027152410432834</v>
      </c>
      <c r="AN304" s="299"/>
    </row>
    <row r="305" spans="1:40" x14ac:dyDescent="0.2">
      <c r="A305" s="303">
        <v>11</v>
      </c>
      <c r="B305" s="304">
        <v>0.96484948534670667</v>
      </c>
      <c r="C305" s="304">
        <v>0.97501626518462592</v>
      </c>
      <c r="D305" s="304">
        <v>0.98241232272921075</v>
      </c>
      <c r="E305" s="304">
        <v>0.98889764195323937</v>
      </c>
      <c r="F305" s="304">
        <v>0.99374817661601245</v>
      </c>
      <c r="G305" s="304">
        <v>0.99794919878910693</v>
      </c>
      <c r="H305" s="304">
        <v>1.0013806529745013</v>
      </c>
      <c r="I305" s="304">
        <v>1.0043940910728477</v>
      </c>
      <c r="J305" s="305">
        <v>1.0072716605727419</v>
      </c>
      <c r="K305" s="304">
        <v>1.0092450324637252</v>
      </c>
      <c r="L305" s="304">
        <v>1.0112513253703113</v>
      </c>
      <c r="M305" s="304">
        <v>1.0134101853094055</v>
      </c>
      <c r="N305" s="304">
        <v>1.014</v>
      </c>
      <c r="O305" s="304">
        <v>1.0160927320056206</v>
      </c>
      <c r="P305" s="304">
        <v>1.0174062568637998</v>
      </c>
      <c r="Q305" s="304">
        <v>1.018</v>
      </c>
      <c r="R305" s="304">
        <v>1.0189999999999999</v>
      </c>
      <c r="S305" s="305">
        <v>1.02</v>
      </c>
      <c r="T305" s="304">
        <v>1.0209999999999999</v>
      </c>
      <c r="U305" s="304">
        <v>1.0224823095320061</v>
      </c>
      <c r="V305" s="304">
        <v>1.023274018020162</v>
      </c>
      <c r="W305" s="304">
        <v>1.024</v>
      </c>
      <c r="X305" s="304">
        <v>1.0246932300338933</v>
      </c>
      <c r="Y305" s="304">
        <v>1.0253312904484795</v>
      </c>
      <c r="Z305" s="304">
        <v>1.0259276096903092</v>
      </c>
      <c r="AA305" s="304">
        <v>1.0264856346254363</v>
      </c>
      <c r="AB305" s="305">
        <v>1.0267155504761722</v>
      </c>
      <c r="AC305" s="304">
        <v>1.0269999999999999</v>
      </c>
      <c r="AD305" s="304">
        <v>1.0279626133875657</v>
      </c>
      <c r="AE305" s="304">
        <v>1.0283979883457324</v>
      </c>
      <c r="AF305" s="304">
        <v>1.028</v>
      </c>
      <c r="AG305" s="304">
        <v>1.0292642099115465</v>
      </c>
      <c r="AH305" s="304">
        <v>1.0289999999999999</v>
      </c>
      <c r="AI305" s="304">
        <v>1.0289999999999999</v>
      </c>
      <c r="AJ305" s="304">
        <v>1.0289999999999999</v>
      </c>
      <c r="AK305" s="304">
        <v>1.03</v>
      </c>
      <c r="AL305" s="305">
        <v>1.03</v>
      </c>
      <c r="AM305" s="305">
        <f t="shared" si="4"/>
        <v>1.03</v>
      </c>
      <c r="AN305" s="299"/>
    </row>
    <row r="306" spans="1:40" x14ac:dyDescent="0.2">
      <c r="A306" s="303">
        <v>12</v>
      </c>
      <c r="B306" s="304">
        <v>0.96545047549142637</v>
      </c>
      <c r="C306" s="304">
        <v>0.97567478143724307</v>
      </c>
      <c r="D306" s="304">
        <v>0.98316469716845878</v>
      </c>
      <c r="E306" s="304">
        <v>0.98974315832517212</v>
      </c>
      <c r="F306" s="304">
        <v>0.99465826416115466</v>
      </c>
      <c r="G306" s="304">
        <v>0.99898391231729278</v>
      </c>
      <c r="H306" s="304">
        <v>1.0024900815903783</v>
      </c>
      <c r="I306" s="304">
        <v>1.0055952024090202</v>
      </c>
      <c r="J306" s="305">
        <v>1.0085914690971771</v>
      </c>
      <c r="K306" s="304">
        <v>1.0105866323102135</v>
      </c>
      <c r="L306" s="304">
        <v>1.0126540302013827</v>
      </c>
      <c r="M306" s="304">
        <v>1.0148719718201984</v>
      </c>
      <c r="N306" s="304">
        <v>1.0161532392370134</v>
      </c>
      <c r="O306" s="304">
        <v>1.0176469103339012</v>
      </c>
      <c r="P306" s="304">
        <v>1.0190015361787093</v>
      </c>
      <c r="Q306" s="304">
        <v>1.0202351105976208</v>
      </c>
      <c r="R306" s="304">
        <v>1.0209999999999999</v>
      </c>
      <c r="S306" s="305">
        <v>1.0223974314974993</v>
      </c>
      <c r="T306" s="304">
        <v>1.0233493499331479</v>
      </c>
      <c r="U306" s="304">
        <v>1.0242274897301444</v>
      </c>
      <c r="V306" s="304">
        <v>1.0250399140879929</v>
      </c>
      <c r="W306" s="304">
        <v>1.026</v>
      </c>
      <c r="X306" s="304">
        <v>1.0269999999999999</v>
      </c>
      <c r="Y306" s="304">
        <v>1.028</v>
      </c>
      <c r="Z306" s="304">
        <v>1.0277520018836501</v>
      </c>
      <c r="AA306" s="304">
        <v>1.0289999999999999</v>
      </c>
      <c r="AB306" s="305">
        <v>1.02853424289877</v>
      </c>
      <c r="AC306" s="304">
        <v>1.03</v>
      </c>
      <c r="AD306" s="304">
        <v>1.0309999999999999</v>
      </c>
      <c r="AE306" s="304">
        <v>1.0309999999999999</v>
      </c>
      <c r="AF306" s="304">
        <v>1.0306637897047413</v>
      </c>
      <c r="AG306" s="304">
        <v>1.032</v>
      </c>
      <c r="AH306" s="304">
        <v>1.032</v>
      </c>
      <c r="AI306" s="304">
        <v>1.0317604095017869</v>
      </c>
      <c r="AJ306" s="304">
        <v>1.0320850982124266</v>
      </c>
      <c r="AK306" s="304">
        <v>1.0329999999999999</v>
      </c>
      <c r="AL306" s="305">
        <v>1.0329559496783518</v>
      </c>
      <c r="AM306" s="305">
        <f t="shared" si="4"/>
        <v>1.0329559496783518</v>
      </c>
      <c r="AN306" s="299"/>
    </row>
    <row r="307" spans="1:40" x14ac:dyDescent="0.2">
      <c r="A307" s="303">
        <v>13</v>
      </c>
      <c r="B307" s="304">
        <v>0.96597678329472236</v>
      </c>
      <c r="C307" s="304">
        <v>0.97619191613856127</v>
      </c>
      <c r="D307" s="304">
        <v>0.98374037334466735</v>
      </c>
      <c r="E307" s="304">
        <v>0.99039736851579563</v>
      </c>
      <c r="F307" s="304">
        <v>0.9953809851818336</v>
      </c>
      <c r="G307" s="304">
        <v>0.99984674846582511</v>
      </c>
      <c r="H307" s="304">
        <v>1.0034562448636282</v>
      </c>
      <c r="I307" s="304">
        <v>1.006684534516481</v>
      </c>
      <c r="J307" s="305">
        <v>1.00983652205648</v>
      </c>
      <c r="K307" s="304">
        <v>1.0119018827391959</v>
      </c>
      <c r="L307" s="304">
        <v>1.0140796563651093</v>
      </c>
      <c r="M307" s="304">
        <v>1.0164075656627842</v>
      </c>
      <c r="N307" s="304">
        <v>1.0177926154540824</v>
      </c>
      <c r="O307" s="304">
        <v>1.02</v>
      </c>
      <c r="P307" s="304">
        <v>1.020844313607445</v>
      </c>
      <c r="Q307" s="304">
        <v>1.022175681376932</v>
      </c>
      <c r="R307" s="304">
        <v>1.0229999999999999</v>
      </c>
      <c r="S307" s="305">
        <v>1.024</v>
      </c>
      <c r="T307" s="304">
        <v>1.0249999999999999</v>
      </c>
      <c r="U307" s="304">
        <v>1.026</v>
      </c>
      <c r="V307" s="304">
        <v>1.027432031010032</v>
      </c>
      <c r="W307" s="304">
        <v>1.0277109989794957</v>
      </c>
      <c r="X307" s="304">
        <v>1.0290495628930203</v>
      </c>
      <c r="Y307" s="304">
        <v>1.0297802891900141</v>
      </c>
      <c r="Z307" s="304">
        <v>1.0304651528809246</v>
      </c>
      <c r="AA307" s="304">
        <v>1.0311079530397445</v>
      </c>
      <c r="AB307" s="305">
        <v>1.0313752213593983</v>
      </c>
      <c r="AC307" s="304">
        <v>1.0322814553128581</v>
      </c>
      <c r="AD307" s="304">
        <v>1.0328180447573523</v>
      </c>
      <c r="AE307" s="304">
        <v>1.034</v>
      </c>
      <c r="AF307" s="304">
        <v>1.0338033499764281</v>
      </c>
      <c r="AG307" s="304">
        <v>1.0343148075540691</v>
      </c>
      <c r="AH307" s="304">
        <v>1.0346855294208142</v>
      </c>
      <c r="AI307" s="304">
        <v>1.0350922161329565</v>
      </c>
      <c r="AJ307" s="304">
        <v>1.0354782522671546</v>
      </c>
      <c r="AK307" s="304">
        <v>1.0358448688620818</v>
      </c>
      <c r="AL307" s="305">
        <v>1.0364852101103987</v>
      </c>
      <c r="AM307" s="305">
        <f t="shared" si="4"/>
        <v>1.0364852101103987</v>
      </c>
      <c r="AN307" s="299"/>
    </row>
    <row r="308" spans="1:40" x14ac:dyDescent="0.2">
      <c r="A308" s="303">
        <v>14</v>
      </c>
      <c r="B308" s="304">
        <v>0.96639388663887171</v>
      </c>
      <c r="C308" s="304">
        <v>0.97661757511732139</v>
      </c>
      <c r="D308" s="304">
        <v>0.98422495183894099</v>
      </c>
      <c r="E308" s="304">
        <v>0.99094907368244578</v>
      </c>
      <c r="F308" s="304">
        <v>0.99598387472866445</v>
      </c>
      <c r="G308" s="304">
        <v>1.0005640010553978</v>
      </c>
      <c r="H308" s="304">
        <v>1.004251000144325</v>
      </c>
      <c r="I308" s="304">
        <v>1.0075690339690313</v>
      </c>
      <c r="J308" s="305">
        <v>1.0108398638965097</v>
      </c>
      <c r="K308" s="304">
        <v>1.0129443356515218</v>
      </c>
      <c r="L308" s="304">
        <v>1.0151965391850917</v>
      </c>
      <c r="M308" s="304">
        <v>1.0169999999999999</v>
      </c>
      <c r="N308" s="304">
        <v>1.0190490018948384</v>
      </c>
      <c r="O308" s="304">
        <v>1.0207108455580447</v>
      </c>
      <c r="P308" s="304">
        <v>1.0229999999999999</v>
      </c>
      <c r="Q308" s="304">
        <v>1.0236188746293244</v>
      </c>
      <c r="R308" s="304">
        <v>1.0250911026000562</v>
      </c>
      <c r="S308" s="305">
        <v>1.0260800505888499</v>
      </c>
      <c r="T308" s="304">
        <v>1.027173993579974</v>
      </c>
      <c r="U308" s="304">
        <v>1.0281895163162744</v>
      </c>
      <c r="V308" s="304">
        <v>1.0291349560916254</v>
      </c>
      <c r="W308" s="304">
        <v>1.03</v>
      </c>
      <c r="X308" s="304">
        <v>1.0308411987903467</v>
      </c>
      <c r="Y308" s="304">
        <v>1.0316134964438655</v>
      </c>
      <c r="Z308" s="304">
        <v>1.0323381622968197</v>
      </c>
      <c r="AA308" s="304">
        <v>1.0330191443885071</v>
      </c>
      <c r="AB308" s="305">
        <v>1.0333035790465637</v>
      </c>
      <c r="AC308" s="304">
        <v>1.0342643473998385</v>
      </c>
      <c r="AD308" s="304">
        <v>1.0348346308211891</v>
      </c>
      <c r="AE308" s="304">
        <v>1.036</v>
      </c>
      <c r="AF308" s="304">
        <v>1.0358833624333994</v>
      </c>
      <c r="AG308" s="304">
        <v>1.0364204524677199</v>
      </c>
      <c r="AH308" s="304">
        <v>1.0368240530028701</v>
      </c>
      <c r="AI308" s="304">
        <v>1.0372582945020867</v>
      </c>
      <c r="AJ308" s="304">
        <v>1.0376708148526785</v>
      </c>
      <c r="AK308" s="304">
        <v>1.0380629207908392</v>
      </c>
      <c r="AL308" s="305">
        <v>1.0387430304581948</v>
      </c>
      <c r="AM308" s="305">
        <f t="shared" si="4"/>
        <v>1.0387430304581948</v>
      </c>
      <c r="AN308" s="299"/>
    </row>
    <row r="309" spans="1:40" x14ac:dyDescent="0.2">
      <c r="A309" s="306">
        <v>15</v>
      </c>
      <c r="B309" s="307">
        <v>0.96677304774807293</v>
      </c>
      <c r="C309" s="307">
        <v>0.97692290489714695</v>
      </c>
      <c r="D309" s="307">
        <v>0.98455922210886126</v>
      </c>
      <c r="E309" s="307">
        <v>0.99135044554668872</v>
      </c>
      <c r="F309" s="307">
        <v>0.99645571974837599</v>
      </c>
      <c r="G309" s="307">
        <v>1.0011762305439307</v>
      </c>
      <c r="H309" s="307">
        <v>1.0049775609841782</v>
      </c>
      <c r="I309" s="307">
        <v>1.0089999999999999</v>
      </c>
      <c r="J309" s="308">
        <v>1.011848748092353</v>
      </c>
      <c r="K309" s="307">
        <v>1.0140387158805804</v>
      </c>
      <c r="L309" s="307">
        <v>1.0164084581627391</v>
      </c>
      <c r="M309" s="307">
        <v>1.018</v>
      </c>
      <c r="N309" s="307">
        <v>1.020486645807412</v>
      </c>
      <c r="O309" s="307">
        <v>1.0222561783145974</v>
      </c>
      <c r="P309" s="307">
        <v>1.0238775198157521</v>
      </c>
      <c r="Q309" s="307">
        <v>1.0253689523398326</v>
      </c>
      <c r="R309" s="307">
        <v>1.0269405016146713</v>
      </c>
      <c r="S309" s="308">
        <v>1.0280210006851731</v>
      </c>
      <c r="T309" s="307">
        <v>1.0292053972470296</v>
      </c>
      <c r="U309" s="307">
        <v>1.0303082124591452</v>
      </c>
      <c r="V309" s="307">
        <v>1.0313379301775281</v>
      </c>
      <c r="W309" s="307">
        <v>1.0317339951274733</v>
      </c>
      <c r="X309" s="307">
        <v>1.0332040067998387</v>
      </c>
      <c r="Y309" s="307">
        <v>1.034052148289462</v>
      </c>
      <c r="Z309" s="307">
        <v>1.034</v>
      </c>
      <c r="AA309" s="307">
        <v>1.0349999999999999</v>
      </c>
      <c r="AB309" s="308">
        <v>1.0349999999999999</v>
      </c>
      <c r="AC309" s="307">
        <v>1.036</v>
      </c>
      <c r="AD309" s="307">
        <v>1.0369999999999999</v>
      </c>
      <c r="AE309" s="307">
        <v>1.0382169542467783</v>
      </c>
      <c r="AF309" s="307">
        <v>1.038</v>
      </c>
      <c r="AG309" s="307">
        <v>1.038</v>
      </c>
      <c r="AH309" s="307">
        <v>1.0389999999999999</v>
      </c>
      <c r="AI309" s="307">
        <v>1.0389999999999999</v>
      </c>
      <c r="AJ309" s="307">
        <v>1.04</v>
      </c>
      <c r="AK309" s="307">
        <v>1.04</v>
      </c>
      <c r="AL309" s="308">
        <v>1.0409999999999999</v>
      </c>
      <c r="AM309" s="308">
        <f t="shared" si="4"/>
        <v>1.0409999999999999</v>
      </c>
      <c r="AN309" s="299"/>
    </row>
    <row r="310" spans="1:40" x14ac:dyDescent="0.2">
      <c r="A310" s="303">
        <v>16</v>
      </c>
      <c r="B310" s="304">
        <v>0.96702869397512226</v>
      </c>
      <c r="C310" s="304">
        <v>0.97726005825677975</v>
      </c>
      <c r="D310" s="304">
        <v>0.98496438932394881</v>
      </c>
      <c r="E310" s="304">
        <v>0.99179963994899389</v>
      </c>
      <c r="F310" s="304">
        <v>0.99691784681870321</v>
      </c>
      <c r="G310" s="304">
        <v>1.0016953605968333</v>
      </c>
      <c r="H310" s="304">
        <v>1.0055193621135787</v>
      </c>
      <c r="I310" s="304">
        <v>1.008986947370095</v>
      </c>
      <c r="J310" s="305">
        <v>1.0124613963492735</v>
      </c>
      <c r="K310" s="304">
        <v>1.0146346330900924</v>
      </c>
      <c r="L310" s="304">
        <v>1.0170156883036383</v>
      </c>
      <c r="M310" s="304">
        <v>1.0189999999999999</v>
      </c>
      <c r="N310" s="304">
        <v>1.0211104661850938</v>
      </c>
      <c r="O310" s="304">
        <v>1.0228858419538622</v>
      </c>
      <c r="P310" s="304">
        <v>1.0245116793466664</v>
      </c>
      <c r="Q310" s="304">
        <v>1.0260064790413466</v>
      </c>
      <c r="R310" s="304">
        <v>1.0275814131256862</v>
      </c>
      <c r="S310" s="305">
        <v>1.0286623264337589</v>
      </c>
      <c r="T310" s="304">
        <v>1.029847393496643</v>
      </c>
      <c r="U310" s="304">
        <v>1.0309501935994081</v>
      </c>
      <c r="V310" s="304">
        <v>1.0319793093335472</v>
      </c>
      <c r="W310" s="304">
        <v>1.0329999999999999</v>
      </c>
      <c r="X310" s="304">
        <v>1.0338425458355145</v>
      </c>
      <c r="Y310" s="304">
        <v>1.0346885969567103</v>
      </c>
      <c r="Z310" s="304">
        <v>1.036</v>
      </c>
      <c r="AA310" s="304">
        <v>1.0369999999999999</v>
      </c>
      <c r="AB310" s="305">
        <v>1.036548877660243</v>
      </c>
      <c r="AC310" s="304">
        <v>1.0376061616731307</v>
      </c>
      <c r="AD310" s="304">
        <v>1.0389999999999999</v>
      </c>
      <c r="AE310" s="304">
        <v>1.04</v>
      </c>
      <c r="AF310" s="304">
        <v>1.04</v>
      </c>
      <c r="AG310" s="304">
        <v>1.0399837180134019</v>
      </c>
      <c r="AH310" s="304">
        <v>1.0409999999999999</v>
      </c>
      <c r="AI310" s="304">
        <v>1.0409294125535293</v>
      </c>
      <c r="AJ310" s="304">
        <v>1.0413898627314886</v>
      </c>
      <c r="AK310" s="304">
        <v>1.0418281873635262</v>
      </c>
      <c r="AL310" s="305">
        <v>1.042</v>
      </c>
      <c r="AM310" s="305">
        <f t="shared" si="4"/>
        <v>1.042</v>
      </c>
      <c r="AN310" s="299"/>
    </row>
    <row r="311" spans="1:40" x14ac:dyDescent="0.2">
      <c r="A311" s="303">
        <v>17</v>
      </c>
      <c r="B311" s="304">
        <v>0.96727093080130666</v>
      </c>
      <c r="C311" s="304">
        <v>0.97750643080786093</v>
      </c>
      <c r="D311" s="304">
        <v>0.98525225176765008</v>
      </c>
      <c r="E311" s="304">
        <v>0.99213508404859818</v>
      </c>
      <c r="F311" s="304">
        <v>0.99728842878027368</v>
      </c>
      <c r="G311" s="304">
        <v>1.002150664396787</v>
      </c>
      <c r="H311" s="304">
        <v>1.0060356047058603</v>
      </c>
      <c r="I311" s="304">
        <v>1.0095648240351984</v>
      </c>
      <c r="J311" s="305">
        <v>1.0131253827330691</v>
      </c>
      <c r="K311" s="304">
        <v>1.0153293652328532</v>
      </c>
      <c r="L311" s="304">
        <v>1.0177658316744689</v>
      </c>
      <c r="M311" s="304">
        <v>1.0203398481229407</v>
      </c>
      <c r="N311" s="304">
        <v>1.0219650666132352</v>
      </c>
      <c r="O311" s="304">
        <v>1.0237895125918655</v>
      </c>
      <c r="P311" s="304">
        <v>1.0254623750495417</v>
      </c>
      <c r="Q311" s="304">
        <v>1.0270022711296538</v>
      </c>
      <c r="R311" s="304">
        <v>1.028620476011016</v>
      </c>
      <c r="S311" s="305">
        <v>1.0297427569285356</v>
      </c>
      <c r="T311" s="304">
        <v>1.0309675489907839</v>
      </c>
      <c r="U311" s="304">
        <v>1.0321084641008555</v>
      </c>
      <c r="V311" s="304">
        <v>1.0331741828512779</v>
      </c>
      <c r="W311" s="304">
        <v>1.0336013945698432</v>
      </c>
      <c r="X311" s="304">
        <v>1.0351062887116551</v>
      </c>
      <c r="Y311" s="304">
        <v>1.035984778157613</v>
      </c>
      <c r="Z311" s="304">
        <v>1.0368113637136305</v>
      </c>
      <c r="AA311" s="304">
        <v>1.0375903308025414</v>
      </c>
      <c r="AB311" s="305">
        <v>1.037920674216301</v>
      </c>
      <c r="AC311" s="304">
        <v>1.039020196710954</v>
      </c>
      <c r="AD311" s="304">
        <v>1.0396775661256905</v>
      </c>
      <c r="AE311" s="304">
        <v>1.0409999999999999</v>
      </c>
      <c r="AF311" s="304">
        <v>1.0408908184305852</v>
      </c>
      <c r="AG311" s="304">
        <v>1.042</v>
      </c>
      <c r="AH311" s="304">
        <v>1.0419840225487609</v>
      </c>
      <c r="AI311" s="304">
        <v>1.0429999999999999</v>
      </c>
      <c r="AJ311" s="304">
        <v>1.0429723693770541</v>
      </c>
      <c r="AK311" s="304">
        <v>1.044</v>
      </c>
      <c r="AL311" s="305">
        <v>1.0442111397839615</v>
      </c>
      <c r="AM311" s="305">
        <f t="shared" si="4"/>
        <v>1.0442111397839615</v>
      </c>
      <c r="AN311" s="299"/>
    </row>
    <row r="312" spans="1:40" x14ac:dyDescent="0.2">
      <c r="A312" s="303">
        <v>18</v>
      </c>
      <c r="B312" s="304">
        <v>0.96747476794515652</v>
      </c>
      <c r="C312" s="304">
        <v>0.9777166617894133</v>
      </c>
      <c r="D312" s="304">
        <v>0.98550090974365201</v>
      </c>
      <c r="E312" s="304">
        <v>0.99242767125457865</v>
      </c>
      <c r="F312" s="304">
        <v>0.99761314049551952</v>
      </c>
      <c r="G312" s="304">
        <v>1.0025518160248641</v>
      </c>
      <c r="H312" s="304">
        <v>1.0064934220726929</v>
      </c>
      <c r="I312" s="304">
        <v>1.0100765817278696</v>
      </c>
      <c r="J312" s="305">
        <v>1.0129999999999999</v>
      </c>
      <c r="K312" s="304">
        <v>1.0159465358027955</v>
      </c>
      <c r="L312" s="304">
        <v>1.0184330177552745</v>
      </c>
      <c r="M312" s="304">
        <v>1.0210532719690286</v>
      </c>
      <c r="N312" s="304">
        <v>1.0227266304998295</v>
      </c>
      <c r="O312" s="304">
        <v>1.024595470509166</v>
      </c>
      <c r="P312" s="304">
        <v>1.0263109150336409</v>
      </c>
      <c r="Q312" s="304">
        <v>1.0278916866815673</v>
      </c>
      <c r="R312" s="304">
        <v>1.0295483113780239</v>
      </c>
      <c r="S312" s="305">
        <v>1.0307090073958174</v>
      </c>
      <c r="T312" s="304">
        <v>1.0319699233157236</v>
      </c>
      <c r="U312" s="304">
        <v>1.0331455372603215</v>
      </c>
      <c r="V312" s="304">
        <v>1.0342446143032973</v>
      </c>
      <c r="W312" s="304">
        <v>1.0347042520993224</v>
      </c>
      <c r="X312" s="304">
        <v>1.0362396041791639</v>
      </c>
      <c r="Y312" s="304">
        <v>1.0371477647797613</v>
      </c>
      <c r="Z312" s="304">
        <v>1.038002906044738</v>
      </c>
      <c r="AA312" s="304">
        <v>1.0388093914361418</v>
      </c>
      <c r="AB312" s="305">
        <v>1.0391533555122034</v>
      </c>
      <c r="AC312" s="304">
        <v>1.0402913300833441</v>
      </c>
      <c r="AD312" s="304">
        <v>1.0409733560376151</v>
      </c>
      <c r="AE312" s="304">
        <v>1.0416199704558486</v>
      </c>
      <c r="AF312" s="304">
        <v>1.0422333794381897</v>
      </c>
      <c r="AG312" s="304">
        <v>1.0428604326720032</v>
      </c>
      <c r="AH312" s="304">
        <v>1.044</v>
      </c>
      <c r="AI312" s="304">
        <v>1.0438972466716829</v>
      </c>
      <c r="AJ312" s="304">
        <v>1.0449999999999999</v>
      </c>
      <c r="AK312" s="304">
        <v>1.0448777601055419</v>
      </c>
      <c r="AL312" s="305">
        <v>1.0456844095824476</v>
      </c>
      <c r="AM312" s="305">
        <f t="shared" si="4"/>
        <v>1.0456844095824476</v>
      </c>
      <c r="AN312" s="299"/>
    </row>
    <row r="313" spans="1:40" x14ac:dyDescent="0.2">
      <c r="A313" s="303">
        <v>19</v>
      </c>
      <c r="B313" s="304">
        <v>0.96764710644295682</v>
      </c>
      <c r="C313" s="304">
        <v>0.97789853439233809</v>
      </c>
      <c r="D313" s="304">
        <v>0.98571895492692096</v>
      </c>
      <c r="E313" s="304">
        <v>0.99268686141666662</v>
      </c>
      <c r="F313" s="304">
        <v>0.99790215659042358</v>
      </c>
      <c r="G313" s="304">
        <v>1.0029096767373693</v>
      </c>
      <c r="H313" s="304">
        <v>1.0069041403719265</v>
      </c>
      <c r="I313" s="304">
        <v>1.0105342434734226</v>
      </c>
      <c r="J313" s="305">
        <v>1.0142390462978539</v>
      </c>
      <c r="K313" s="304">
        <v>1.0164991368738241</v>
      </c>
      <c r="L313" s="304">
        <v>1.0190306635560034</v>
      </c>
      <c r="M313" s="304">
        <v>1.0209999999999999</v>
      </c>
      <c r="N313" s="304">
        <v>1.0234093254240855</v>
      </c>
      <c r="O313" s="304">
        <v>1.0253182151802027</v>
      </c>
      <c r="P313" s="304">
        <v>1.0270721056702596</v>
      </c>
      <c r="Q313" s="304">
        <v>1.0286898162225628</v>
      </c>
      <c r="R313" s="304">
        <v>1.030380386640559</v>
      </c>
      <c r="S313" s="305">
        <v>1.031576676418489</v>
      </c>
      <c r="T313" s="304">
        <v>1.0328703423624606</v>
      </c>
      <c r="U313" s="304">
        <v>1.0340774502776628</v>
      </c>
      <c r="V313" s="304">
        <v>1.0352068379129951</v>
      </c>
      <c r="W313" s="304">
        <v>1.0356969165442702</v>
      </c>
      <c r="X313" s="304">
        <v>1.0372590805523516</v>
      </c>
      <c r="Y313" s="304">
        <v>1.0381943047644873</v>
      </c>
      <c r="Z313" s="304">
        <v>1.0390755301759378</v>
      </c>
      <c r="AA313" s="304">
        <v>1.0399071825503237</v>
      </c>
      <c r="AB313" s="305">
        <v>1.0402640086947812</v>
      </c>
      <c r="AC313" s="304">
        <v>1.0414368480438614</v>
      </c>
      <c r="AD313" s="304">
        <v>1.0421415213709708</v>
      </c>
      <c r="AE313" s="304">
        <v>1.0428100189789473</v>
      </c>
      <c r="AF313" s="304">
        <v>1.0434445982357876</v>
      </c>
      <c r="AG313" s="304">
        <v>1.044091408209578</v>
      </c>
      <c r="AH313" s="304">
        <v>1.0446216616389834</v>
      </c>
      <c r="AI313" s="304">
        <v>1.0451678899091257</v>
      </c>
      <c r="AJ313" s="304">
        <v>1.0456884410163245</v>
      </c>
      <c r="AK313" s="304">
        <v>1.0461849284676723</v>
      </c>
      <c r="AL313" s="305">
        <v>1.0470157904679682</v>
      </c>
      <c r="AM313" s="305">
        <f t="shared" si="4"/>
        <v>1.0470157904679682</v>
      </c>
      <c r="AN313" s="299"/>
    </row>
    <row r="314" spans="1:40" x14ac:dyDescent="0.2">
      <c r="A314" s="306">
        <v>20</v>
      </c>
      <c r="B314" s="307">
        <v>0.96763274017451772</v>
      </c>
      <c r="C314" s="307">
        <v>0.97787740194292239</v>
      </c>
      <c r="D314" s="307">
        <v>0.98572911456294499</v>
      </c>
      <c r="E314" s="307">
        <v>0.9927414237564085</v>
      </c>
      <c r="F314" s="307">
        <v>0.99799475324319387</v>
      </c>
      <c r="G314" s="307">
        <v>1.0030765209460895</v>
      </c>
      <c r="H314" s="307">
        <v>1.0071340015249068</v>
      </c>
      <c r="I314" s="307">
        <v>1.0108187198326086</v>
      </c>
      <c r="J314" s="308">
        <v>1.014</v>
      </c>
      <c r="K314" s="307">
        <v>1.0168969142482045</v>
      </c>
      <c r="L314" s="307">
        <v>1.0194823974042286</v>
      </c>
      <c r="M314" s="307">
        <v>1.0221934416672793</v>
      </c>
      <c r="N314" s="307">
        <v>1.0239629961727159</v>
      </c>
      <c r="O314" s="307">
        <v>1.0259198524564317</v>
      </c>
      <c r="P314" s="307">
        <v>1.0277197358979351</v>
      </c>
      <c r="Q314" s="307">
        <v>1.0293815591270388</v>
      </c>
      <c r="R314" s="307">
        <v>1.0311122462969724</v>
      </c>
      <c r="S314" s="308">
        <v>1.0323512201417213</v>
      </c>
      <c r="T314" s="307">
        <v>1.0336837447458977</v>
      </c>
      <c r="U314" s="307">
        <v>1.0349281207744943</v>
      </c>
      <c r="V314" s="307">
        <v>1.0360932685306978</v>
      </c>
      <c r="W314" s="307">
        <v>1.0366196810648338</v>
      </c>
      <c r="X314" s="307">
        <v>1.03821276516108</v>
      </c>
      <c r="Y314" s="307">
        <v>1.039179622620934</v>
      </c>
      <c r="Z314" s="307">
        <v>1.0400912378119538</v>
      </c>
      <c r="AA314" s="307">
        <v>1.0409521021616517</v>
      </c>
      <c r="AB314" s="308">
        <v>1.0413269839578274</v>
      </c>
      <c r="AC314" s="307">
        <v>1.042</v>
      </c>
      <c r="AD314" s="307">
        <v>1.0432675378781657</v>
      </c>
      <c r="AE314" s="307">
        <v>1.0439610538601687</v>
      </c>
      <c r="AF314" s="307">
        <v>1.044</v>
      </c>
      <c r="AG314" s="307">
        <v>1.0452897146156186</v>
      </c>
      <c r="AH314" s="307">
        <v>1.0458423535601975</v>
      </c>
      <c r="AI314" s="307">
        <v>1.0464101294218109</v>
      </c>
      <c r="AJ314" s="307">
        <v>1.0469514394509996</v>
      </c>
      <c r="AK314" s="307">
        <v>1.047467953865953</v>
      </c>
      <c r="AL314" s="308">
        <v>1.0483235230440844</v>
      </c>
      <c r="AM314" s="308">
        <f t="shared" si="4"/>
        <v>1.0483235230440844</v>
      </c>
      <c r="AN314" s="299"/>
    </row>
    <row r="315" spans="1:40" x14ac:dyDescent="0.2">
      <c r="A315" s="303">
        <v>21</v>
      </c>
      <c r="B315" s="304">
        <v>0.96791745117038575</v>
      </c>
      <c r="C315" s="304">
        <v>0.97819912329043801</v>
      </c>
      <c r="D315" s="304">
        <v>0.98608730018142143</v>
      </c>
      <c r="E315" s="304">
        <v>0.99313161003093209</v>
      </c>
      <c r="F315" s="304">
        <v>0.99840173523504294</v>
      </c>
      <c r="G315" s="304">
        <v>1.0035266090946444</v>
      </c>
      <c r="H315" s="304">
        <v>1.0076169279767435</v>
      </c>
      <c r="I315" s="304">
        <v>1.012</v>
      </c>
      <c r="J315" s="305">
        <v>1.0151384569610749</v>
      </c>
      <c r="K315" s="304">
        <v>1.0174492416334084</v>
      </c>
      <c r="L315" s="304">
        <v>1.0200575140834598</v>
      </c>
      <c r="M315" s="304">
        <v>1.0227879420321158</v>
      </c>
      <c r="N315" s="304">
        <v>1.0245811027365099</v>
      </c>
      <c r="O315" s="304">
        <v>1.0265583196157633</v>
      </c>
      <c r="P315" s="304">
        <v>1.0283778669526193</v>
      </c>
      <c r="Q315" s="304">
        <v>1.0300587379363539</v>
      </c>
      <c r="R315" s="304">
        <v>1.0318051605075456</v>
      </c>
      <c r="S315" s="305">
        <v>1.0330647573237992</v>
      </c>
      <c r="T315" s="304">
        <v>1.0344146862153769</v>
      </c>
      <c r="U315" s="304">
        <v>1.0356759920918974</v>
      </c>
      <c r="V315" s="304">
        <v>1.0368576283126849</v>
      </c>
      <c r="W315" s="304">
        <v>1.038</v>
      </c>
      <c r="X315" s="304">
        <v>1.0390088702973928</v>
      </c>
      <c r="Y315" s="304">
        <v>1.0399910252683018</v>
      </c>
      <c r="Z315" s="304">
        <v>1.0409175879032477</v>
      </c>
      <c r="AA315" s="304">
        <v>1.0417930652646032</v>
      </c>
      <c r="AB315" s="305">
        <v>1.0421735240445695</v>
      </c>
      <c r="AC315" s="304">
        <v>1.0434061279548046</v>
      </c>
      <c r="AD315" s="304">
        <v>1.0441505097950294</v>
      </c>
      <c r="AE315" s="304">
        <v>1.0448574612818327</v>
      </c>
      <c r="AF315" s="304">
        <v>1.0449999999999999</v>
      </c>
      <c r="AG315" s="304">
        <v>1.0462128454428057</v>
      </c>
      <c r="AH315" s="304">
        <v>1.0467775629119151</v>
      </c>
      <c r="AI315" s="304">
        <v>1.0473578034660957</v>
      </c>
      <c r="AJ315" s="304">
        <v>1.0479113460664573</v>
      </c>
      <c r="AK315" s="304">
        <v>1.0484398914548758</v>
      </c>
      <c r="AL315" s="305">
        <v>1.049311374980896</v>
      </c>
      <c r="AM315" s="305">
        <f t="shared" si="4"/>
        <v>1.049311374980896</v>
      </c>
      <c r="AN315" s="299"/>
    </row>
    <row r="316" spans="1:40" x14ac:dyDescent="0.2">
      <c r="A316" s="303">
        <v>22</v>
      </c>
      <c r="B316" s="304">
        <v>0.96802323126075041</v>
      </c>
      <c r="C316" s="304">
        <v>0.97832624635204413</v>
      </c>
      <c r="D316" s="304">
        <v>0.98624687423409552</v>
      </c>
      <c r="E316" s="304">
        <v>0.99332737121831216</v>
      </c>
      <c r="F316" s="304">
        <v>0.99862325728224099</v>
      </c>
      <c r="G316" s="304">
        <v>1.003797699439485</v>
      </c>
      <c r="H316" s="304">
        <v>1.0079316361793851</v>
      </c>
      <c r="I316" s="304">
        <v>1.0116665480624474</v>
      </c>
      <c r="J316" s="305">
        <v>1.0149999999999999</v>
      </c>
      <c r="K316" s="304">
        <v>1.0178618885020347</v>
      </c>
      <c r="L316" s="304">
        <v>1.0205025298550854</v>
      </c>
      <c r="M316" s="304">
        <v>1.0232614885557445</v>
      </c>
      <c r="N316" s="304">
        <v>1.0250872117007037</v>
      </c>
      <c r="O316" s="304">
        <v>1.0270932582570089</v>
      </c>
      <c r="P316" s="304">
        <v>1.0289405355321557</v>
      </c>
      <c r="Q316" s="304">
        <v>1.030648116311097</v>
      </c>
      <c r="R316" s="304">
        <v>1.0324170531144952</v>
      </c>
      <c r="S316" s="305">
        <v>1.0337046475692482</v>
      </c>
      <c r="T316" s="304">
        <v>1.0350784970407458</v>
      </c>
      <c r="U316" s="304">
        <v>1.0363628912969554</v>
      </c>
      <c r="V316" s="304">
        <v>1.0375668288064415</v>
      </c>
      <c r="W316" s="304">
        <v>1.0389999999999999</v>
      </c>
      <c r="X316" s="304">
        <v>1.0397604833594429</v>
      </c>
      <c r="Y316" s="304">
        <v>1.0407628118068892</v>
      </c>
      <c r="Z316" s="304">
        <v>1.0417089168456009</v>
      </c>
      <c r="AA316" s="304">
        <v>1.0426033262995389</v>
      </c>
      <c r="AB316" s="305">
        <v>1.0429946557623855</v>
      </c>
      <c r="AC316" s="304">
        <v>1.0442525638722719</v>
      </c>
      <c r="AD316" s="304">
        <v>1.0450142393132642</v>
      </c>
      <c r="AE316" s="304">
        <v>1.0457379819254973</v>
      </c>
      <c r="AF316" s="304">
        <v>1.0464261860199557</v>
      </c>
      <c r="AG316" s="304">
        <v>1.047126778753336</v>
      </c>
      <c r="AH316" s="304">
        <v>1.0477057085253372</v>
      </c>
      <c r="AI316" s="304">
        <v>1.048300971440522</v>
      </c>
      <c r="AJ316" s="304">
        <v>1.0488691266389005</v>
      </c>
      <c r="AK316" s="304">
        <v>1.0494119113441018</v>
      </c>
      <c r="AL316" s="305">
        <v>1.0503001379961274</v>
      </c>
      <c r="AM316" s="305">
        <f t="shared" si="4"/>
        <v>1.0503001379961274</v>
      </c>
      <c r="AN316" s="299"/>
    </row>
    <row r="317" spans="1:40" x14ac:dyDescent="0.2">
      <c r="A317" s="303">
        <v>23</v>
      </c>
      <c r="B317" s="304">
        <v>0.96811349666367197</v>
      </c>
      <c r="C317" s="304">
        <v>0.97844212063137137</v>
      </c>
      <c r="D317" s="304">
        <v>0.98639464009359457</v>
      </c>
      <c r="E317" s="304">
        <v>0.9935104325148203</v>
      </c>
      <c r="F317" s="304">
        <v>0.99883135449941007</v>
      </c>
      <c r="G317" s="304">
        <v>1.0040499250881387</v>
      </c>
      <c r="H317" s="304">
        <v>1.0082249635844254</v>
      </c>
      <c r="I317" s="304">
        <v>1.0119844500910515</v>
      </c>
      <c r="J317" s="305">
        <v>1.0149999999999999</v>
      </c>
      <c r="K317" s="304">
        <v>1.0182408243469516</v>
      </c>
      <c r="L317" s="304">
        <v>1.0209102300869697</v>
      </c>
      <c r="M317" s="304">
        <v>1.0236941714923564</v>
      </c>
      <c r="N317" s="304">
        <v>1.0255491481331873</v>
      </c>
      <c r="O317" s="304">
        <v>1.0275807952473546</v>
      </c>
      <c r="P317" s="304">
        <v>1.029452708967872</v>
      </c>
      <c r="Q317" s="304">
        <v>1.0311840381660726</v>
      </c>
      <c r="R317" s="304">
        <v>1.0329722290638774</v>
      </c>
      <c r="S317" s="305">
        <v>1.0342855519403753</v>
      </c>
      <c r="T317" s="304">
        <v>1.0356807471694385</v>
      </c>
      <c r="U317" s="304">
        <v>1.0369857730268404</v>
      </c>
      <c r="V317" s="304">
        <v>1.0382096659450413</v>
      </c>
      <c r="W317" s="304">
        <v>1.0388024048007494</v>
      </c>
      <c r="X317" s="304">
        <v>1.0404413731387334</v>
      </c>
      <c r="Y317" s="304">
        <v>1.0414618447906778</v>
      </c>
      <c r="Z317" s="304">
        <v>1.0424255608823858</v>
      </c>
      <c r="AA317" s="304">
        <v>1.0433370579459877</v>
      </c>
      <c r="AB317" s="305">
        <v>1.0437386587067403</v>
      </c>
      <c r="AC317" s="304">
        <v>1.0450190430718607</v>
      </c>
      <c r="AD317" s="304">
        <v>1.0457964190415141</v>
      </c>
      <c r="AE317" s="304">
        <v>1.0465354346782543</v>
      </c>
      <c r="AF317" s="304">
        <v>1.0472385245339892</v>
      </c>
      <c r="AG317" s="304">
        <v>1.047955399325925</v>
      </c>
      <c r="AH317" s="304">
        <v>1.048546654296415</v>
      </c>
      <c r="AI317" s="304">
        <v>1.0491556932971269</v>
      </c>
      <c r="AJ317" s="304">
        <v>1.049737275639743</v>
      </c>
      <c r="AK317" s="304">
        <v>1.0502931705642862</v>
      </c>
      <c r="AL317" s="305">
        <v>1.0511959330923206</v>
      </c>
      <c r="AM317" s="305">
        <f t="shared" si="4"/>
        <v>1.0511959330923206</v>
      </c>
      <c r="AN317" s="299"/>
    </row>
    <row r="318" spans="1:40" x14ac:dyDescent="0.2">
      <c r="A318" s="303">
        <v>24</v>
      </c>
      <c r="B318" s="304">
        <v>0.96818983861546293</v>
      </c>
      <c r="C318" s="304">
        <v>0.97854862805895815</v>
      </c>
      <c r="D318" s="304">
        <v>0.98653285003675895</v>
      </c>
      <c r="E318" s="304">
        <v>0.99368337923064054</v>
      </c>
      <c r="F318" s="304">
        <v>0.99902886429235904</v>
      </c>
      <c r="G318" s="304">
        <v>1.0042865604959414</v>
      </c>
      <c r="H318" s="304">
        <v>1.0085004174846781</v>
      </c>
      <c r="I318" s="304">
        <v>1.0129999999999999</v>
      </c>
      <c r="J318" s="305">
        <v>1.016210877107123</v>
      </c>
      <c r="K318" s="304">
        <v>1.0185905267990454</v>
      </c>
      <c r="L318" s="304">
        <v>1.0212853564335986</v>
      </c>
      <c r="M318" s="304">
        <v>1.0240910127109091</v>
      </c>
      <c r="N318" s="304">
        <v>1.0259721433984645</v>
      </c>
      <c r="O318" s="304">
        <v>1.028026389021059</v>
      </c>
      <c r="P318" s="304">
        <v>1.0299200620958577</v>
      </c>
      <c r="Q318" s="304">
        <v>1.0316723849005653</v>
      </c>
      <c r="R318" s="304">
        <v>1.0334768172164286</v>
      </c>
      <c r="S318" s="305">
        <v>1.0348137377317554</v>
      </c>
      <c r="T318" s="304">
        <v>1.0362278843628991</v>
      </c>
      <c r="U318" s="304">
        <v>1.0375512579825472</v>
      </c>
      <c r="V318" s="304">
        <v>1.0387929265433957</v>
      </c>
      <c r="W318" s="304">
        <v>1.04</v>
      </c>
      <c r="X318" s="304">
        <v>1.0410586386692566</v>
      </c>
      <c r="Y318" s="304">
        <v>1.0420953706135063</v>
      </c>
      <c r="Z318" s="304">
        <v>1.0430749080665827</v>
      </c>
      <c r="AA318" s="304">
        <v>1.0440017849397516</v>
      </c>
      <c r="AB318" s="305">
        <v>1.0449999999999999</v>
      </c>
      <c r="AC318" s="304">
        <v>1.0457133489661499</v>
      </c>
      <c r="AD318" s="304">
        <v>1.046504955065513</v>
      </c>
      <c r="AE318" s="304">
        <v>1.0472578442319089</v>
      </c>
      <c r="AF318" s="304">
        <v>1.0479744886610973</v>
      </c>
      <c r="AG318" s="304">
        <v>1.0487069252460675</v>
      </c>
      <c r="AH318" s="304">
        <v>1.0493087576846154</v>
      </c>
      <c r="AI318" s="304">
        <v>1.0499304303374732</v>
      </c>
      <c r="AJ318" s="304">
        <v>1.0505243550523176</v>
      </c>
      <c r="AK318" s="304">
        <v>1.0510923287807241</v>
      </c>
      <c r="AL318" s="305">
        <v>1.0520075922888963</v>
      </c>
      <c r="AM318" s="305">
        <f t="shared" si="4"/>
        <v>1.0520075922888963</v>
      </c>
      <c r="AN318" s="299"/>
    </row>
    <row r="319" spans="1:40" x14ac:dyDescent="0.2">
      <c r="A319" s="306">
        <v>25</v>
      </c>
      <c r="B319" s="307">
        <v>0.96816462687019278</v>
      </c>
      <c r="C319" s="307">
        <v>0.97861476220921839</v>
      </c>
      <c r="D319" s="307">
        <v>0.98665302254134457</v>
      </c>
      <c r="E319" s="307">
        <v>0.99384279770037531</v>
      </c>
      <c r="F319" s="307">
        <v>0.99920816820423974</v>
      </c>
      <c r="G319" s="307">
        <v>1.0044911327591799</v>
      </c>
      <c r="H319" s="307">
        <v>1.0087300872600493</v>
      </c>
      <c r="I319" s="307">
        <v>1.0125130414818475</v>
      </c>
      <c r="J319" s="308">
        <v>1.0164574653866665</v>
      </c>
      <c r="K319" s="307">
        <v>1.0188462685751922</v>
      </c>
      <c r="L319" s="307">
        <v>1.0215517622664174</v>
      </c>
      <c r="M319" s="307">
        <v>1.0243653200090299</v>
      </c>
      <c r="N319" s="307">
        <v>1.0262598583001732</v>
      </c>
      <c r="O319" s="307">
        <v>1.0283250634421028</v>
      </c>
      <c r="P319" s="307">
        <v>1.0302299786021791</v>
      </c>
      <c r="Q319" s="307">
        <v>1.0319938854058455</v>
      </c>
      <c r="R319" s="307">
        <v>1.0338058956268119</v>
      </c>
      <c r="S319" s="308">
        <v>1.0351594730720679</v>
      </c>
      <c r="T319" s="307">
        <v>1.0365863005196685</v>
      </c>
      <c r="U319" s="307">
        <v>1.0379227124772519</v>
      </c>
      <c r="V319" s="307">
        <v>1.0391777616370987</v>
      </c>
      <c r="W319" s="307">
        <v>1.0398096563747252</v>
      </c>
      <c r="X319" s="307">
        <v>1.0414712698229525</v>
      </c>
      <c r="Y319" s="307">
        <v>1.042</v>
      </c>
      <c r="Z319" s="307">
        <v>1.0429999999999999</v>
      </c>
      <c r="AA319" s="307">
        <v>1.0444583600543578</v>
      </c>
      <c r="AB319" s="308">
        <v>1.0448806603959291</v>
      </c>
      <c r="AC319" s="307">
        <v>1.046200572445817</v>
      </c>
      <c r="AD319" s="307">
        <v>1.0470078620686714</v>
      </c>
      <c r="AE319" s="307">
        <v>1.0477766477353874</v>
      </c>
      <c r="AF319" s="307">
        <v>1.0485094101588042</v>
      </c>
      <c r="AG319" s="307">
        <v>1.0492609990480215</v>
      </c>
      <c r="AH319" s="307">
        <v>1.0498764584089479</v>
      </c>
      <c r="AI319" s="307">
        <v>1.0505147900857352</v>
      </c>
      <c r="AJ319" s="307">
        <v>1.0511255214263617</v>
      </c>
      <c r="AK319" s="307">
        <v>1.0517104532795252</v>
      </c>
      <c r="AL319" s="308">
        <v>1.0526425089017413</v>
      </c>
      <c r="AM319" s="308">
        <f t="shared" si="4"/>
        <v>1.0526425089017413</v>
      </c>
      <c r="AN319" s="299"/>
    </row>
    <row r="320" spans="1:40" x14ac:dyDescent="0.2">
      <c r="A320" s="303">
        <v>26</v>
      </c>
      <c r="B320" s="304">
        <v>0.96831086915376929</v>
      </c>
      <c r="C320" s="304">
        <v>0.97874270953513609</v>
      </c>
      <c r="D320" s="304">
        <v>0.98678999024644276</v>
      </c>
      <c r="E320" s="304">
        <v>0.9940088162661298</v>
      </c>
      <c r="F320" s="304">
        <v>1</v>
      </c>
      <c r="G320" s="304">
        <v>1.004724796788464</v>
      </c>
      <c r="H320" s="304">
        <v>1.0090101504362172</v>
      </c>
      <c r="I320" s="304">
        <v>1.0128178644722488</v>
      </c>
      <c r="J320" s="305">
        <v>1.016</v>
      </c>
      <c r="K320" s="304">
        <v>1.0192180480458157</v>
      </c>
      <c r="L320" s="304">
        <v>1.0219546525740053</v>
      </c>
      <c r="M320" s="304">
        <v>1.0247949278399402</v>
      </c>
      <c r="N320" s="304">
        <v>1.0267198412858436</v>
      </c>
      <c r="O320" s="304">
        <v>1.0288110919572584</v>
      </c>
      <c r="P320" s="304">
        <v>1.0307404219324023</v>
      </c>
      <c r="Q320" s="304">
        <v>1.0325271939409992</v>
      </c>
      <c r="R320" s="304">
        <v>1.0343559235548896</v>
      </c>
      <c r="S320" s="305">
        <v>1.035734123270073</v>
      </c>
      <c r="T320" s="304">
        <v>1.0371795953156566</v>
      </c>
      <c r="U320" s="304">
        <v>1.0385333822905349</v>
      </c>
      <c r="V320" s="304">
        <v>1.0398045984247872</v>
      </c>
      <c r="W320" s="304">
        <v>1.0409999999999999</v>
      </c>
      <c r="X320" s="304">
        <v>1.0421271495167717</v>
      </c>
      <c r="Y320" s="304">
        <v>1.0431911949854833</v>
      </c>
      <c r="Z320" s="304">
        <v>1.0441974189580014</v>
      </c>
      <c r="AA320" s="304">
        <v>1.0451503191576346</v>
      </c>
      <c r="AB320" s="305">
        <v>1.045579597267186</v>
      </c>
      <c r="AC320" s="304">
        <v>1.0469122337846386</v>
      </c>
      <c r="AD320" s="304">
        <v>1.0477282036917823</v>
      </c>
      <c r="AE320" s="304">
        <v>1.0485049348457207</v>
      </c>
      <c r="AF320" s="304">
        <v>1.0492449674435416</v>
      </c>
      <c r="AG320" s="304">
        <v>1.0500064962373457</v>
      </c>
      <c r="AH320" s="304">
        <v>1.0506245986928069</v>
      </c>
      <c r="AI320" s="304">
        <v>1.0512683278847295</v>
      </c>
      <c r="AJ320" s="304">
        <v>1.0518838828570902</v>
      </c>
      <c r="AK320" s="304">
        <v>1.0524731039844157</v>
      </c>
      <c r="AL320" s="305">
        <v>1.0534077164073392</v>
      </c>
      <c r="AM320" s="305">
        <f t="shared" si="4"/>
        <v>1.0534077164073392</v>
      </c>
      <c r="AN320" s="299"/>
    </row>
    <row r="321" spans="1:40" x14ac:dyDescent="0.2">
      <c r="A321" s="303">
        <v>27</v>
      </c>
      <c r="B321" s="304">
        <v>0.96835856419844157</v>
      </c>
      <c r="C321" s="304">
        <v>0.97883300950787377</v>
      </c>
      <c r="D321" s="304">
        <v>0.98691182580986381</v>
      </c>
      <c r="E321" s="304">
        <v>0.99416445756283411</v>
      </c>
      <c r="F321" s="304">
        <v>0.9995819526386216</v>
      </c>
      <c r="G321" s="304">
        <v>1.0049303954674333</v>
      </c>
      <c r="H321" s="304">
        <v>1.0092487465644466</v>
      </c>
      <c r="I321" s="304">
        <v>1.013065099157761</v>
      </c>
      <c r="J321" s="305">
        <v>1.017059228586243</v>
      </c>
      <c r="K321" s="304">
        <v>1.0195016906021048</v>
      </c>
      <c r="L321" s="304">
        <v>1.0222550730576394</v>
      </c>
      <c r="M321" s="304">
        <v>1.0251086946304329</v>
      </c>
      <c r="N321" s="304">
        <v>1.0270515959925901</v>
      </c>
      <c r="O321" s="304">
        <v>1.02915762646664</v>
      </c>
      <c r="P321" s="304">
        <v>1.0311012094142018</v>
      </c>
      <c r="Q321" s="304">
        <v>1.0329017753194458</v>
      </c>
      <c r="R321" s="304">
        <v>1.0347389530875279</v>
      </c>
      <c r="S321" s="305">
        <v>1.0361350691147391</v>
      </c>
      <c r="T321" s="304">
        <v>1.037593205179963</v>
      </c>
      <c r="U321" s="304">
        <v>1.0389593332289064</v>
      </c>
      <c r="V321" s="304">
        <v>1.0402425832808169</v>
      </c>
      <c r="W321" s="304">
        <v>1.040910479068569</v>
      </c>
      <c r="X321" s="304">
        <v>1.0425884525056579</v>
      </c>
      <c r="Y321" s="304">
        <v>1.0436637753942875</v>
      </c>
      <c r="Z321" s="304">
        <v>1.0446810770367816</v>
      </c>
      <c r="AA321" s="304">
        <v>1.0456448229182291</v>
      </c>
      <c r="AB321" s="305">
        <v>1.0460823836641344</v>
      </c>
      <c r="AC321" s="304">
        <v>1.0474278829365398</v>
      </c>
      <c r="AD321" s="304">
        <v>1.0482541593033823</v>
      </c>
      <c r="AE321" s="304">
        <v>1.0490410230184337</v>
      </c>
      <c r="AF321" s="304">
        <v>1.0497910448352914</v>
      </c>
      <c r="AG321" s="304">
        <v>1.05056619297377</v>
      </c>
      <c r="AH321" s="304">
        <v>1.0511901867726985</v>
      </c>
      <c r="AI321" s="304">
        <v>1.051843471526507</v>
      </c>
      <c r="AJ321" s="304">
        <v>1.0524684401823716</v>
      </c>
      <c r="AK321" s="304">
        <v>1.0530669492281173</v>
      </c>
      <c r="AL321" s="305">
        <v>1.0540086511456184</v>
      </c>
      <c r="AM321" s="305">
        <f t="shared" si="4"/>
        <v>1.0540086511456184</v>
      </c>
      <c r="AN321" s="299"/>
    </row>
    <row r="322" spans="1:40" x14ac:dyDescent="0.2">
      <c r="A322" s="303">
        <v>28</v>
      </c>
      <c r="B322" s="304">
        <v>0.96839886011356335</v>
      </c>
      <c r="C322" s="304">
        <v>0.97892002957300916</v>
      </c>
      <c r="D322" s="304">
        <v>0.98703064814567032</v>
      </c>
      <c r="E322" s="304">
        <v>0.99431709699015691</v>
      </c>
      <c r="F322" s="304">
        <v>0.99975843146087695</v>
      </c>
      <c r="G322" s="304">
        <v>1.0051293094173674</v>
      </c>
      <c r="H322" s="304">
        <v>1.0094790401422991</v>
      </c>
      <c r="I322" s="304">
        <v>1.0133007884644316</v>
      </c>
      <c r="J322" s="305">
        <v>1.0173063145485937</v>
      </c>
      <c r="K322" s="304">
        <v>1.0197687097221391</v>
      </c>
      <c r="L322" s="304">
        <v>1.0225363760998059</v>
      </c>
      <c r="M322" s="304">
        <v>1.0254009490034335</v>
      </c>
      <c r="N322" s="304">
        <v>1.0273594369734138</v>
      </c>
      <c r="O322" s="304">
        <v>1.0294779687737221</v>
      </c>
      <c r="P322" s="304">
        <v>1.031433611594653</v>
      </c>
      <c r="Q322" s="304">
        <v>1.033245862890785</v>
      </c>
      <c r="R322" s="304">
        <v>1.0350892289919493</v>
      </c>
      <c r="S322" s="305">
        <v>1.0365015624705376</v>
      </c>
      <c r="T322" s="304">
        <v>1.0379705098967189</v>
      </c>
      <c r="U322" s="304">
        <v>1.0393472057351159</v>
      </c>
      <c r="V322" s="304">
        <v>1.0406407916533047</v>
      </c>
      <c r="W322" s="304">
        <v>1.042</v>
      </c>
      <c r="X322" s="304">
        <v>1.0430068102126406</v>
      </c>
      <c r="Y322" s="304">
        <v>1.0440919292986253</v>
      </c>
      <c r="Z322" s="304">
        <v>1.0451188960890616</v>
      </c>
      <c r="AA322" s="304">
        <v>1.0460921352794139</v>
      </c>
      <c r="AB322" s="305">
        <v>1.0465375295811219</v>
      </c>
      <c r="AC322" s="304">
        <v>1.0478938189156861</v>
      </c>
      <c r="AD322" s="304">
        <v>1.0487292254952862</v>
      </c>
      <c r="AE322" s="304">
        <v>1.0495250984103017</v>
      </c>
      <c r="AF322" s="304">
        <v>1.0502840368349706</v>
      </c>
      <c r="AG322" s="304">
        <v>1.0510722090113247</v>
      </c>
      <c r="AH322" s="304">
        <v>1.0517006900569097</v>
      </c>
      <c r="AI322" s="304">
        <v>1.0523625992087187</v>
      </c>
      <c r="AJ322" s="304">
        <v>1.0529960939309144</v>
      </c>
      <c r="AK322" s="304">
        <v>1.0536030433604493</v>
      </c>
      <c r="AL322" s="305">
        <v>1.0545502285989654</v>
      </c>
      <c r="AM322" s="305">
        <f t="shared" si="4"/>
        <v>1.0545502285989654</v>
      </c>
      <c r="AN322" s="299"/>
    </row>
    <row r="323" spans="1:40" x14ac:dyDescent="0.2">
      <c r="A323" s="303">
        <v>29</v>
      </c>
      <c r="B323" s="304">
        <v>0.96843322767869655</v>
      </c>
      <c r="C323" s="304">
        <v>0.97900488682569842</v>
      </c>
      <c r="D323" s="304">
        <v>0.98714748024288923</v>
      </c>
      <c r="E323" s="304">
        <v>0.9944677240160078</v>
      </c>
      <c r="F323" s="304">
        <v>0.99993289326608448</v>
      </c>
      <c r="G323" s="304">
        <v>1.0053227129977147</v>
      </c>
      <c r="H323" s="304">
        <v>1.0097022902314037</v>
      </c>
      <c r="I323" s="304">
        <v>1.0135264059572668</v>
      </c>
      <c r="J323" s="305">
        <v>1.0169999999999999</v>
      </c>
      <c r="K323" s="304">
        <v>1.0200209188809914</v>
      </c>
      <c r="L323" s="304">
        <v>1.0228005497914365</v>
      </c>
      <c r="M323" s="304">
        <v>1.0256738626814654</v>
      </c>
      <c r="N323" s="304">
        <v>1.0276457007703612</v>
      </c>
      <c r="O323" s="304">
        <v>1.0297746266874079</v>
      </c>
      <c r="P323" s="304">
        <v>1.0317403046883187</v>
      </c>
      <c r="Q323" s="304">
        <v>1.0335622980905941</v>
      </c>
      <c r="R323" s="304">
        <v>1.0354097798204467</v>
      </c>
      <c r="S323" s="305">
        <v>1.0368367643483558</v>
      </c>
      <c r="T323" s="304">
        <v>1.0383148245347025</v>
      </c>
      <c r="U323" s="304">
        <v>1.0397004651571857</v>
      </c>
      <c r="V323" s="304">
        <v>1.0410028355283707</v>
      </c>
      <c r="W323" s="304">
        <v>1.0416994253743692</v>
      </c>
      <c r="X323" s="304">
        <v>1.0433861163036551</v>
      </c>
      <c r="Y323" s="304">
        <v>1.0444796858727616</v>
      </c>
      <c r="Z323" s="304">
        <v>1.0449999999999999</v>
      </c>
      <c r="AA323" s="304">
        <v>1.0464965458205993</v>
      </c>
      <c r="AB323" s="305">
        <v>1.0469493985886753</v>
      </c>
      <c r="AC323" s="304">
        <v>1.0483145783475967</v>
      </c>
      <c r="AD323" s="304">
        <v>1.0491580576775295</v>
      </c>
      <c r="AE323" s="304">
        <v>1.0499619322242584</v>
      </c>
      <c r="AF323" s="304">
        <v>1.050728827476173</v>
      </c>
      <c r="AG323" s="304">
        <v>1.0515295126486945</v>
      </c>
      <c r="AH323" s="304">
        <v>1.0521612098034914</v>
      </c>
      <c r="AI323" s="304">
        <v>1.0528309167297993</v>
      </c>
      <c r="AJ323" s="304">
        <v>1.0534721518784465</v>
      </c>
      <c r="AK323" s="304">
        <v>1.0540867937144582</v>
      </c>
      <c r="AL323" s="305">
        <v>1.0550380061095539</v>
      </c>
      <c r="AM323" s="305">
        <f t="shared" si="4"/>
        <v>1.0550380061095539</v>
      </c>
      <c r="AN323" s="299"/>
    </row>
    <row r="324" spans="1:40" x14ac:dyDescent="0.2">
      <c r="A324" s="306">
        <v>30</v>
      </c>
      <c r="B324" s="307">
        <v>0.96799999999999997</v>
      </c>
      <c r="C324" s="307">
        <v>0.97927020721320346</v>
      </c>
      <c r="D324" s="307">
        <v>0.98748956352768325</v>
      </c>
      <c r="E324" s="307">
        <v>0.99399999999999999</v>
      </c>
      <c r="F324" s="307">
        <v>1.0003535233702949</v>
      </c>
      <c r="G324" s="307">
        <v>1.0057530117936881</v>
      </c>
      <c r="H324" s="307">
        <v>1.0101497904846228</v>
      </c>
      <c r="I324" s="307">
        <v>1.0139592481535722</v>
      </c>
      <c r="J324" s="308">
        <v>1.0169999999999999</v>
      </c>
      <c r="K324" s="307">
        <v>1.0204435950335746</v>
      </c>
      <c r="L324" s="307">
        <v>1.0232163644063808</v>
      </c>
      <c r="M324" s="307">
        <v>1.0260799437154111</v>
      </c>
      <c r="N324" s="307">
        <v>1.0280471024841646</v>
      </c>
      <c r="O324" s="307">
        <v>1.0301691694549371</v>
      </c>
      <c r="P324" s="307">
        <v>1.0321284504932859</v>
      </c>
      <c r="Q324" s="307">
        <v>1.0339446310252383</v>
      </c>
      <c r="R324" s="307">
        <v>1.0357813913096923</v>
      </c>
      <c r="S324" s="308">
        <v>1.0372094857105165</v>
      </c>
      <c r="T324" s="307">
        <v>1.0386838387354231</v>
      </c>
      <c r="U324" s="307">
        <v>1.0400664981429719</v>
      </c>
      <c r="V324" s="307">
        <v>1.0413665981092479</v>
      </c>
      <c r="W324" s="307">
        <v>1.0420667741252458</v>
      </c>
      <c r="X324" s="307">
        <v>1.0437475507534089</v>
      </c>
      <c r="Y324" s="307">
        <v>1.0448409733184358</v>
      </c>
      <c r="Z324" s="307">
        <v>1.0458768730847054</v>
      </c>
      <c r="AA324" s="307">
        <v>1.0468595415166302</v>
      </c>
      <c r="AB324" s="308">
        <v>1.048</v>
      </c>
      <c r="AC324" s="307">
        <v>1.0486817744688146</v>
      </c>
      <c r="AD324" s="307">
        <v>1.0495282286374681</v>
      </c>
      <c r="AE324" s="307">
        <v>1.0503356205855079</v>
      </c>
      <c r="AF324" s="307">
        <v>1.0511065757055555</v>
      </c>
      <c r="AG324" s="307">
        <v>1.0519168176408571</v>
      </c>
      <c r="AH324" s="307">
        <v>1.052548556980702</v>
      </c>
      <c r="AI324" s="307">
        <v>1.0532237806374032</v>
      </c>
      <c r="AJ324" s="307">
        <v>1.053870968451992</v>
      </c>
      <c r="AK324" s="307">
        <v>1.0544919855656132</v>
      </c>
      <c r="AL324" s="308">
        <v>1.0554456631226385</v>
      </c>
      <c r="AM324" s="308">
        <f t="shared" si="4"/>
        <v>1.0554456631226385</v>
      </c>
      <c r="AN324" s="299"/>
    </row>
    <row r="325" spans="1:40" x14ac:dyDescent="0.2">
      <c r="A325" s="303">
        <v>31</v>
      </c>
      <c r="B325" s="304">
        <v>0.96899999999999997</v>
      </c>
      <c r="C325" s="304">
        <v>0.97917053462604464</v>
      </c>
      <c r="D325" s="304">
        <v>0.98737813929418183</v>
      </c>
      <c r="E325" s="304">
        <v>0.99399999999999999</v>
      </c>
      <c r="F325" s="304">
        <v>1.0002795604734274</v>
      </c>
      <c r="G325" s="304">
        <v>1.0056977921351091</v>
      </c>
      <c r="H325" s="304">
        <v>1.0101329410803705</v>
      </c>
      <c r="I325" s="304">
        <v>1.0139535661487789</v>
      </c>
      <c r="J325" s="305">
        <v>1.0169999999999999</v>
      </c>
      <c r="K325" s="304">
        <v>1.0204882660362595</v>
      </c>
      <c r="L325" s="304">
        <v>1.0232854245177996</v>
      </c>
      <c r="M325" s="304">
        <v>1.0261701312820972</v>
      </c>
      <c r="N325" s="304">
        <v>1.0281624230739861</v>
      </c>
      <c r="O325" s="304">
        <v>1.0303062713106137</v>
      </c>
      <c r="P325" s="304">
        <v>1.0322863704311369</v>
      </c>
      <c r="Q325" s="304">
        <v>1.0341224141908658</v>
      </c>
      <c r="R325" s="304">
        <v>1.0359723648950752</v>
      </c>
      <c r="S325" s="305">
        <v>1.0374242072325601</v>
      </c>
      <c r="T325" s="304">
        <v>1.0389157148281118</v>
      </c>
      <c r="U325" s="304">
        <v>1.0403146709055009</v>
      </c>
      <c r="V325" s="304">
        <v>1.041630229856058</v>
      </c>
      <c r="W325" s="304">
        <v>1.0429999999999999</v>
      </c>
      <c r="X325" s="304">
        <v>1.0440398604504209</v>
      </c>
      <c r="Y325" s="304">
        <v>1.0451465101580659</v>
      </c>
      <c r="Z325" s="304">
        <v>1.0461949870263898</v>
      </c>
      <c r="AA325" s="304">
        <v>1.0471895468962207</v>
      </c>
      <c r="AB325" s="305">
        <v>1.047656172122359</v>
      </c>
      <c r="AC325" s="304">
        <v>1.0490337749228829</v>
      </c>
      <c r="AD325" s="304">
        <v>1.0498903677907552</v>
      </c>
      <c r="AE325" s="304">
        <v>1.0507073507459395</v>
      </c>
      <c r="AF325" s="304">
        <v>1.0514873960467783</v>
      </c>
      <c r="AG325" s="304">
        <v>1.052311582897282</v>
      </c>
      <c r="AH325" s="304">
        <v>1.0529460878160435</v>
      </c>
      <c r="AI325" s="304">
        <v>1.0536289934947383</v>
      </c>
      <c r="AJ325" s="304">
        <v>1.0542834259042477</v>
      </c>
      <c r="AK325" s="304">
        <v>1.0549112729281349</v>
      </c>
      <c r="AL325" s="305">
        <v>1.055866418553443</v>
      </c>
      <c r="AM325" s="305">
        <f t="shared" si="4"/>
        <v>1.055866418553443</v>
      </c>
      <c r="AN325" s="299"/>
    </row>
    <row r="326" spans="1:40" x14ac:dyDescent="0.2">
      <c r="A326" s="303">
        <v>32</v>
      </c>
      <c r="B326" s="304">
        <v>0.96850752989453537</v>
      </c>
      <c r="C326" s="304">
        <v>0.97925256699478558</v>
      </c>
      <c r="D326" s="304">
        <v>0.98749306524818903</v>
      </c>
      <c r="E326" s="304">
        <v>0.99399999999999999</v>
      </c>
      <c r="F326" s="304">
        <v>1.0004528739701553</v>
      </c>
      <c r="G326" s="304">
        <v>1.0058809716793393</v>
      </c>
      <c r="H326" s="304">
        <v>1.010342041036266</v>
      </c>
      <c r="I326" s="304">
        <v>1.0141572024178442</v>
      </c>
      <c r="J326" s="305">
        <v>1.0181677963009492</v>
      </c>
      <c r="K326" s="304">
        <v>1.0207061145946117</v>
      </c>
      <c r="L326" s="304">
        <v>1.0235091368126059</v>
      </c>
      <c r="M326" s="304">
        <v>1.0263967978914164</v>
      </c>
      <c r="N326" s="304">
        <v>1.0283964641035266</v>
      </c>
      <c r="O326" s="304">
        <v>1.0305451080250352</v>
      </c>
      <c r="P326" s="304">
        <v>1.0325298478012339</v>
      </c>
      <c r="Q326" s="304">
        <v>1.0343704418351494</v>
      </c>
      <c r="R326" s="304">
        <v>1.0362190128147546</v>
      </c>
      <c r="S326" s="305">
        <v>1.0376812409456693</v>
      </c>
      <c r="T326" s="304">
        <v>1.0391772876472927</v>
      </c>
      <c r="U326" s="304">
        <v>1.0405808072016458</v>
      </c>
      <c r="V326" s="304">
        <v>1.0419009520609266</v>
      </c>
      <c r="W326" s="304">
        <v>1.0426309804096991</v>
      </c>
      <c r="X326" s="304">
        <v>1.0443200011300373</v>
      </c>
      <c r="Y326" s="304">
        <v>1.0454314310189821</v>
      </c>
      <c r="Z326" s="304">
        <v>1.0464847898312262</v>
      </c>
      <c r="AA326" s="304">
        <v>1.0474842633802175</v>
      </c>
      <c r="AB326" s="305">
        <v>1.0479572401333765</v>
      </c>
      <c r="AC326" s="304">
        <v>1.0493385761479535</v>
      </c>
      <c r="AD326" s="304">
        <v>1.050200316870733</v>
      </c>
      <c r="AE326" s="304">
        <v>1.0510225062064102</v>
      </c>
      <c r="AF326" s="304">
        <v>1.0518078371230242</v>
      </c>
      <c r="AG326" s="304">
        <v>1.0526430539895988</v>
      </c>
      <c r="AH326" s="304">
        <v>1.0532772736875786</v>
      </c>
      <c r="AI326" s="304">
        <v>1.0539656529722077</v>
      </c>
      <c r="AJ326" s="304">
        <v>1.0546256088457753</v>
      </c>
      <c r="AK326" s="304">
        <v>1.0552590296646009</v>
      </c>
      <c r="AL326" s="305">
        <v>1.0562142240305459</v>
      </c>
      <c r="AM326" s="305">
        <f t="shared" si="4"/>
        <v>1.0562142240305459</v>
      </c>
      <c r="AN326" s="299"/>
    </row>
    <row r="327" spans="1:40" x14ac:dyDescent="0.2">
      <c r="A327" s="303">
        <v>33</v>
      </c>
      <c r="B327" s="304">
        <v>0.96852479958690196</v>
      </c>
      <c r="C327" s="304">
        <v>0.97933445386870521</v>
      </c>
      <c r="D327" s="304">
        <v>0.98760831504714675</v>
      </c>
      <c r="E327" s="304">
        <v>0.99506518057721782</v>
      </c>
      <c r="F327" s="304">
        <v>1.000626943456332</v>
      </c>
      <c r="G327" s="304">
        <v>1.0060622490890241</v>
      </c>
      <c r="H327" s="304">
        <v>1.01</v>
      </c>
      <c r="I327" s="304">
        <v>1.0143554906342387</v>
      </c>
      <c r="J327" s="305">
        <v>1.0183584566637243</v>
      </c>
      <c r="K327" s="304">
        <v>1.0209149631007952</v>
      </c>
      <c r="L327" s="304">
        <v>1.0237220479872391</v>
      </c>
      <c r="M327" s="304">
        <v>1.026610970441608</v>
      </c>
      <c r="N327" s="304">
        <v>1.028616235511252</v>
      </c>
      <c r="O327" s="304">
        <v>1.0307680272611344</v>
      </c>
      <c r="P327" s="304">
        <v>1.0327558225617068</v>
      </c>
      <c r="Q327" s="304">
        <v>1.03459944421654</v>
      </c>
      <c r="R327" s="304">
        <v>1.0364450407130712</v>
      </c>
      <c r="S327" s="305">
        <v>1.0379163961853397</v>
      </c>
      <c r="T327" s="304">
        <v>1.0394156499403246</v>
      </c>
      <c r="U327" s="304">
        <v>1.0408224602761895</v>
      </c>
      <c r="V327" s="304">
        <v>1.0421459748364255</v>
      </c>
      <c r="W327" s="304">
        <v>1.0428848467782197</v>
      </c>
      <c r="X327" s="304">
        <v>1.0445721803922245</v>
      </c>
      <c r="Y327" s="304">
        <v>1.0456873371256825</v>
      </c>
      <c r="Z327" s="304">
        <v>1.0467445761681597</v>
      </c>
      <c r="AA327" s="304">
        <v>1.0477480069710765</v>
      </c>
      <c r="AB327" s="305">
        <v>1.0489999999999999</v>
      </c>
      <c r="AC327" s="304">
        <v>1.0496106293162015</v>
      </c>
      <c r="AD327" s="304">
        <v>1.0504766940860795</v>
      </c>
      <c r="AE327" s="304">
        <v>1.0513033059074517</v>
      </c>
      <c r="AF327" s="304">
        <v>1.0520931766390231</v>
      </c>
      <c r="AG327" s="304">
        <v>1.0529390287374631</v>
      </c>
      <c r="AH327" s="304">
        <v>1.0535719764761011</v>
      </c>
      <c r="AI327" s="304">
        <v>1.0542651901501481</v>
      </c>
      <c r="AJ327" s="304">
        <v>1.0549300631997134</v>
      </c>
      <c r="AK327" s="304">
        <v>1.0555684817199902</v>
      </c>
      <c r="AL327" s="305">
        <v>1.0565226080231236</v>
      </c>
      <c r="AM327" s="305">
        <f t="shared" si="4"/>
        <v>1.0565226080231236</v>
      </c>
      <c r="AN327" s="299"/>
    </row>
    <row r="328" spans="1:40" x14ac:dyDescent="0.2">
      <c r="A328" s="303">
        <v>34</v>
      </c>
      <c r="B328" s="304">
        <v>0.96853931980810493</v>
      </c>
      <c r="C328" s="304">
        <v>0.97941656463870985</v>
      </c>
      <c r="D328" s="304">
        <v>0.9877241092946607</v>
      </c>
      <c r="E328" s="304">
        <v>0.99521563145190961</v>
      </c>
      <c r="F328" s="304">
        <v>1.0008019998016131</v>
      </c>
      <c r="G328" s="304">
        <v>1.0062420619536618</v>
      </c>
      <c r="H328" s="304">
        <v>1.0107516247077233</v>
      </c>
      <c r="I328" s="304">
        <v>1.0145492010793813</v>
      </c>
      <c r="J328" s="305">
        <v>1.018</v>
      </c>
      <c r="K328" s="304">
        <v>1.0211159079367227</v>
      </c>
      <c r="L328" s="304">
        <v>1.0239254033363863</v>
      </c>
      <c r="M328" s="304">
        <v>1.0268140333944857</v>
      </c>
      <c r="N328" s="304">
        <v>1.0288232442845491</v>
      </c>
      <c r="O328" s="304">
        <v>1.0309766476968893</v>
      </c>
      <c r="P328" s="304">
        <v>1.0329660123933118</v>
      </c>
      <c r="Q328" s="304">
        <v>1.0348112257226625</v>
      </c>
      <c r="R328" s="304">
        <v>1.0366523418783553</v>
      </c>
      <c r="S328" s="305">
        <v>1.0381316153872677</v>
      </c>
      <c r="T328" s="304">
        <v>1.0396327964688592</v>
      </c>
      <c r="U328" s="304">
        <v>1.0410416668778808</v>
      </c>
      <c r="V328" s="304">
        <v>1.0423673671878269</v>
      </c>
      <c r="W328" s="304">
        <v>1.0431139898603954</v>
      </c>
      <c r="X328" s="304">
        <v>1.0447985040377534</v>
      </c>
      <c r="Y328" s="304">
        <v>1.0459163400197289</v>
      </c>
      <c r="Z328" s="304">
        <v>1.046976455330199</v>
      </c>
      <c r="AA328" s="304">
        <v>1.0479828774066424</v>
      </c>
      <c r="AB328" s="305">
        <v>1.0489999999999999</v>
      </c>
      <c r="AC328" s="304">
        <v>1.0498519941815396</v>
      </c>
      <c r="AD328" s="304">
        <v>1.0507215295905992</v>
      </c>
      <c r="AE328" s="304">
        <v>1.051551744479188</v>
      </c>
      <c r="AF328" s="304">
        <v>1.0523453680709431</v>
      </c>
      <c r="AG328" s="304">
        <v>1.0532013953154653</v>
      </c>
      <c r="AH328" s="304">
        <v>1.0538320516237574</v>
      </c>
      <c r="AI328" s="304">
        <v>1.0545294041337074</v>
      </c>
      <c r="AJ328" s="304">
        <v>1.0551985271961266</v>
      </c>
      <c r="AK328" s="304">
        <v>1.0558413022038531</v>
      </c>
      <c r="AL328" s="305">
        <v>1.0567932104469255</v>
      </c>
      <c r="AM328" s="305">
        <f t="shared" si="4"/>
        <v>1.0567932104469255</v>
      </c>
      <c r="AN328" s="299"/>
    </row>
    <row r="329" spans="1:40" x14ac:dyDescent="0.2">
      <c r="A329" s="306">
        <v>35</v>
      </c>
      <c r="B329" s="307">
        <v>0.96878183623623193</v>
      </c>
      <c r="C329" s="307">
        <v>0.97955437304652437</v>
      </c>
      <c r="D329" s="307">
        <v>0.98782485111117246</v>
      </c>
      <c r="E329" s="307">
        <v>0.99533243253036829</v>
      </c>
      <c r="F329" s="307">
        <v>1.000951849579633</v>
      </c>
      <c r="G329" s="307">
        <v>1.006416360132673</v>
      </c>
      <c r="H329" s="307">
        <v>1.0109770962686788</v>
      </c>
      <c r="I329" s="307">
        <v>1.014793482189555</v>
      </c>
      <c r="J329" s="308">
        <v>1.018</v>
      </c>
      <c r="K329" s="307">
        <v>1.0214231332233568</v>
      </c>
      <c r="L329" s="307">
        <v>1.0242594335737554</v>
      </c>
      <c r="M329" s="307">
        <v>1.0271692097517651</v>
      </c>
      <c r="N329" s="307">
        <v>1.0292004223924458</v>
      </c>
      <c r="O329" s="307">
        <v>1.0313702547200974</v>
      </c>
      <c r="P329" s="307">
        <v>1.033372716525687</v>
      </c>
      <c r="Q329" s="307">
        <v>1.0352278352243556</v>
      </c>
      <c r="R329" s="307">
        <v>1.0370695736189743</v>
      </c>
      <c r="S329" s="308">
        <v>1.038559115532776</v>
      </c>
      <c r="T329" s="307">
        <v>1.0400616338647728</v>
      </c>
      <c r="U329" s="307">
        <v>1.041469285177945</v>
      </c>
      <c r="V329" s="307">
        <v>1.0427913448562676</v>
      </c>
      <c r="W329" s="307">
        <v>1.0435375176805448</v>
      </c>
      <c r="X329" s="307">
        <v>1.0452086794429949</v>
      </c>
      <c r="Y329" s="307">
        <v>1.0463165477936962</v>
      </c>
      <c r="Z329" s="307">
        <v>1.0473648733283909</v>
      </c>
      <c r="AA329" s="307">
        <v>1.0483577134922553</v>
      </c>
      <c r="AB329" s="308">
        <v>1.0488303631162763</v>
      </c>
      <c r="AC329" s="307">
        <v>1.0501948963621757</v>
      </c>
      <c r="AD329" s="307">
        <v>1.0510462458306076</v>
      </c>
      <c r="AE329" s="307">
        <v>1.0518569019237565</v>
      </c>
      <c r="AF329" s="307">
        <v>1.0526296963952095</v>
      </c>
      <c r="AG329" s="307">
        <v>1.0534702548554633</v>
      </c>
      <c r="AH329" s="307">
        <v>1.0540711568901537</v>
      </c>
      <c r="AI329" s="307">
        <v>1.0547442686134472</v>
      </c>
      <c r="AJ329" s="307">
        <v>1.0553881347235001</v>
      </c>
      <c r="AK329" s="307">
        <v>1.0560046927604685</v>
      </c>
      <c r="AL329" s="308">
        <v>1.0569223010368167</v>
      </c>
      <c r="AM329" s="308">
        <f t="shared" si="4"/>
        <v>1.0569223010368167</v>
      </c>
      <c r="AN329" s="299"/>
    </row>
    <row r="330" spans="1:40" x14ac:dyDescent="0.2">
      <c r="A330" s="303">
        <v>36</v>
      </c>
      <c r="B330" s="304">
        <v>0.96856176100045732</v>
      </c>
      <c r="C330" s="304">
        <v>0.97958303838634198</v>
      </c>
      <c r="D330" s="304">
        <v>0.98795905044343235</v>
      </c>
      <c r="E330" s="304">
        <v>0.995</v>
      </c>
      <c r="F330" s="304">
        <v>1.0011567306073468</v>
      </c>
      <c r="G330" s="304">
        <v>1.006599395878764</v>
      </c>
      <c r="H330" s="304">
        <v>1.0111534357546312</v>
      </c>
      <c r="I330" s="304">
        <v>1.0149254946037372</v>
      </c>
      <c r="J330" s="305">
        <v>1.018</v>
      </c>
      <c r="K330" s="304">
        <v>1.0214972777336215</v>
      </c>
      <c r="L330" s="304">
        <v>1.0243069506836466</v>
      </c>
      <c r="M330" s="304">
        <v>1.0271906628515395</v>
      </c>
      <c r="N330" s="304">
        <v>1.0292031328930862</v>
      </c>
      <c r="O330" s="304">
        <v>1.0313554886298544</v>
      </c>
      <c r="P330" s="304">
        <v>1.0333438761541611</v>
      </c>
      <c r="Q330" s="304">
        <v>1.0351883115184792</v>
      </c>
      <c r="R330" s="304">
        <v>1.0370163482402006</v>
      </c>
      <c r="S330" s="305">
        <v>1.0385081319133826</v>
      </c>
      <c r="T330" s="304">
        <v>1.0400096812060375</v>
      </c>
      <c r="U330" s="304">
        <v>1.0414193334631978</v>
      </c>
      <c r="V330" s="304">
        <v>1.0427462081409549</v>
      </c>
      <c r="W330" s="304">
        <v>1.0435053615337555</v>
      </c>
      <c r="X330" s="304">
        <v>1.0451812404901002</v>
      </c>
      <c r="Y330" s="304">
        <v>1.0463016461412185</v>
      </c>
      <c r="Z330" s="304">
        <v>1.0473648549286128</v>
      </c>
      <c r="AA330" s="304">
        <v>1.0483747140316597</v>
      </c>
      <c r="AB330" s="305">
        <v>1.0488700862512188</v>
      </c>
      <c r="AC330" s="304">
        <v>1.0502520751071931</v>
      </c>
      <c r="AD330" s="304">
        <v>1.0511263400683055</v>
      </c>
      <c r="AE330" s="304">
        <v>1.0519616499672251</v>
      </c>
      <c r="AF330" s="304">
        <v>1.0527607640101255</v>
      </c>
      <c r="AG330" s="304">
        <v>1.0536360358319028</v>
      </c>
      <c r="AH330" s="304">
        <v>1.0542594625132389</v>
      </c>
      <c r="AI330" s="304">
        <v>1.0549633465157873</v>
      </c>
      <c r="AJ330" s="304">
        <v>1.055639306799145</v>
      </c>
      <c r="AK330" s="304">
        <v>1.0562892082198387</v>
      </c>
      <c r="AL330" s="305">
        <v>1.0572336969118648</v>
      </c>
      <c r="AM330" s="305">
        <f t="shared" si="4"/>
        <v>1.0572336969118648</v>
      </c>
      <c r="AN330" s="299"/>
    </row>
    <row r="331" spans="1:40" x14ac:dyDescent="0.2">
      <c r="A331" s="303">
        <v>37</v>
      </c>
      <c r="B331" s="304">
        <v>0.96856992526067986</v>
      </c>
      <c r="C331" s="304">
        <v>0.97966757901457802</v>
      </c>
      <c r="D331" s="304">
        <v>0.9880784877447597</v>
      </c>
      <c r="E331" s="304">
        <v>0.995</v>
      </c>
      <c r="F331" s="304">
        <v>1.0013368243409579</v>
      </c>
      <c r="G331" s="304">
        <v>1.0067776185035038</v>
      </c>
      <c r="H331" s="304">
        <v>1.0113525227577376</v>
      </c>
      <c r="I331" s="304">
        <v>1.0151091340278504</v>
      </c>
      <c r="J331" s="305">
        <v>1.0190522137632545</v>
      </c>
      <c r="K331" s="304">
        <v>1.0216791025418952</v>
      </c>
      <c r="L331" s="304">
        <v>1.0244867060099958</v>
      </c>
      <c r="M331" s="304">
        <v>1.0273659511919497</v>
      </c>
      <c r="N331" s="304">
        <v>1.0293778844231083</v>
      </c>
      <c r="O331" s="304">
        <v>1.0315277252316983</v>
      </c>
      <c r="P331" s="304">
        <v>1.0335137042425788</v>
      </c>
      <c r="Q331" s="304">
        <v>1.0353559019814922</v>
      </c>
      <c r="R331" s="304">
        <v>1.0371754873069075</v>
      </c>
      <c r="S331" s="305">
        <v>1.0386719617403353</v>
      </c>
      <c r="T331" s="304">
        <v>1.0401720666448722</v>
      </c>
      <c r="U331" s="304">
        <v>1.0415805502447992</v>
      </c>
      <c r="V331" s="304">
        <v>1.0429065183073918</v>
      </c>
      <c r="W331" s="304">
        <v>1.0436705320877928</v>
      </c>
      <c r="X331" s="304">
        <v>1.0453407099358707</v>
      </c>
      <c r="Y331" s="304">
        <v>1.0464610971187835</v>
      </c>
      <c r="Z331" s="304">
        <v>1.0469999999999999</v>
      </c>
      <c r="AA331" s="304">
        <v>1.048</v>
      </c>
      <c r="AB331" s="305">
        <v>1.0490352926898794</v>
      </c>
      <c r="AC331" s="304">
        <v>1.0504142639655987</v>
      </c>
      <c r="AD331" s="304">
        <v>1.0512898602309848</v>
      </c>
      <c r="AE331" s="304">
        <v>1.0521267312777129</v>
      </c>
      <c r="AF331" s="304">
        <v>1.0529276490434194</v>
      </c>
      <c r="AG331" s="304">
        <v>1.0538120214703603</v>
      </c>
      <c r="AH331" s="304">
        <v>1.0544306023001764</v>
      </c>
      <c r="AI331" s="304">
        <v>1.0551369366048591</v>
      </c>
      <c r="AJ331" s="304">
        <v>1.0558155391523927</v>
      </c>
      <c r="AK331" s="304">
        <v>1.0564682631830264</v>
      </c>
      <c r="AL331" s="305">
        <v>1.0574076606311529</v>
      </c>
      <c r="AM331" s="305">
        <f t="shared" si="4"/>
        <v>1.0574076606311529</v>
      </c>
      <c r="AN331" s="299"/>
    </row>
    <row r="332" spans="1:40" x14ac:dyDescent="0.2">
      <c r="A332" s="303">
        <v>38</v>
      </c>
      <c r="B332" s="304">
        <v>0.96857663597358468</v>
      </c>
      <c r="C332" s="304">
        <v>0.97975312776580969</v>
      </c>
      <c r="D332" s="304">
        <v>0.9881992644893538</v>
      </c>
      <c r="E332" s="304">
        <v>0.99583187772411885</v>
      </c>
      <c r="F332" s="304">
        <v>1.0015187785415627</v>
      </c>
      <c r="G332" s="304">
        <v>1.0069557935893647</v>
      </c>
      <c r="H332" s="304">
        <v>1.0109999999999999</v>
      </c>
      <c r="I332" s="304">
        <v>1.0152903469641834</v>
      </c>
      <c r="J332" s="305">
        <v>1.01921195309072</v>
      </c>
      <c r="K332" s="304">
        <v>1.0218559355294712</v>
      </c>
      <c r="L332" s="304">
        <v>1.0246601906818689</v>
      </c>
      <c r="M332" s="304">
        <v>1.0275337823801838</v>
      </c>
      <c r="N332" s="304">
        <v>1.0295438777500712</v>
      </c>
      <c r="O332" s="304">
        <v>1.0316900101779305</v>
      </c>
      <c r="P332" s="304">
        <v>1.0336724252791591</v>
      </c>
      <c r="Q332" s="304">
        <v>1.0355112683058167</v>
      </c>
      <c r="R332" s="304">
        <v>1.0373212467067225</v>
      </c>
      <c r="S332" s="305">
        <v>1.0388214537596716</v>
      </c>
      <c r="T332" s="304">
        <v>1.0403191175060555</v>
      </c>
      <c r="U332" s="304">
        <v>1.0417254735396528</v>
      </c>
      <c r="V332" s="304">
        <v>1.0430496122819064</v>
      </c>
      <c r="W332" s="304">
        <v>1.0438176046330585</v>
      </c>
      <c r="X332" s="304">
        <v>1.0454812284115675</v>
      </c>
      <c r="Y332" s="304">
        <v>1.046</v>
      </c>
      <c r="Z332" s="304">
        <v>1.0469999999999999</v>
      </c>
      <c r="AA332" s="304">
        <v>1.048</v>
      </c>
      <c r="AB332" s="305">
        <v>1.0491789334135053</v>
      </c>
      <c r="AC332" s="304">
        <v>1.05</v>
      </c>
      <c r="AD332" s="304">
        <v>1.0514299939132099</v>
      </c>
      <c r="AE332" s="304">
        <v>1.0522677866771848</v>
      </c>
      <c r="AF332" s="304">
        <v>1.0530698939446865</v>
      </c>
      <c r="AG332" s="304">
        <v>1.053963008482802</v>
      </c>
      <c r="AH332" s="304">
        <v>1.0545759471379528</v>
      </c>
      <c r="AI332" s="304">
        <v>1.0552841887581796</v>
      </c>
      <c r="AJ332" s="304">
        <v>1.055964912777887</v>
      </c>
      <c r="AK332" s="304">
        <v>1.0566199588394865</v>
      </c>
      <c r="AL332" s="305">
        <v>1.0575533702115725</v>
      </c>
      <c r="AM332" s="305">
        <f t="shared" si="4"/>
        <v>1.0575533702115725</v>
      </c>
      <c r="AN332" s="299"/>
    </row>
    <row r="333" spans="1:40" x14ac:dyDescent="0.2">
      <c r="A333" s="303">
        <v>39</v>
      </c>
      <c r="B333" s="304">
        <v>0.96858222040184494</v>
      </c>
      <c r="C333" s="304">
        <v>0.97983996540290508</v>
      </c>
      <c r="D333" s="304">
        <v>0.98832166078977113</v>
      </c>
      <c r="E333" s="304">
        <v>0.99599019551922507</v>
      </c>
      <c r="F333" s="304">
        <v>1.0017028089317663</v>
      </c>
      <c r="G333" s="304">
        <v>1.007134201282234</v>
      </c>
      <c r="H333" s="304">
        <v>1.0117484614184939</v>
      </c>
      <c r="I333" s="304">
        <v>1.016</v>
      </c>
      <c r="J333" s="305">
        <v>1.01936728712989</v>
      </c>
      <c r="K333" s="304">
        <v>1.0220281853748929</v>
      </c>
      <c r="L333" s="304">
        <v>1.0248278548943903</v>
      </c>
      <c r="M333" s="304">
        <v>1.0276946502678244</v>
      </c>
      <c r="N333" s="304">
        <v>1.0297016530208301</v>
      </c>
      <c r="O333" s="304">
        <v>1.0318429311241362</v>
      </c>
      <c r="P333" s="304">
        <v>1.0338206757226704</v>
      </c>
      <c r="Q333" s="304">
        <v>1.0356550968656686</v>
      </c>
      <c r="R333" s="304">
        <v>1.0374543719483751</v>
      </c>
      <c r="S333" s="305">
        <v>1.0389573965417482</v>
      </c>
      <c r="T333" s="304">
        <v>1.0404516743013117</v>
      </c>
      <c r="U333" s="304">
        <v>1.0418549962564829</v>
      </c>
      <c r="V333" s="304">
        <v>1.0431764357711741</v>
      </c>
      <c r="W333" s="304">
        <v>1.0439475710672421</v>
      </c>
      <c r="X333" s="304">
        <v>1.045603847678267</v>
      </c>
      <c r="Y333" s="304">
        <v>1.0467218004629766</v>
      </c>
      <c r="Z333" s="304">
        <v>1.047783625571999</v>
      </c>
      <c r="AA333" s="304">
        <v>1.0487928642023434</v>
      </c>
      <c r="AB333" s="305">
        <v>1.049302247858777</v>
      </c>
      <c r="AC333" s="304">
        <v>1.05</v>
      </c>
      <c r="AD333" s="304">
        <v>1.0509999999999999</v>
      </c>
      <c r="AE333" s="304">
        <v>1.052386240253794</v>
      </c>
      <c r="AF333" s="304">
        <v>1.0531889756254609</v>
      </c>
      <c r="AG333" s="304">
        <v>1.0540905128220239</v>
      </c>
      <c r="AH333" s="304">
        <v>1.0546970790354195</v>
      </c>
      <c r="AI333" s="304">
        <v>1.0554067372343676</v>
      </c>
      <c r="AJ333" s="304">
        <v>1.0560891139624702</v>
      </c>
      <c r="AK333" s="304">
        <v>1.0567460333213785</v>
      </c>
      <c r="AL333" s="305">
        <v>1.0576726404390921</v>
      </c>
      <c r="AM333" s="305">
        <f t="shared" si="4"/>
        <v>1.0576726404390921</v>
      </c>
      <c r="AN333" s="299"/>
    </row>
    <row r="334" spans="1:40" ht="13.5" thickBot="1" x14ac:dyDescent="0.25">
      <c r="A334" s="309">
        <v>40</v>
      </c>
      <c r="B334" s="310">
        <v>0.96899999999999997</v>
      </c>
      <c r="C334" s="310">
        <v>0.97983364228146042</v>
      </c>
      <c r="D334" s="310">
        <v>0.98837499233270543</v>
      </c>
      <c r="E334" s="310">
        <v>0.99608045548768631</v>
      </c>
      <c r="F334" s="310">
        <v>1.001808588036049</v>
      </c>
      <c r="G334" s="310">
        <v>1.0072171340265279</v>
      </c>
      <c r="H334" s="310">
        <v>1.0118326803821396</v>
      </c>
      <c r="I334" s="310">
        <v>1.0155164989554399</v>
      </c>
      <c r="J334" s="311">
        <v>1.0193722652905268</v>
      </c>
      <c r="K334" s="310">
        <v>1.0220354944579095</v>
      </c>
      <c r="L334" s="310">
        <v>1.0248169431873735</v>
      </c>
      <c r="M334" s="310">
        <v>1.0276654778423746</v>
      </c>
      <c r="N334" s="310">
        <v>1.0296599178035972</v>
      </c>
      <c r="O334" s="310">
        <v>1.0317890538660159</v>
      </c>
      <c r="P334" s="310">
        <v>1.0337568885160482</v>
      </c>
      <c r="Q334" s="310">
        <v>1.0355836119230935</v>
      </c>
      <c r="R334" s="310">
        <v>1.0373707155954355</v>
      </c>
      <c r="S334" s="311">
        <v>1.0388769865899337</v>
      </c>
      <c r="T334" s="310">
        <v>1.0403699171627778</v>
      </c>
      <c r="U334" s="310">
        <v>1.0417738178914679</v>
      </c>
      <c r="V334" s="310">
        <v>1.0430976506172849</v>
      </c>
      <c r="W334" s="310">
        <v>1.0438784041721503</v>
      </c>
      <c r="X334" s="310">
        <v>1.0455351341207249</v>
      </c>
      <c r="Y334" s="310">
        <v>1.0466605043487893</v>
      </c>
      <c r="Z334" s="310">
        <v>1.0477312895077207</v>
      </c>
      <c r="AA334" s="310">
        <v>1.0487508513206372</v>
      </c>
      <c r="AB334" s="311">
        <v>1.05</v>
      </c>
      <c r="AC334" s="310">
        <v>1.0506544452967685</v>
      </c>
      <c r="AD334" s="310">
        <v>1.0515449255010507</v>
      </c>
      <c r="AE334" s="310">
        <v>1.0523983447332468</v>
      </c>
      <c r="AF334" s="310">
        <v>1.0532174564180177</v>
      </c>
      <c r="AG334" s="310">
        <v>1.0541441151816864</v>
      </c>
      <c r="AH334" s="310">
        <v>1.0547613014633579</v>
      </c>
      <c r="AI334" s="310">
        <v>1.0554902346163475</v>
      </c>
      <c r="AJ334" s="310">
        <v>1.0561927462871188</v>
      </c>
      <c r="AK334" s="310">
        <v>1.0568706083548465</v>
      </c>
      <c r="AL334" s="311">
        <v>1.0578096690974652</v>
      </c>
      <c r="AM334" s="311">
        <f t="shared" si="4"/>
        <v>1.0578096690974652</v>
      </c>
      <c r="AN334" s="299"/>
    </row>
    <row r="335" spans="1:40" ht="14.25" thickTop="1" thickBot="1" x14ac:dyDescent="0.25">
      <c r="A335" s="309">
        <f>A334+0.001</f>
        <v>40.000999999999998</v>
      </c>
      <c r="B335" s="310">
        <f>B334</f>
        <v>0.96899999999999997</v>
      </c>
      <c r="C335" s="310">
        <f t="shared" ref="C335:AL335" si="5">C334</f>
        <v>0.97983364228146042</v>
      </c>
      <c r="D335" s="310">
        <f t="shared" si="5"/>
        <v>0.98837499233270543</v>
      </c>
      <c r="E335" s="310">
        <f t="shared" si="5"/>
        <v>0.99608045548768631</v>
      </c>
      <c r="F335" s="310">
        <f t="shared" si="5"/>
        <v>1.001808588036049</v>
      </c>
      <c r="G335" s="310">
        <f t="shared" si="5"/>
        <v>1.0072171340265279</v>
      </c>
      <c r="H335" s="310">
        <f t="shared" si="5"/>
        <v>1.0118326803821396</v>
      </c>
      <c r="I335" s="310">
        <f t="shared" si="5"/>
        <v>1.0155164989554399</v>
      </c>
      <c r="J335" s="311">
        <f t="shared" si="5"/>
        <v>1.0193722652905268</v>
      </c>
      <c r="K335" s="310">
        <f t="shared" si="5"/>
        <v>1.0220354944579095</v>
      </c>
      <c r="L335" s="310">
        <f t="shared" si="5"/>
        <v>1.0248169431873735</v>
      </c>
      <c r="M335" s="310">
        <f t="shared" si="5"/>
        <v>1.0276654778423746</v>
      </c>
      <c r="N335" s="310">
        <f t="shared" si="5"/>
        <v>1.0296599178035972</v>
      </c>
      <c r="O335" s="310">
        <f t="shared" si="5"/>
        <v>1.0317890538660159</v>
      </c>
      <c r="P335" s="310">
        <f t="shared" si="5"/>
        <v>1.0337568885160482</v>
      </c>
      <c r="Q335" s="310">
        <f t="shared" si="5"/>
        <v>1.0355836119230935</v>
      </c>
      <c r="R335" s="310">
        <f t="shared" si="5"/>
        <v>1.0373707155954355</v>
      </c>
      <c r="S335" s="311">
        <f t="shared" si="5"/>
        <v>1.0388769865899337</v>
      </c>
      <c r="T335" s="310">
        <f t="shared" si="5"/>
        <v>1.0403699171627778</v>
      </c>
      <c r="U335" s="310">
        <f t="shared" si="5"/>
        <v>1.0417738178914679</v>
      </c>
      <c r="V335" s="310">
        <f t="shared" si="5"/>
        <v>1.0430976506172849</v>
      </c>
      <c r="W335" s="310">
        <f t="shared" si="5"/>
        <v>1.0438784041721503</v>
      </c>
      <c r="X335" s="310">
        <f t="shared" si="5"/>
        <v>1.0455351341207249</v>
      </c>
      <c r="Y335" s="310">
        <f t="shared" si="5"/>
        <v>1.0466605043487893</v>
      </c>
      <c r="Z335" s="310">
        <f t="shared" si="5"/>
        <v>1.0477312895077207</v>
      </c>
      <c r="AA335" s="310">
        <f t="shared" si="5"/>
        <v>1.0487508513206372</v>
      </c>
      <c r="AB335" s="311">
        <f t="shared" si="5"/>
        <v>1.05</v>
      </c>
      <c r="AC335" s="310">
        <f t="shared" si="5"/>
        <v>1.0506544452967685</v>
      </c>
      <c r="AD335" s="310">
        <f t="shared" si="5"/>
        <v>1.0515449255010507</v>
      </c>
      <c r="AE335" s="310">
        <f t="shared" si="5"/>
        <v>1.0523983447332468</v>
      </c>
      <c r="AF335" s="310">
        <f t="shared" si="5"/>
        <v>1.0532174564180177</v>
      </c>
      <c r="AG335" s="310">
        <f t="shared" si="5"/>
        <v>1.0541441151816864</v>
      </c>
      <c r="AH335" s="310">
        <f t="shared" si="5"/>
        <v>1.0547613014633579</v>
      </c>
      <c r="AI335" s="310">
        <f t="shared" si="5"/>
        <v>1.0554902346163475</v>
      </c>
      <c r="AJ335" s="310">
        <f t="shared" si="5"/>
        <v>1.0561927462871188</v>
      </c>
      <c r="AK335" s="310">
        <f t="shared" si="5"/>
        <v>1.0568706083548465</v>
      </c>
      <c r="AL335" s="311">
        <f t="shared" si="5"/>
        <v>1.0578096690974652</v>
      </c>
      <c r="AM335" s="311">
        <f>AL334</f>
        <v>1.0578096690974652</v>
      </c>
      <c r="AN335" s="299"/>
    </row>
    <row r="336" spans="1:40" ht="14.25" thickTop="1" thickBot="1" x14ac:dyDescent="0.25">
      <c r="A336" s="312"/>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c r="AA336" s="313"/>
      <c r="AB336" s="313"/>
      <c r="AC336" s="313"/>
      <c r="AD336" s="313"/>
      <c r="AE336" s="313"/>
      <c r="AF336" s="313"/>
      <c r="AG336" s="313"/>
      <c r="AH336" s="313"/>
      <c r="AI336" s="313"/>
      <c r="AJ336" s="313"/>
      <c r="AK336" s="313"/>
      <c r="AL336" s="313"/>
      <c r="AM336" s="313"/>
      <c r="AN336" s="314"/>
    </row>
    <row r="337" ht="13.5" thickTop="1" x14ac:dyDescent="0.2"/>
  </sheetData>
  <mergeCells count="10">
    <mergeCell ref="A3:D3"/>
    <mergeCell ref="A128:F128"/>
    <mergeCell ref="A234:D234"/>
    <mergeCell ref="A295:D295"/>
    <mergeCell ref="B296:J296"/>
    <mergeCell ref="A27:D27"/>
    <mergeCell ref="B85:J85"/>
    <mergeCell ref="A84:D84"/>
    <mergeCell ref="A19:D19"/>
    <mergeCell ref="A15:D15"/>
  </mergeCells>
  <phoneticPr fontId="0" type="noConversion"/>
  <hyperlinks>
    <hyperlink ref="F1" location="CL21C_6MV_RDF" display="RDF"/>
    <hyperlink ref="G1" location="CL21C_6MV_Enhanced_Dynamic_Wedge_Factors" display="Enhanced Dynamic Wedge Factors"/>
    <hyperlink ref="M1" location="CL21C_6MV_Peak_Scatter_Factor" display="Peak Scatter Factor"/>
    <hyperlink ref="Q1" location="CL21C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37"/>
  <sheetViews>
    <sheetView zoomScale="75" zoomScaleNormal="75" workbookViewId="0">
      <selection activeCell="J12" sqref="J12"/>
    </sheetView>
  </sheetViews>
  <sheetFormatPr defaultColWidth="5.28515625" defaultRowHeight="12.75" x14ac:dyDescent="0.2"/>
  <cols>
    <col min="1" max="1" width="13.7109375" style="233" customWidth="1"/>
    <col min="2" max="8" width="8.28515625" style="232" customWidth="1"/>
    <col min="9" max="24" width="5.28515625" style="232" customWidth="1"/>
    <col min="25" max="25" width="6.7109375" style="232" customWidth="1"/>
    <col min="26" max="16384" width="5.28515625" style="232"/>
  </cols>
  <sheetData>
    <row r="1" spans="1:17" ht="13.5" thickTop="1" x14ac:dyDescent="0.2">
      <c r="F1" s="3" t="s">
        <v>9</v>
      </c>
      <c r="G1" s="3" t="s">
        <v>57</v>
      </c>
      <c r="H1" s="3"/>
      <c r="I1" s="3"/>
      <c r="K1" s="3"/>
      <c r="L1" s="3" t="s">
        <v>143</v>
      </c>
      <c r="M1" s="3"/>
      <c r="N1" s="3"/>
      <c r="O1" s="3"/>
      <c r="P1" s="2" t="s">
        <v>91</v>
      </c>
      <c r="Q1" s="3"/>
    </row>
    <row r="2" spans="1:17" ht="13.5" thickBot="1" x14ac:dyDescent="0.25"/>
    <row r="3" spans="1:17" ht="21.75" thickTop="1" thickBot="1" x14ac:dyDescent="0.25">
      <c r="A3" s="693" t="s">
        <v>197</v>
      </c>
      <c r="B3" s="694"/>
      <c r="C3" s="694"/>
      <c r="D3" s="695"/>
    </row>
    <row r="4" spans="1:17" ht="13.5" thickBot="1" x14ac:dyDescent="0.25">
      <c r="A4" s="234"/>
      <c r="B4" s="235" t="s">
        <v>201</v>
      </c>
      <c r="C4" s="236" t="s">
        <v>200</v>
      </c>
      <c r="D4" s="237"/>
    </row>
    <row r="5" spans="1:17" x14ac:dyDescent="0.2">
      <c r="A5" s="238" t="s">
        <v>199</v>
      </c>
      <c r="B5" s="239">
        <v>-2</v>
      </c>
      <c r="C5" s="240">
        <v>20</v>
      </c>
      <c r="D5" s="237"/>
    </row>
    <row r="6" spans="1:17" x14ac:dyDescent="0.2">
      <c r="A6" s="238" t="s">
        <v>202</v>
      </c>
      <c r="B6" s="241">
        <v>-2</v>
      </c>
      <c r="C6" s="242">
        <v>20</v>
      </c>
      <c r="D6" s="237"/>
    </row>
    <row r="7" spans="1:17" x14ac:dyDescent="0.2">
      <c r="A7" s="238" t="s">
        <v>203</v>
      </c>
      <c r="B7" s="241">
        <v>-10</v>
      </c>
      <c r="C7" s="242">
        <v>20</v>
      </c>
      <c r="D7" s="237"/>
    </row>
    <row r="8" spans="1:17" x14ac:dyDescent="0.2">
      <c r="A8" s="238" t="s">
        <v>204</v>
      </c>
      <c r="B8" s="241">
        <v>-10</v>
      </c>
      <c r="C8" s="242">
        <v>20</v>
      </c>
      <c r="D8" s="237"/>
    </row>
    <row r="9" spans="1:17" x14ac:dyDescent="0.2">
      <c r="A9" s="238" t="s">
        <v>295</v>
      </c>
      <c r="B9" s="241">
        <v>4</v>
      </c>
      <c r="C9" s="242">
        <v>40</v>
      </c>
      <c r="D9" s="237"/>
    </row>
    <row r="10" spans="1:17" x14ac:dyDescent="0.2">
      <c r="A10" s="238" t="s">
        <v>296</v>
      </c>
      <c r="B10" s="241">
        <v>4</v>
      </c>
      <c r="C10" s="242">
        <v>40</v>
      </c>
      <c r="D10" s="237"/>
    </row>
    <row r="11" spans="1:17" x14ac:dyDescent="0.2">
      <c r="A11" s="238" t="s">
        <v>31</v>
      </c>
      <c r="B11" s="241">
        <v>4</v>
      </c>
      <c r="C11" s="242">
        <v>60</v>
      </c>
      <c r="D11" s="237"/>
    </row>
    <row r="12" spans="1:17" ht="13.5" thickBot="1" x14ac:dyDescent="0.25">
      <c r="A12" s="243" t="s">
        <v>24</v>
      </c>
      <c r="B12" s="343">
        <v>0</v>
      </c>
      <c r="C12" s="344">
        <v>30</v>
      </c>
      <c r="D12" s="237"/>
    </row>
    <row r="13" spans="1:17" ht="13.5" thickBot="1" x14ac:dyDescent="0.25">
      <c r="A13" s="246"/>
      <c r="B13" s="247"/>
      <c r="C13" s="247"/>
      <c r="D13" s="248"/>
    </row>
    <row r="14" spans="1:17" ht="17.45" customHeight="1" thickTop="1" thickBot="1" x14ac:dyDescent="0.25">
      <c r="A14" s="249"/>
      <c r="B14" s="231"/>
      <c r="C14" s="231"/>
      <c r="D14" s="231"/>
    </row>
    <row r="15" spans="1:17" ht="22.5" customHeight="1" thickTop="1" thickBot="1" x14ac:dyDescent="0.25">
      <c r="A15" s="693" t="s">
        <v>139</v>
      </c>
      <c r="B15" s="694"/>
      <c r="C15" s="694"/>
      <c r="D15" s="695"/>
    </row>
    <row r="16" spans="1:17" ht="17.45" customHeight="1" thickBot="1" x14ac:dyDescent="0.25">
      <c r="A16" s="250" t="s">
        <v>139</v>
      </c>
      <c r="B16" s="251">
        <v>100</v>
      </c>
      <c r="C16" s="231"/>
      <c r="D16" s="237"/>
    </row>
    <row r="17" spans="1:60" ht="17.45" customHeight="1" thickBot="1" x14ac:dyDescent="0.25">
      <c r="A17" s="246"/>
      <c r="B17" s="247"/>
      <c r="C17" s="247"/>
      <c r="D17" s="248"/>
    </row>
    <row r="18" spans="1:60" ht="17.45" customHeight="1" thickTop="1" thickBot="1" x14ac:dyDescent="0.25">
      <c r="A18" s="249"/>
      <c r="B18" s="231"/>
      <c r="C18" s="231"/>
      <c r="D18" s="231"/>
    </row>
    <row r="19" spans="1:60" ht="16.5" customHeight="1" thickTop="1" thickBot="1" x14ac:dyDescent="0.25">
      <c r="A19" s="693" t="s">
        <v>348</v>
      </c>
      <c r="B19" s="694"/>
      <c r="C19" s="694"/>
      <c r="D19" s="695"/>
    </row>
    <row r="20" spans="1:60" ht="17.45" customHeight="1" thickBot="1" x14ac:dyDescent="0.25">
      <c r="A20" s="252"/>
      <c r="B20" s="253" t="s">
        <v>250</v>
      </c>
      <c r="C20" s="92"/>
      <c r="D20" s="237"/>
    </row>
    <row r="21" spans="1:60" ht="17.45" customHeight="1" x14ac:dyDescent="0.2">
      <c r="A21" s="254" t="s">
        <v>78</v>
      </c>
      <c r="B21" s="255">
        <v>1</v>
      </c>
      <c r="C21" s="231"/>
      <c r="D21" s="237"/>
    </row>
    <row r="22" spans="1:60" ht="17.45" customHeight="1" x14ac:dyDescent="0.2">
      <c r="A22" s="256" t="s">
        <v>71</v>
      </c>
      <c r="B22" s="257"/>
      <c r="C22" s="231"/>
      <c r="D22" s="237"/>
    </row>
    <row r="23" spans="1:60" ht="17.45" customHeight="1" x14ac:dyDescent="0.2">
      <c r="A23" s="256"/>
      <c r="B23" s="257"/>
      <c r="C23" s="231"/>
      <c r="D23" s="237"/>
    </row>
    <row r="24" spans="1:60" ht="17.45" customHeight="1" thickBot="1" x14ac:dyDescent="0.25">
      <c r="A24" s="258" t="s">
        <v>73</v>
      </c>
      <c r="B24" s="259"/>
      <c r="C24" s="231"/>
      <c r="D24" s="237"/>
    </row>
    <row r="25" spans="1:60" ht="17.45" customHeight="1" thickBot="1" x14ac:dyDescent="0.25">
      <c r="A25" s="246"/>
      <c r="B25" s="247"/>
      <c r="C25" s="247"/>
      <c r="D25" s="248"/>
    </row>
    <row r="26" spans="1:60" ht="14.25" thickTop="1" thickBot="1" x14ac:dyDescent="0.25"/>
    <row r="27" spans="1:60" ht="21" thickTop="1" x14ac:dyDescent="0.2">
      <c r="A27" s="693" t="s">
        <v>8</v>
      </c>
      <c r="B27" s="700"/>
      <c r="C27" s="700"/>
      <c r="D27" s="700"/>
      <c r="E27" s="260"/>
      <c r="F27" s="260"/>
      <c r="G27" s="260"/>
      <c r="H27" s="260"/>
      <c r="I27" s="260"/>
      <c r="J27" s="260"/>
      <c r="K27" s="260"/>
      <c r="L27" s="260"/>
      <c r="M27" s="260"/>
      <c r="N27" s="260"/>
      <c r="O27" s="260"/>
      <c r="P27" s="260"/>
      <c r="Q27" s="260"/>
      <c r="R27" s="3"/>
      <c r="S27" s="260"/>
      <c r="T27" s="260"/>
      <c r="U27" s="260"/>
      <c r="V27" s="260"/>
      <c r="W27" s="260"/>
      <c r="X27" s="260"/>
      <c r="Y27" s="260"/>
      <c r="Z27" s="260"/>
      <c r="AA27" s="260"/>
      <c r="AB27" s="260"/>
      <c r="AC27" s="260"/>
      <c r="AD27" s="260"/>
      <c r="AE27" s="260"/>
      <c r="AF27" s="260"/>
      <c r="AG27" s="260"/>
      <c r="AH27" s="260"/>
      <c r="AI27" s="260"/>
      <c r="AJ27" s="260"/>
      <c r="AK27" s="260"/>
      <c r="AL27" s="260"/>
      <c r="AM27" s="260"/>
      <c r="AN27" s="260"/>
      <c r="AO27" s="260"/>
      <c r="AP27" s="260"/>
      <c r="AQ27" s="260"/>
      <c r="AR27" s="260"/>
      <c r="AS27" s="260"/>
      <c r="AT27" s="260"/>
      <c r="AU27" s="260"/>
      <c r="AV27" s="260"/>
      <c r="AW27" s="260"/>
      <c r="AX27" s="260"/>
      <c r="AY27" s="260"/>
      <c r="AZ27" s="260"/>
      <c r="BA27" s="260"/>
      <c r="BB27" s="260"/>
      <c r="BC27" s="260"/>
      <c r="BD27" s="260"/>
      <c r="BE27" s="260"/>
      <c r="BF27" s="260"/>
      <c r="BG27" s="260"/>
      <c r="BH27" s="261"/>
    </row>
    <row r="28" spans="1:60" ht="16.5" thickBot="1" x14ac:dyDescent="0.3">
      <c r="B28" s="346" t="s">
        <v>31</v>
      </c>
      <c r="BH28" s="237"/>
    </row>
    <row r="29" spans="1:60" s="272" customFormat="1" ht="14.25" thickTop="1" thickBot="1" x14ac:dyDescent="0.25">
      <c r="A29" s="347" t="s">
        <v>5</v>
      </c>
      <c r="B29" s="264"/>
      <c r="C29" s="264"/>
      <c r="D29" s="264"/>
      <c r="E29" s="264"/>
      <c r="F29" s="264"/>
      <c r="G29" s="264"/>
      <c r="H29" s="265"/>
      <c r="I29" s="265"/>
      <c r="J29" s="266"/>
      <c r="K29" s="265"/>
      <c r="L29" s="265"/>
      <c r="M29" s="265"/>
      <c r="N29" s="265"/>
      <c r="O29" s="265"/>
      <c r="P29" s="265"/>
      <c r="Q29" s="265"/>
      <c r="R29" s="265"/>
      <c r="S29" s="266"/>
      <c r="T29" s="265"/>
      <c r="U29" s="265"/>
      <c r="V29" s="265"/>
      <c r="W29" s="265"/>
      <c r="X29" s="265"/>
      <c r="Y29" s="265"/>
      <c r="Z29" s="265"/>
      <c r="AA29" s="265"/>
      <c r="AB29" s="266"/>
      <c r="AC29" s="265"/>
      <c r="AD29" s="265"/>
      <c r="AE29" s="265"/>
      <c r="AF29" s="265"/>
      <c r="AG29" s="265"/>
      <c r="AH29" s="265"/>
      <c r="AI29" s="265"/>
      <c r="AJ29" s="265"/>
      <c r="AK29" s="265"/>
      <c r="AL29" s="266"/>
      <c r="AM29" s="264"/>
      <c r="AN29" s="264"/>
      <c r="AO29" s="264"/>
      <c r="AP29" s="264"/>
      <c r="AQ29" s="264"/>
      <c r="AR29" s="264"/>
      <c r="AS29" s="264"/>
      <c r="AT29" s="264"/>
      <c r="AU29" s="264"/>
      <c r="AV29" s="267"/>
      <c r="AW29" s="268"/>
      <c r="AX29" s="269"/>
      <c r="AY29" s="269"/>
      <c r="AZ29" s="269"/>
      <c r="BA29" s="269"/>
      <c r="BB29" s="269"/>
      <c r="BC29" s="269"/>
      <c r="BD29" s="269"/>
      <c r="BE29" s="269"/>
      <c r="BF29" s="270"/>
      <c r="BG29" s="270">
        <f>BF29+0.001</f>
        <v>1E-3</v>
      </c>
      <c r="BH29" s="271"/>
    </row>
    <row r="30" spans="1:60" ht="13.5" thickTop="1" x14ac:dyDescent="0.2">
      <c r="A30" s="348"/>
      <c r="B30" s="274"/>
      <c r="C30" s="275"/>
      <c r="D30" s="275"/>
      <c r="E30" s="275"/>
      <c r="F30" s="275"/>
      <c r="G30" s="275"/>
      <c r="H30" s="275"/>
      <c r="I30" s="275"/>
      <c r="J30" s="276"/>
      <c r="K30" s="274"/>
      <c r="L30" s="275"/>
      <c r="M30" s="275"/>
      <c r="N30" s="275"/>
      <c r="O30" s="275"/>
      <c r="P30" s="275"/>
      <c r="Q30" s="275"/>
      <c r="R30" s="275"/>
      <c r="S30" s="276"/>
      <c r="T30" s="274"/>
      <c r="U30" s="275"/>
      <c r="V30" s="275"/>
      <c r="W30" s="275"/>
      <c r="X30" s="275"/>
      <c r="Y30" s="275"/>
      <c r="Z30" s="275"/>
      <c r="AA30" s="275"/>
      <c r="AB30" s="276"/>
      <c r="AC30" s="274"/>
      <c r="AD30" s="275"/>
      <c r="AE30" s="275"/>
      <c r="AF30" s="275"/>
      <c r="AG30" s="275"/>
      <c r="AH30" s="275"/>
      <c r="AI30" s="275"/>
      <c r="AJ30" s="275"/>
      <c r="AK30" s="275"/>
      <c r="AL30" s="276"/>
      <c r="AM30" s="274"/>
      <c r="AN30" s="275"/>
      <c r="AO30" s="275"/>
      <c r="AP30" s="275"/>
      <c r="AQ30" s="275"/>
      <c r="AR30" s="275"/>
      <c r="AS30" s="275"/>
      <c r="AT30" s="275"/>
      <c r="AU30" s="275"/>
      <c r="AV30" s="276"/>
      <c r="AW30" s="274"/>
      <c r="AX30" s="275"/>
      <c r="AY30" s="275"/>
      <c r="AZ30" s="275"/>
      <c r="BA30" s="275"/>
      <c r="BB30" s="275"/>
      <c r="BC30" s="275"/>
      <c r="BD30" s="275"/>
      <c r="BE30" s="275"/>
      <c r="BF30" s="276"/>
      <c r="BG30" s="276">
        <f>BF30</f>
        <v>0</v>
      </c>
      <c r="BH30" s="237"/>
    </row>
    <row r="31" spans="1:60" x14ac:dyDescent="0.2">
      <c r="A31" s="348"/>
      <c r="B31" s="277"/>
      <c r="C31" s="278"/>
      <c r="D31" s="278"/>
      <c r="E31" s="278"/>
      <c r="F31" s="278"/>
      <c r="G31" s="278"/>
      <c r="H31" s="278"/>
      <c r="I31" s="278"/>
      <c r="J31" s="279"/>
      <c r="K31" s="277"/>
      <c r="L31" s="278"/>
      <c r="M31" s="278"/>
      <c r="N31" s="278"/>
      <c r="O31" s="278"/>
      <c r="P31" s="278"/>
      <c r="Q31" s="278"/>
      <c r="R31" s="278"/>
      <c r="S31" s="279"/>
      <c r="T31" s="277"/>
      <c r="U31" s="278"/>
      <c r="V31" s="278"/>
      <c r="W31" s="278"/>
      <c r="X31" s="278"/>
      <c r="Y31" s="278"/>
      <c r="Z31" s="278"/>
      <c r="AA31" s="278"/>
      <c r="AB31" s="279"/>
      <c r="AC31" s="277"/>
      <c r="AD31" s="278"/>
      <c r="AE31" s="278"/>
      <c r="AF31" s="278"/>
      <c r="AG31" s="278"/>
      <c r="AH31" s="278"/>
      <c r="AI31" s="278"/>
      <c r="AJ31" s="278"/>
      <c r="AK31" s="278"/>
      <c r="AL31" s="279"/>
      <c r="AM31" s="277"/>
      <c r="AN31" s="278"/>
      <c r="AO31" s="278"/>
      <c r="AP31" s="278"/>
      <c r="AQ31" s="278"/>
      <c r="AR31" s="278"/>
      <c r="AS31" s="278"/>
      <c r="AT31" s="278"/>
      <c r="AU31" s="278"/>
      <c r="AV31" s="279"/>
      <c r="AW31" s="277"/>
      <c r="AX31" s="278"/>
      <c r="AY31" s="278"/>
      <c r="AZ31" s="278"/>
      <c r="BA31" s="278"/>
      <c r="BB31" s="278"/>
      <c r="BC31" s="278"/>
      <c r="BD31" s="278"/>
      <c r="BE31" s="278"/>
      <c r="BF31" s="279"/>
      <c r="BG31" s="279">
        <f t="shared" ref="BG31:BG80" si="0">BF31</f>
        <v>0</v>
      </c>
      <c r="BH31" s="237"/>
    </row>
    <row r="32" spans="1:60" x14ac:dyDescent="0.2">
      <c r="A32" s="348"/>
      <c r="B32" s="277"/>
      <c r="C32" s="278"/>
      <c r="D32" s="278"/>
      <c r="E32" s="278"/>
      <c r="F32" s="278"/>
      <c r="G32" s="278"/>
      <c r="H32" s="278"/>
      <c r="I32" s="278"/>
      <c r="J32" s="279"/>
      <c r="K32" s="277"/>
      <c r="L32" s="278"/>
      <c r="M32" s="278"/>
      <c r="N32" s="278"/>
      <c r="O32" s="278"/>
      <c r="P32" s="278"/>
      <c r="Q32" s="278"/>
      <c r="R32" s="278"/>
      <c r="S32" s="279"/>
      <c r="T32" s="277"/>
      <c r="U32" s="278"/>
      <c r="V32" s="278"/>
      <c r="W32" s="278"/>
      <c r="X32" s="278"/>
      <c r="Y32" s="278"/>
      <c r="Z32" s="278"/>
      <c r="AA32" s="278"/>
      <c r="AB32" s="279"/>
      <c r="AC32" s="277"/>
      <c r="AD32" s="278"/>
      <c r="AE32" s="278"/>
      <c r="AF32" s="278"/>
      <c r="AG32" s="278"/>
      <c r="AH32" s="278"/>
      <c r="AI32" s="278"/>
      <c r="AJ32" s="278"/>
      <c r="AK32" s="278"/>
      <c r="AL32" s="279"/>
      <c r="AM32" s="277"/>
      <c r="AN32" s="278"/>
      <c r="AO32" s="278"/>
      <c r="AP32" s="278"/>
      <c r="AQ32" s="278"/>
      <c r="AR32" s="278"/>
      <c r="AS32" s="278"/>
      <c r="AT32" s="278"/>
      <c r="AU32" s="278"/>
      <c r="AV32" s="279"/>
      <c r="AW32" s="277"/>
      <c r="AX32" s="278"/>
      <c r="AY32" s="278"/>
      <c r="AZ32" s="278"/>
      <c r="BA32" s="278"/>
      <c r="BB32" s="278"/>
      <c r="BC32" s="278"/>
      <c r="BD32" s="278"/>
      <c r="BE32" s="278"/>
      <c r="BF32" s="279"/>
      <c r="BG32" s="279">
        <f t="shared" si="0"/>
        <v>0</v>
      </c>
      <c r="BH32" s="237"/>
    </row>
    <row r="33" spans="1:60" x14ac:dyDescent="0.2">
      <c r="A33" s="348"/>
      <c r="B33" s="277"/>
      <c r="C33" s="278"/>
      <c r="D33" s="278"/>
      <c r="E33" s="278"/>
      <c r="F33" s="278"/>
      <c r="G33" s="278"/>
      <c r="H33" s="278"/>
      <c r="I33" s="278"/>
      <c r="J33" s="279"/>
      <c r="K33" s="277"/>
      <c r="L33" s="278"/>
      <c r="M33" s="278"/>
      <c r="N33" s="278"/>
      <c r="O33" s="278"/>
      <c r="P33" s="278"/>
      <c r="Q33" s="278"/>
      <c r="R33" s="278"/>
      <c r="S33" s="279"/>
      <c r="T33" s="277"/>
      <c r="U33" s="278"/>
      <c r="V33" s="278"/>
      <c r="W33" s="278"/>
      <c r="X33" s="278"/>
      <c r="Y33" s="278"/>
      <c r="Z33" s="278"/>
      <c r="AA33" s="278"/>
      <c r="AB33" s="279"/>
      <c r="AC33" s="277"/>
      <c r="AD33" s="278"/>
      <c r="AE33" s="278"/>
      <c r="AF33" s="278"/>
      <c r="AG33" s="278"/>
      <c r="AH33" s="278"/>
      <c r="AI33" s="278"/>
      <c r="AJ33" s="278"/>
      <c r="AK33" s="278"/>
      <c r="AL33" s="279"/>
      <c r="AM33" s="277"/>
      <c r="AN33" s="278"/>
      <c r="AO33" s="278"/>
      <c r="AP33" s="278"/>
      <c r="AQ33" s="278"/>
      <c r="AR33" s="278"/>
      <c r="AS33" s="278"/>
      <c r="AT33" s="278"/>
      <c r="AU33" s="278"/>
      <c r="AV33" s="279"/>
      <c r="AW33" s="277"/>
      <c r="AX33" s="278"/>
      <c r="AY33" s="278"/>
      <c r="AZ33" s="278"/>
      <c r="BA33" s="278"/>
      <c r="BB33" s="278"/>
      <c r="BC33" s="278"/>
      <c r="BD33" s="278"/>
      <c r="BE33" s="278"/>
      <c r="BF33" s="279"/>
      <c r="BG33" s="279">
        <f t="shared" si="0"/>
        <v>0</v>
      </c>
      <c r="BH33" s="237"/>
    </row>
    <row r="34" spans="1:60" x14ac:dyDescent="0.2">
      <c r="A34" s="349"/>
      <c r="B34" s="281"/>
      <c r="C34" s="282"/>
      <c r="D34" s="282"/>
      <c r="E34" s="282"/>
      <c r="F34" s="282"/>
      <c r="G34" s="282"/>
      <c r="H34" s="282"/>
      <c r="I34" s="282"/>
      <c r="J34" s="283"/>
      <c r="K34" s="281"/>
      <c r="L34" s="282"/>
      <c r="M34" s="282"/>
      <c r="N34" s="282"/>
      <c r="O34" s="282"/>
      <c r="P34" s="282"/>
      <c r="Q34" s="282"/>
      <c r="R34" s="282"/>
      <c r="S34" s="283"/>
      <c r="T34" s="281"/>
      <c r="U34" s="282"/>
      <c r="V34" s="282"/>
      <c r="W34" s="282"/>
      <c r="X34" s="282"/>
      <c r="Y34" s="282"/>
      <c r="Z34" s="282"/>
      <c r="AA34" s="282"/>
      <c r="AB34" s="283"/>
      <c r="AC34" s="281"/>
      <c r="AD34" s="282"/>
      <c r="AE34" s="282"/>
      <c r="AF34" s="282"/>
      <c r="AG34" s="282"/>
      <c r="AH34" s="282"/>
      <c r="AI34" s="282"/>
      <c r="AJ34" s="282"/>
      <c r="AK34" s="282"/>
      <c r="AL34" s="283"/>
      <c r="AM34" s="281"/>
      <c r="AN34" s="282"/>
      <c r="AO34" s="282"/>
      <c r="AP34" s="282"/>
      <c r="AQ34" s="282"/>
      <c r="AR34" s="282"/>
      <c r="AS34" s="282"/>
      <c r="AT34" s="282"/>
      <c r="AU34" s="282"/>
      <c r="AV34" s="283"/>
      <c r="AW34" s="281"/>
      <c r="AX34" s="282"/>
      <c r="AY34" s="282"/>
      <c r="AZ34" s="282"/>
      <c r="BA34" s="282"/>
      <c r="BB34" s="282"/>
      <c r="BC34" s="282"/>
      <c r="BD34" s="282"/>
      <c r="BE34" s="282"/>
      <c r="BF34" s="283"/>
      <c r="BG34" s="283">
        <f t="shared" si="0"/>
        <v>0</v>
      </c>
      <c r="BH34" s="237"/>
    </row>
    <row r="35" spans="1:60" x14ac:dyDescent="0.2">
      <c r="A35" s="348"/>
      <c r="B35" s="284"/>
      <c r="C35" s="285"/>
      <c r="D35" s="285"/>
      <c r="E35" s="285"/>
      <c r="F35" s="285"/>
      <c r="G35" s="285"/>
      <c r="H35" s="285"/>
      <c r="I35" s="285"/>
      <c r="J35" s="286"/>
      <c r="K35" s="284"/>
      <c r="L35" s="285"/>
      <c r="M35" s="285"/>
      <c r="N35" s="285"/>
      <c r="O35" s="285"/>
      <c r="P35" s="285"/>
      <c r="Q35" s="285"/>
      <c r="R35" s="285"/>
      <c r="S35" s="286"/>
      <c r="T35" s="284"/>
      <c r="U35" s="285"/>
      <c r="V35" s="285"/>
      <c r="W35" s="285"/>
      <c r="X35" s="285"/>
      <c r="Y35" s="285"/>
      <c r="Z35" s="285"/>
      <c r="AA35" s="285"/>
      <c r="AB35" s="286"/>
      <c r="AC35" s="284"/>
      <c r="AD35" s="285"/>
      <c r="AE35" s="285"/>
      <c r="AF35" s="285"/>
      <c r="AG35" s="285"/>
      <c r="AH35" s="285"/>
      <c r="AI35" s="285"/>
      <c r="AJ35" s="285"/>
      <c r="AK35" s="285"/>
      <c r="AL35" s="286"/>
      <c r="AM35" s="287"/>
      <c r="AN35" s="288"/>
      <c r="AO35" s="288"/>
      <c r="AP35" s="288"/>
      <c r="AQ35" s="288"/>
      <c r="AR35" s="288"/>
      <c r="AS35" s="288"/>
      <c r="AT35" s="288"/>
      <c r="AU35" s="288"/>
      <c r="AV35" s="289"/>
      <c r="AW35" s="287"/>
      <c r="AX35" s="288"/>
      <c r="AY35" s="288"/>
      <c r="AZ35" s="288"/>
      <c r="BA35" s="288"/>
      <c r="BB35" s="288"/>
      <c r="BC35" s="288"/>
      <c r="BD35" s="288"/>
      <c r="BE35" s="288"/>
      <c r="BF35" s="289"/>
      <c r="BG35" s="289">
        <f t="shared" si="0"/>
        <v>0</v>
      </c>
      <c r="BH35" s="237"/>
    </row>
    <row r="36" spans="1:60" x14ac:dyDescent="0.2">
      <c r="A36" s="348"/>
      <c r="B36" s="277"/>
      <c r="C36" s="278"/>
      <c r="D36" s="278"/>
      <c r="E36" s="278"/>
      <c r="F36" s="278"/>
      <c r="G36" s="278"/>
      <c r="H36" s="278"/>
      <c r="I36" s="278"/>
      <c r="J36" s="279"/>
      <c r="K36" s="277"/>
      <c r="L36" s="278"/>
      <c r="M36" s="278"/>
      <c r="N36" s="278"/>
      <c r="O36" s="278"/>
      <c r="P36" s="278"/>
      <c r="Q36" s="278"/>
      <c r="R36" s="278"/>
      <c r="S36" s="279"/>
      <c r="T36" s="277"/>
      <c r="U36" s="278"/>
      <c r="V36" s="278"/>
      <c r="W36" s="278"/>
      <c r="X36" s="278"/>
      <c r="Y36" s="278"/>
      <c r="Z36" s="278"/>
      <c r="AA36" s="278"/>
      <c r="AB36" s="279"/>
      <c r="AC36" s="277"/>
      <c r="AD36" s="278"/>
      <c r="AE36" s="278"/>
      <c r="AF36" s="278"/>
      <c r="AG36" s="278"/>
      <c r="AH36" s="278"/>
      <c r="AI36" s="278"/>
      <c r="AJ36" s="278"/>
      <c r="AK36" s="278"/>
      <c r="AL36" s="279"/>
      <c r="AM36" s="277"/>
      <c r="AN36" s="278"/>
      <c r="AO36" s="278"/>
      <c r="AP36" s="278"/>
      <c r="AQ36" s="278"/>
      <c r="AR36" s="278"/>
      <c r="AS36" s="278"/>
      <c r="AT36" s="278"/>
      <c r="AU36" s="278"/>
      <c r="AV36" s="279"/>
      <c r="AW36" s="277"/>
      <c r="AX36" s="278"/>
      <c r="AY36" s="278"/>
      <c r="AZ36" s="278"/>
      <c r="BA36" s="278"/>
      <c r="BB36" s="278"/>
      <c r="BC36" s="278"/>
      <c r="BD36" s="278"/>
      <c r="BE36" s="278"/>
      <c r="BF36" s="279"/>
      <c r="BG36" s="279">
        <f t="shared" si="0"/>
        <v>0</v>
      </c>
      <c r="BH36" s="237"/>
    </row>
    <row r="37" spans="1:60" x14ac:dyDescent="0.2">
      <c r="A37" s="348"/>
      <c r="B37" s="277"/>
      <c r="C37" s="278"/>
      <c r="D37" s="278"/>
      <c r="E37" s="278"/>
      <c r="F37" s="278"/>
      <c r="G37" s="278"/>
      <c r="H37" s="278"/>
      <c r="I37" s="278"/>
      <c r="J37" s="279"/>
      <c r="K37" s="277"/>
      <c r="L37" s="278"/>
      <c r="M37" s="278"/>
      <c r="N37" s="278"/>
      <c r="O37" s="278"/>
      <c r="P37" s="278"/>
      <c r="Q37" s="278"/>
      <c r="R37" s="278"/>
      <c r="S37" s="279"/>
      <c r="T37" s="277"/>
      <c r="U37" s="278"/>
      <c r="V37" s="278"/>
      <c r="W37" s="278"/>
      <c r="X37" s="278"/>
      <c r="Y37" s="278"/>
      <c r="Z37" s="278"/>
      <c r="AA37" s="278"/>
      <c r="AB37" s="279"/>
      <c r="AC37" s="277"/>
      <c r="AD37" s="278"/>
      <c r="AE37" s="278"/>
      <c r="AF37" s="278"/>
      <c r="AG37" s="278"/>
      <c r="AH37" s="278"/>
      <c r="AI37" s="278"/>
      <c r="AJ37" s="278"/>
      <c r="AK37" s="278"/>
      <c r="AL37" s="279"/>
      <c r="AM37" s="277"/>
      <c r="AN37" s="278"/>
      <c r="AO37" s="278"/>
      <c r="AP37" s="278"/>
      <c r="AQ37" s="278"/>
      <c r="AR37" s="278"/>
      <c r="AS37" s="278"/>
      <c r="AT37" s="278"/>
      <c r="AU37" s="278"/>
      <c r="AV37" s="279"/>
      <c r="AW37" s="277"/>
      <c r="AX37" s="278"/>
      <c r="AY37" s="278"/>
      <c r="AZ37" s="278"/>
      <c r="BA37" s="278"/>
      <c r="BB37" s="278"/>
      <c r="BC37" s="278"/>
      <c r="BD37" s="278"/>
      <c r="BE37" s="278"/>
      <c r="BF37" s="279"/>
      <c r="BG37" s="279">
        <f t="shared" si="0"/>
        <v>0</v>
      </c>
      <c r="BH37" s="237"/>
    </row>
    <row r="38" spans="1:60" x14ac:dyDescent="0.2">
      <c r="A38" s="348"/>
      <c r="B38" s="277"/>
      <c r="C38" s="278"/>
      <c r="D38" s="278"/>
      <c r="E38" s="278"/>
      <c r="F38" s="278"/>
      <c r="G38" s="278"/>
      <c r="H38" s="278"/>
      <c r="I38" s="278"/>
      <c r="J38" s="279"/>
      <c r="K38" s="277"/>
      <c r="L38" s="278"/>
      <c r="M38" s="278"/>
      <c r="N38" s="278"/>
      <c r="O38" s="278"/>
      <c r="P38" s="278"/>
      <c r="Q38" s="278"/>
      <c r="R38" s="278"/>
      <c r="S38" s="279"/>
      <c r="T38" s="277"/>
      <c r="U38" s="278"/>
      <c r="V38" s="278"/>
      <c r="W38" s="278"/>
      <c r="X38" s="278"/>
      <c r="Y38" s="278"/>
      <c r="Z38" s="278"/>
      <c r="AA38" s="278"/>
      <c r="AB38" s="279"/>
      <c r="AC38" s="277"/>
      <c r="AD38" s="278"/>
      <c r="AE38" s="278"/>
      <c r="AF38" s="278"/>
      <c r="AG38" s="278"/>
      <c r="AH38" s="278"/>
      <c r="AI38" s="278"/>
      <c r="AJ38" s="278"/>
      <c r="AK38" s="278"/>
      <c r="AL38" s="279"/>
      <c r="AM38" s="277"/>
      <c r="AN38" s="278"/>
      <c r="AO38" s="278"/>
      <c r="AP38" s="278"/>
      <c r="AQ38" s="278"/>
      <c r="AR38" s="278"/>
      <c r="AS38" s="278"/>
      <c r="AT38" s="278"/>
      <c r="AU38" s="278"/>
      <c r="AV38" s="279"/>
      <c r="AW38" s="277"/>
      <c r="AX38" s="278"/>
      <c r="AY38" s="278"/>
      <c r="AZ38" s="278"/>
      <c r="BA38" s="278"/>
      <c r="BB38" s="278"/>
      <c r="BC38" s="278"/>
      <c r="BD38" s="278"/>
      <c r="BE38" s="278"/>
      <c r="BF38" s="279"/>
      <c r="BG38" s="279">
        <f t="shared" si="0"/>
        <v>0</v>
      </c>
      <c r="BH38" s="237"/>
    </row>
    <row r="39" spans="1:60" x14ac:dyDescent="0.2">
      <c r="A39" s="349"/>
      <c r="B39" s="290"/>
      <c r="C39" s="291"/>
      <c r="D39" s="291"/>
      <c r="E39" s="291"/>
      <c r="F39" s="291"/>
      <c r="G39" s="291"/>
      <c r="H39" s="291"/>
      <c r="I39" s="291"/>
      <c r="J39" s="292"/>
      <c r="K39" s="290"/>
      <c r="L39" s="291"/>
      <c r="M39" s="291"/>
      <c r="N39" s="291"/>
      <c r="O39" s="291"/>
      <c r="P39" s="291"/>
      <c r="Q39" s="291"/>
      <c r="R39" s="291"/>
      <c r="S39" s="292"/>
      <c r="T39" s="290"/>
      <c r="U39" s="291"/>
      <c r="V39" s="291"/>
      <c r="W39" s="291"/>
      <c r="X39" s="291"/>
      <c r="Y39" s="291"/>
      <c r="Z39" s="291"/>
      <c r="AA39" s="291"/>
      <c r="AB39" s="292"/>
      <c r="AC39" s="290"/>
      <c r="AD39" s="291"/>
      <c r="AE39" s="291"/>
      <c r="AF39" s="291"/>
      <c r="AG39" s="291"/>
      <c r="AH39" s="291"/>
      <c r="AI39" s="291"/>
      <c r="AJ39" s="291"/>
      <c r="AK39" s="291"/>
      <c r="AL39" s="292"/>
      <c r="AM39" s="281"/>
      <c r="AN39" s="282"/>
      <c r="AO39" s="282"/>
      <c r="AP39" s="282"/>
      <c r="AQ39" s="282"/>
      <c r="AR39" s="282"/>
      <c r="AS39" s="282"/>
      <c r="AT39" s="282"/>
      <c r="AU39" s="282"/>
      <c r="AV39" s="283"/>
      <c r="AW39" s="281"/>
      <c r="AX39" s="282"/>
      <c r="AY39" s="282"/>
      <c r="AZ39" s="282"/>
      <c r="BA39" s="282"/>
      <c r="BB39" s="282"/>
      <c r="BC39" s="282"/>
      <c r="BD39" s="282"/>
      <c r="BE39" s="282"/>
      <c r="BF39" s="283"/>
      <c r="BG39" s="283">
        <f t="shared" si="0"/>
        <v>0</v>
      </c>
      <c r="BH39" s="237"/>
    </row>
    <row r="40" spans="1:60" x14ac:dyDescent="0.2">
      <c r="A40" s="348"/>
      <c r="B40" s="287"/>
      <c r="C40" s="288"/>
      <c r="D40" s="288"/>
      <c r="E40" s="288"/>
      <c r="F40" s="288"/>
      <c r="G40" s="288"/>
      <c r="H40" s="288"/>
      <c r="I40" s="288"/>
      <c r="J40" s="289"/>
      <c r="K40" s="287"/>
      <c r="L40" s="288"/>
      <c r="M40" s="288"/>
      <c r="N40" s="288"/>
      <c r="O40" s="288"/>
      <c r="P40" s="288"/>
      <c r="Q40" s="288"/>
      <c r="R40" s="288"/>
      <c r="S40" s="289"/>
      <c r="T40" s="287"/>
      <c r="U40" s="288"/>
      <c r="V40" s="288"/>
      <c r="W40" s="288"/>
      <c r="X40" s="288"/>
      <c r="Y40" s="288"/>
      <c r="Z40" s="288"/>
      <c r="AA40" s="288"/>
      <c r="AB40" s="289"/>
      <c r="AC40" s="287"/>
      <c r="AD40" s="288"/>
      <c r="AE40" s="288"/>
      <c r="AF40" s="288"/>
      <c r="AG40" s="288"/>
      <c r="AH40" s="288"/>
      <c r="AI40" s="288"/>
      <c r="AJ40" s="288"/>
      <c r="AK40" s="288"/>
      <c r="AL40" s="289"/>
      <c r="AM40" s="287"/>
      <c r="AN40" s="288"/>
      <c r="AO40" s="288"/>
      <c r="AP40" s="288"/>
      <c r="AQ40" s="288"/>
      <c r="AR40" s="288"/>
      <c r="AS40" s="288"/>
      <c r="AT40" s="288"/>
      <c r="AU40" s="288"/>
      <c r="AV40" s="289"/>
      <c r="AW40" s="287"/>
      <c r="AX40" s="288"/>
      <c r="AY40" s="288"/>
      <c r="AZ40" s="288"/>
      <c r="BA40" s="288"/>
      <c r="BB40" s="288"/>
      <c r="BC40" s="288"/>
      <c r="BD40" s="288"/>
      <c r="BE40" s="288"/>
      <c r="BF40" s="289"/>
      <c r="BG40" s="289">
        <f t="shared" si="0"/>
        <v>0</v>
      </c>
      <c r="BH40" s="237"/>
    </row>
    <row r="41" spans="1:60" x14ac:dyDescent="0.2">
      <c r="A41" s="348"/>
      <c r="B41" s="277"/>
      <c r="C41" s="278"/>
      <c r="D41" s="278"/>
      <c r="E41" s="278"/>
      <c r="F41" s="278"/>
      <c r="G41" s="278"/>
      <c r="H41" s="278"/>
      <c r="I41" s="278"/>
      <c r="J41" s="279"/>
      <c r="K41" s="277"/>
      <c r="L41" s="278"/>
      <c r="M41" s="278"/>
      <c r="N41" s="278"/>
      <c r="O41" s="278"/>
      <c r="P41" s="278"/>
      <c r="Q41" s="278"/>
      <c r="R41" s="278"/>
      <c r="S41" s="279"/>
      <c r="T41" s="277"/>
      <c r="U41" s="278"/>
      <c r="V41" s="278"/>
      <c r="W41" s="278"/>
      <c r="X41" s="278"/>
      <c r="Y41" s="278"/>
      <c r="Z41" s="278"/>
      <c r="AA41" s="278"/>
      <c r="AB41" s="279"/>
      <c r="AC41" s="277"/>
      <c r="AD41" s="278"/>
      <c r="AE41" s="278"/>
      <c r="AF41" s="278"/>
      <c r="AG41" s="278"/>
      <c r="AH41" s="278"/>
      <c r="AI41" s="278"/>
      <c r="AJ41" s="278"/>
      <c r="AK41" s="278"/>
      <c r="AL41" s="279"/>
      <c r="AM41" s="277"/>
      <c r="AN41" s="278"/>
      <c r="AO41" s="278"/>
      <c r="AP41" s="278"/>
      <c r="AQ41" s="278"/>
      <c r="AR41" s="278"/>
      <c r="AS41" s="278"/>
      <c r="AT41" s="278"/>
      <c r="AU41" s="278"/>
      <c r="AV41" s="279"/>
      <c r="AW41" s="277"/>
      <c r="AX41" s="278"/>
      <c r="AY41" s="278"/>
      <c r="AZ41" s="278"/>
      <c r="BA41" s="278"/>
      <c r="BB41" s="278"/>
      <c r="BC41" s="278"/>
      <c r="BD41" s="278"/>
      <c r="BE41" s="278"/>
      <c r="BF41" s="279"/>
      <c r="BG41" s="279">
        <f t="shared" si="0"/>
        <v>0</v>
      </c>
      <c r="BH41" s="237"/>
    </row>
    <row r="42" spans="1:60" x14ac:dyDescent="0.2">
      <c r="A42" s="348"/>
      <c r="B42" s="277"/>
      <c r="C42" s="278"/>
      <c r="D42" s="278"/>
      <c r="E42" s="278"/>
      <c r="F42" s="278"/>
      <c r="G42" s="278"/>
      <c r="H42" s="278"/>
      <c r="I42" s="278"/>
      <c r="J42" s="279"/>
      <c r="K42" s="277"/>
      <c r="L42" s="278"/>
      <c r="M42" s="278"/>
      <c r="N42" s="278"/>
      <c r="O42" s="278"/>
      <c r="P42" s="278"/>
      <c r="Q42" s="278"/>
      <c r="R42" s="278"/>
      <c r="S42" s="279"/>
      <c r="T42" s="277"/>
      <c r="U42" s="278"/>
      <c r="V42" s="278"/>
      <c r="W42" s="278"/>
      <c r="X42" s="278"/>
      <c r="Y42" s="278"/>
      <c r="Z42" s="278"/>
      <c r="AA42" s="278"/>
      <c r="AB42" s="279"/>
      <c r="AC42" s="277"/>
      <c r="AD42" s="278"/>
      <c r="AE42" s="278"/>
      <c r="AF42" s="278"/>
      <c r="AG42" s="278"/>
      <c r="AH42" s="278"/>
      <c r="AI42" s="278"/>
      <c r="AJ42" s="278"/>
      <c r="AK42" s="278"/>
      <c r="AL42" s="279"/>
      <c r="AM42" s="277"/>
      <c r="AN42" s="278"/>
      <c r="AO42" s="278"/>
      <c r="AP42" s="278"/>
      <c r="AQ42" s="278"/>
      <c r="AR42" s="278"/>
      <c r="AS42" s="278"/>
      <c r="AT42" s="278"/>
      <c r="AU42" s="278"/>
      <c r="AV42" s="279"/>
      <c r="AW42" s="277"/>
      <c r="AX42" s="278"/>
      <c r="AY42" s="278"/>
      <c r="AZ42" s="278"/>
      <c r="BA42" s="278"/>
      <c r="BB42" s="278"/>
      <c r="BC42" s="278"/>
      <c r="BD42" s="278"/>
      <c r="BE42" s="278"/>
      <c r="BF42" s="279"/>
      <c r="BG42" s="279">
        <f t="shared" si="0"/>
        <v>0</v>
      </c>
      <c r="BH42" s="237"/>
    </row>
    <row r="43" spans="1:60" x14ac:dyDescent="0.2">
      <c r="A43" s="348"/>
      <c r="B43" s="277"/>
      <c r="C43" s="278"/>
      <c r="D43" s="278"/>
      <c r="E43" s="278"/>
      <c r="F43" s="278"/>
      <c r="G43" s="278"/>
      <c r="H43" s="278"/>
      <c r="I43" s="278"/>
      <c r="J43" s="279"/>
      <c r="K43" s="277"/>
      <c r="L43" s="278"/>
      <c r="M43" s="278"/>
      <c r="N43" s="278"/>
      <c r="O43" s="278"/>
      <c r="P43" s="278"/>
      <c r="Q43" s="278"/>
      <c r="R43" s="278"/>
      <c r="S43" s="279"/>
      <c r="T43" s="277"/>
      <c r="U43" s="278"/>
      <c r="V43" s="278"/>
      <c r="W43" s="278"/>
      <c r="X43" s="278"/>
      <c r="Y43" s="278"/>
      <c r="Z43" s="278"/>
      <c r="AA43" s="278"/>
      <c r="AB43" s="279"/>
      <c r="AC43" s="277"/>
      <c r="AD43" s="278"/>
      <c r="AE43" s="278"/>
      <c r="AF43" s="278"/>
      <c r="AG43" s="278"/>
      <c r="AH43" s="278"/>
      <c r="AI43" s="278"/>
      <c r="AJ43" s="278"/>
      <c r="AK43" s="278"/>
      <c r="AL43" s="279"/>
      <c r="AM43" s="277"/>
      <c r="AN43" s="278"/>
      <c r="AO43" s="278"/>
      <c r="AP43" s="278"/>
      <c r="AQ43" s="278"/>
      <c r="AR43" s="278"/>
      <c r="AS43" s="278"/>
      <c r="AT43" s="278"/>
      <c r="AU43" s="278"/>
      <c r="AV43" s="279"/>
      <c r="AW43" s="277"/>
      <c r="AX43" s="278"/>
      <c r="AY43" s="278"/>
      <c r="AZ43" s="278"/>
      <c r="BA43" s="278"/>
      <c r="BB43" s="278"/>
      <c r="BC43" s="278"/>
      <c r="BD43" s="278"/>
      <c r="BE43" s="278"/>
      <c r="BF43" s="279"/>
      <c r="BG43" s="279">
        <f t="shared" si="0"/>
        <v>0</v>
      </c>
      <c r="BH43" s="237"/>
    </row>
    <row r="44" spans="1:60" x14ac:dyDescent="0.2">
      <c r="A44" s="349"/>
      <c r="B44" s="281"/>
      <c r="C44" s="282"/>
      <c r="D44" s="282"/>
      <c r="E44" s="282"/>
      <c r="F44" s="282"/>
      <c r="G44" s="282"/>
      <c r="H44" s="282"/>
      <c r="I44" s="282"/>
      <c r="J44" s="283"/>
      <c r="K44" s="281"/>
      <c r="L44" s="282"/>
      <c r="M44" s="282"/>
      <c r="N44" s="282"/>
      <c r="O44" s="282"/>
      <c r="P44" s="282"/>
      <c r="Q44" s="282"/>
      <c r="R44" s="282"/>
      <c r="S44" s="283"/>
      <c r="T44" s="281"/>
      <c r="U44" s="282"/>
      <c r="V44" s="282"/>
      <c r="W44" s="282"/>
      <c r="X44" s="282"/>
      <c r="Y44" s="282"/>
      <c r="Z44" s="282"/>
      <c r="AA44" s="282"/>
      <c r="AB44" s="283"/>
      <c r="AC44" s="281"/>
      <c r="AD44" s="282"/>
      <c r="AE44" s="282"/>
      <c r="AF44" s="282"/>
      <c r="AG44" s="282"/>
      <c r="AH44" s="282"/>
      <c r="AI44" s="282"/>
      <c r="AJ44" s="282"/>
      <c r="AK44" s="282"/>
      <c r="AL44" s="283"/>
      <c r="AM44" s="281"/>
      <c r="AN44" s="282"/>
      <c r="AO44" s="282"/>
      <c r="AP44" s="282"/>
      <c r="AQ44" s="282"/>
      <c r="AR44" s="282"/>
      <c r="AS44" s="282"/>
      <c r="AT44" s="282"/>
      <c r="AU44" s="282"/>
      <c r="AV44" s="283"/>
      <c r="AW44" s="281"/>
      <c r="AX44" s="282"/>
      <c r="AY44" s="282"/>
      <c r="AZ44" s="282"/>
      <c r="BA44" s="282"/>
      <c r="BB44" s="282"/>
      <c r="BC44" s="282"/>
      <c r="BD44" s="282"/>
      <c r="BE44" s="282"/>
      <c r="BF44" s="283"/>
      <c r="BG44" s="283">
        <f t="shared" si="0"/>
        <v>0</v>
      </c>
      <c r="BH44" s="237"/>
    </row>
    <row r="45" spans="1:60" x14ac:dyDescent="0.2">
      <c r="A45" s="348"/>
      <c r="B45" s="284"/>
      <c r="C45" s="285"/>
      <c r="D45" s="285"/>
      <c r="E45" s="285"/>
      <c r="F45" s="285"/>
      <c r="G45" s="285"/>
      <c r="H45" s="285"/>
      <c r="I45" s="285"/>
      <c r="J45" s="286"/>
      <c r="K45" s="284"/>
      <c r="L45" s="285"/>
      <c r="M45" s="285"/>
      <c r="N45" s="285"/>
      <c r="O45" s="285"/>
      <c r="P45" s="285"/>
      <c r="Q45" s="285"/>
      <c r="R45" s="285"/>
      <c r="S45" s="286"/>
      <c r="T45" s="284"/>
      <c r="U45" s="285"/>
      <c r="V45" s="285"/>
      <c r="W45" s="285"/>
      <c r="X45" s="285"/>
      <c r="Y45" s="285"/>
      <c r="Z45" s="285"/>
      <c r="AA45" s="285"/>
      <c r="AB45" s="286"/>
      <c r="AC45" s="284"/>
      <c r="AD45" s="285"/>
      <c r="AE45" s="285"/>
      <c r="AF45" s="285"/>
      <c r="AG45" s="285"/>
      <c r="AH45" s="285"/>
      <c r="AI45" s="285"/>
      <c r="AJ45" s="285"/>
      <c r="AK45" s="285"/>
      <c r="AL45" s="286"/>
      <c r="AM45" s="287"/>
      <c r="AN45" s="288"/>
      <c r="AO45" s="288"/>
      <c r="AP45" s="288"/>
      <c r="AQ45" s="288"/>
      <c r="AR45" s="288"/>
      <c r="AS45" s="288"/>
      <c r="AT45" s="288"/>
      <c r="AU45" s="288"/>
      <c r="AV45" s="289"/>
      <c r="AW45" s="287"/>
      <c r="AX45" s="288"/>
      <c r="AY45" s="288"/>
      <c r="AZ45" s="288"/>
      <c r="BA45" s="288"/>
      <c r="BB45" s="288"/>
      <c r="BC45" s="288"/>
      <c r="BD45" s="288"/>
      <c r="BE45" s="288"/>
      <c r="BF45" s="289"/>
      <c r="BG45" s="289">
        <f t="shared" si="0"/>
        <v>0</v>
      </c>
      <c r="BH45" s="237"/>
    </row>
    <row r="46" spans="1:60" x14ac:dyDescent="0.2">
      <c r="A46" s="348"/>
      <c r="B46" s="277"/>
      <c r="C46" s="278"/>
      <c r="D46" s="278"/>
      <c r="E46" s="278"/>
      <c r="F46" s="278"/>
      <c r="G46" s="278"/>
      <c r="H46" s="278"/>
      <c r="I46" s="278"/>
      <c r="J46" s="279"/>
      <c r="K46" s="277"/>
      <c r="L46" s="278"/>
      <c r="M46" s="278"/>
      <c r="N46" s="278"/>
      <c r="O46" s="278"/>
      <c r="P46" s="278"/>
      <c r="Q46" s="278"/>
      <c r="R46" s="278"/>
      <c r="S46" s="279"/>
      <c r="T46" s="277"/>
      <c r="U46" s="278"/>
      <c r="V46" s="278"/>
      <c r="W46" s="278"/>
      <c r="X46" s="278"/>
      <c r="Y46" s="278"/>
      <c r="Z46" s="278"/>
      <c r="AA46" s="278"/>
      <c r="AB46" s="279"/>
      <c r="AC46" s="277"/>
      <c r="AD46" s="278"/>
      <c r="AE46" s="278"/>
      <c r="AF46" s="278"/>
      <c r="AG46" s="278"/>
      <c r="AH46" s="278"/>
      <c r="AI46" s="278"/>
      <c r="AJ46" s="278"/>
      <c r="AK46" s="278"/>
      <c r="AL46" s="279"/>
      <c r="AM46" s="277"/>
      <c r="AN46" s="278"/>
      <c r="AO46" s="278"/>
      <c r="AP46" s="278"/>
      <c r="AQ46" s="278"/>
      <c r="AR46" s="278"/>
      <c r="AS46" s="278"/>
      <c r="AT46" s="278"/>
      <c r="AU46" s="278"/>
      <c r="AV46" s="279"/>
      <c r="AW46" s="277"/>
      <c r="AX46" s="278"/>
      <c r="AY46" s="278"/>
      <c r="AZ46" s="278"/>
      <c r="BA46" s="278"/>
      <c r="BB46" s="278"/>
      <c r="BC46" s="278"/>
      <c r="BD46" s="278"/>
      <c r="BE46" s="278"/>
      <c r="BF46" s="279"/>
      <c r="BG46" s="279">
        <f t="shared" si="0"/>
        <v>0</v>
      </c>
      <c r="BH46" s="237"/>
    </row>
    <row r="47" spans="1:60" x14ac:dyDescent="0.2">
      <c r="A47" s="348"/>
      <c r="B47" s="277"/>
      <c r="C47" s="278"/>
      <c r="D47" s="278"/>
      <c r="E47" s="278"/>
      <c r="F47" s="278"/>
      <c r="G47" s="278"/>
      <c r="H47" s="278"/>
      <c r="I47" s="278"/>
      <c r="J47" s="279"/>
      <c r="K47" s="277"/>
      <c r="L47" s="278"/>
      <c r="M47" s="278"/>
      <c r="N47" s="278"/>
      <c r="O47" s="278"/>
      <c r="P47" s="278"/>
      <c r="Q47" s="278"/>
      <c r="R47" s="278"/>
      <c r="S47" s="279"/>
      <c r="T47" s="277"/>
      <c r="U47" s="278"/>
      <c r="V47" s="278"/>
      <c r="W47" s="278"/>
      <c r="X47" s="278"/>
      <c r="Y47" s="278"/>
      <c r="Z47" s="278"/>
      <c r="AA47" s="278"/>
      <c r="AB47" s="279"/>
      <c r="AC47" s="277"/>
      <c r="AD47" s="278"/>
      <c r="AE47" s="278"/>
      <c r="AF47" s="278"/>
      <c r="AG47" s="278"/>
      <c r="AH47" s="278"/>
      <c r="AI47" s="278"/>
      <c r="AJ47" s="278"/>
      <c r="AK47" s="278"/>
      <c r="AL47" s="279"/>
      <c r="AM47" s="277"/>
      <c r="AN47" s="278"/>
      <c r="AO47" s="278"/>
      <c r="AP47" s="278"/>
      <c r="AQ47" s="278"/>
      <c r="AR47" s="278"/>
      <c r="AS47" s="278"/>
      <c r="AT47" s="278"/>
      <c r="AU47" s="278"/>
      <c r="AV47" s="279"/>
      <c r="AW47" s="277"/>
      <c r="AX47" s="278"/>
      <c r="AY47" s="278"/>
      <c r="AZ47" s="278"/>
      <c r="BA47" s="278"/>
      <c r="BB47" s="278"/>
      <c r="BC47" s="278"/>
      <c r="BD47" s="278"/>
      <c r="BE47" s="278"/>
      <c r="BF47" s="279"/>
      <c r="BG47" s="279">
        <f t="shared" si="0"/>
        <v>0</v>
      </c>
      <c r="BH47" s="237"/>
    </row>
    <row r="48" spans="1:60" x14ac:dyDescent="0.2">
      <c r="A48" s="348"/>
      <c r="B48" s="277"/>
      <c r="C48" s="278"/>
      <c r="D48" s="278"/>
      <c r="E48" s="278"/>
      <c r="F48" s="278"/>
      <c r="G48" s="278"/>
      <c r="H48" s="278"/>
      <c r="I48" s="278"/>
      <c r="J48" s="279"/>
      <c r="K48" s="277"/>
      <c r="L48" s="278"/>
      <c r="M48" s="278"/>
      <c r="N48" s="278"/>
      <c r="O48" s="278"/>
      <c r="P48" s="278"/>
      <c r="Q48" s="278"/>
      <c r="R48" s="278"/>
      <c r="S48" s="279"/>
      <c r="T48" s="277"/>
      <c r="U48" s="278"/>
      <c r="V48" s="278"/>
      <c r="W48" s="278"/>
      <c r="X48" s="278"/>
      <c r="Y48" s="278"/>
      <c r="Z48" s="278"/>
      <c r="AA48" s="278"/>
      <c r="AB48" s="279"/>
      <c r="AC48" s="277"/>
      <c r="AD48" s="278"/>
      <c r="AE48" s="278"/>
      <c r="AF48" s="278"/>
      <c r="AG48" s="278"/>
      <c r="AH48" s="278"/>
      <c r="AI48" s="278"/>
      <c r="AJ48" s="278"/>
      <c r="AK48" s="278"/>
      <c r="AL48" s="279"/>
      <c r="AM48" s="277"/>
      <c r="AN48" s="278"/>
      <c r="AO48" s="278"/>
      <c r="AP48" s="278"/>
      <c r="AQ48" s="278"/>
      <c r="AR48" s="278"/>
      <c r="AS48" s="278"/>
      <c r="AT48" s="278"/>
      <c r="AU48" s="278"/>
      <c r="AV48" s="279"/>
      <c r="AW48" s="277"/>
      <c r="AX48" s="278"/>
      <c r="AY48" s="278"/>
      <c r="AZ48" s="278"/>
      <c r="BA48" s="278"/>
      <c r="BB48" s="278"/>
      <c r="BC48" s="278"/>
      <c r="BD48" s="278"/>
      <c r="BE48" s="278"/>
      <c r="BF48" s="279"/>
      <c r="BG48" s="279">
        <f t="shared" si="0"/>
        <v>0</v>
      </c>
      <c r="BH48" s="237"/>
    </row>
    <row r="49" spans="1:60" x14ac:dyDescent="0.2">
      <c r="A49" s="349"/>
      <c r="B49" s="290"/>
      <c r="C49" s="291"/>
      <c r="D49" s="291"/>
      <c r="E49" s="291"/>
      <c r="F49" s="291"/>
      <c r="G49" s="291"/>
      <c r="H49" s="291"/>
      <c r="I49" s="291"/>
      <c r="J49" s="292"/>
      <c r="K49" s="290"/>
      <c r="L49" s="291"/>
      <c r="M49" s="291"/>
      <c r="N49" s="291"/>
      <c r="O49" s="291"/>
      <c r="P49" s="291"/>
      <c r="Q49" s="291"/>
      <c r="R49" s="291"/>
      <c r="S49" s="292"/>
      <c r="T49" s="290"/>
      <c r="U49" s="291"/>
      <c r="V49" s="291"/>
      <c r="W49" s="291"/>
      <c r="X49" s="291"/>
      <c r="Y49" s="291"/>
      <c r="Z49" s="291"/>
      <c r="AA49" s="291"/>
      <c r="AB49" s="292"/>
      <c r="AC49" s="290"/>
      <c r="AD49" s="291"/>
      <c r="AE49" s="291"/>
      <c r="AF49" s="291"/>
      <c r="AG49" s="291"/>
      <c r="AH49" s="291"/>
      <c r="AI49" s="291"/>
      <c r="AJ49" s="291"/>
      <c r="AK49" s="291"/>
      <c r="AL49" s="292"/>
      <c r="AM49" s="281"/>
      <c r="AN49" s="282"/>
      <c r="AO49" s="282"/>
      <c r="AP49" s="282"/>
      <c r="AQ49" s="282"/>
      <c r="AR49" s="282"/>
      <c r="AS49" s="282"/>
      <c r="AT49" s="282"/>
      <c r="AU49" s="282"/>
      <c r="AV49" s="283"/>
      <c r="AW49" s="281"/>
      <c r="AX49" s="282"/>
      <c r="AY49" s="282"/>
      <c r="AZ49" s="282"/>
      <c r="BA49" s="282"/>
      <c r="BB49" s="282"/>
      <c r="BC49" s="282"/>
      <c r="BD49" s="282"/>
      <c r="BE49" s="282"/>
      <c r="BF49" s="283"/>
      <c r="BG49" s="283">
        <f t="shared" si="0"/>
        <v>0</v>
      </c>
      <c r="BH49" s="237"/>
    </row>
    <row r="50" spans="1:60" x14ac:dyDescent="0.2">
      <c r="A50" s="348"/>
      <c r="B50" s="287"/>
      <c r="C50" s="288"/>
      <c r="D50" s="288"/>
      <c r="E50" s="288"/>
      <c r="F50" s="288"/>
      <c r="G50" s="288"/>
      <c r="H50" s="288"/>
      <c r="I50" s="288"/>
      <c r="J50" s="289"/>
      <c r="K50" s="287"/>
      <c r="L50" s="288"/>
      <c r="M50" s="288"/>
      <c r="N50" s="288"/>
      <c r="O50" s="288"/>
      <c r="P50" s="288"/>
      <c r="Q50" s="288"/>
      <c r="R50" s="288"/>
      <c r="S50" s="289"/>
      <c r="T50" s="287"/>
      <c r="U50" s="288"/>
      <c r="V50" s="288"/>
      <c r="W50" s="288"/>
      <c r="X50" s="288"/>
      <c r="Y50" s="288"/>
      <c r="Z50" s="288"/>
      <c r="AA50" s="288"/>
      <c r="AB50" s="289"/>
      <c r="AC50" s="287"/>
      <c r="AD50" s="288"/>
      <c r="AE50" s="288"/>
      <c r="AF50" s="288"/>
      <c r="AG50" s="288"/>
      <c r="AH50" s="288"/>
      <c r="AI50" s="288"/>
      <c r="AJ50" s="288"/>
      <c r="AK50" s="288"/>
      <c r="AL50" s="289"/>
      <c r="AM50" s="287"/>
      <c r="AN50" s="288"/>
      <c r="AO50" s="288"/>
      <c r="AP50" s="288"/>
      <c r="AQ50" s="288"/>
      <c r="AR50" s="288"/>
      <c r="AS50" s="288"/>
      <c r="AT50" s="288"/>
      <c r="AU50" s="288"/>
      <c r="AV50" s="289"/>
      <c r="AW50" s="287"/>
      <c r="AX50" s="288"/>
      <c r="AY50" s="288"/>
      <c r="AZ50" s="288"/>
      <c r="BA50" s="288"/>
      <c r="BB50" s="288"/>
      <c r="BC50" s="288"/>
      <c r="BD50" s="288"/>
      <c r="BE50" s="288"/>
      <c r="BF50" s="289"/>
      <c r="BG50" s="289">
        <f t="shared" si="0"/>
        <v>0</v>
      </c>
      <c r="BH50" s="237"/>
    </row>
    <row r="51" spans="1:60" x14ac:dyDescent="0.2">
      <c r="A51" s="348"/>
      <c r="B51" s="277"/>
      <c r="C51" s="278"/>
      <c r="D51" s="278"/>
      <c r="E51" s="278"/>
      <c r="F51" s="278"/>
      <c r="G51" s="278"/>
      <c r="H51" s="278"/>
      <c r="I51" s="278"/>
      <c r="J51" s="279"/>
      <c r="K51" s="277"/>
      <c r="L51" s="278"/>
      <c r="M51" s="278"/>
      <c r="N51" s="278"/>
      <c r="O51" s="278"/>
      <c r="P51" s="278"/>
      <c r="Q51" s="278"/>
      <c r="R51" s="278"/>
      <c r="S51" s="279"/>
      <c r="T51" s="277"/>
      <c r="U51" s="278"/>
      <c r="V51" s="278"/>
      <c r="W51" s="278"/>
      <c r="X51" s="278"/>
      <c r="Y51" s="278"/>
      <c r="Z51" s="278"/>
      <c r="AA51" s="278"/>
      <c r="AB51" s="279"/>
      <c r="AC51" s="277"/>
      <c r="AD51" s="278"/>
      <c r="AE51" s="278"/>
      <c r="AF51" s="278"/>
      <c r="AG51" s="278"/>
      <c r="AH51" s="278"/>
      <c r="AI51" s="278"/>
      <c r="AJ51" s="278"/>
      <c r="AK51" s="278"/>
      <c r="AL51" s="279"/>
      <c r="AM51" s="277"/>
      <c r="AN51" s="278"/>
      <c r="AO51" s="278"/>
      <c r="AP51" s="278"/>
      <c r="AQ51" s="278"/>
      <c r="AR51" s="278"/>
      <c r="AS51" s="278"/>
      <c r="AT51" s="278"/>
      <c r="AU51" s="278"/>
      <c r="AV51" s="279"/>
      <c r="AW51" s="277"/>
      <c r="AX51" s="278"/>
      <c r="AY51" s="278"/>
      <c r="AZ51" s="278"/>
      <c r="BA51" s="278"/>
      <c r="BB51" s="278"/>
      <c r="BC51" s="278"/>
      <c r="BD51" s="278"/>
      <c r="BE51" s="278"/>
      <c r="BF51" s="279"/>
      <c r="BG51" s="279">
        <f t="shared" si="0"/>
        <v>0</v>
      </c>
      <c r="BH51" s="237"/>
    </row>
    <row r="52" spans="1:60" x14ac:dyDescent="0.2">
      <c r="A52" s="348"/>
      <c r="B52" s="277"/>
      <c r="C52" s="278"/>
      <c r="D52" s="278"/>
      <c r="E52" s="278"/>
      <c r="F52" s="278"/>
      <c r="G52" s="278"/>
      <c r="H52" s="278"/>
      <c r="I52" s="278"/>
      <c r="J52" s="279"/>
      <c r="K52" s="277"/>
      <c r="L52" s="278"/>
      <c r="M52" s="278"/>
      <c r="N52" s="278"/>
      <c r="O52" s="278"/>
      <c r="P52" s="278"/>
      <c r="Q52" s="278"/>
      <c r="R52" s="278"/>
      <c r="S52" s="279"/>
      <c r="T52" s="277"/>
      <c r="U52" s="278"/>
      <c r="V52" s="278"/>
      <c r="W52" s="278"/>
      <c r="X52" s="278"/>
      <c r="Y52" s="278"/>
      <c r="Z52" s="278"/>
      <c r="AA52" s="278"/>
      <c r="AB52" s="279"/>
      <c r="AC52" s="277"/>
      <c r="AD52" s="278"/>
      <c r="AE52" s="278"/>
      <c r="AF52" s="278"/>
      <c r="AG52" s="278"/>
      <c r="AH52" s="278"/>
      <c r="AI52" s="278"/>
      <c r="AJ52" s="278"/>
      <c r="AK52" s="278"/>
      <c r="AL52" s="279"/>
      <c r="AM52" s="277"/>
      <c r="AN52" s="278"/>
      <c r="AO52" s="278"/>
      <c r="AP52" s="278"/>
      <c r="AQ52" s="278"/>
      <c r="AR52" s="278"/>
      <c r="AS52" s="278"/>
      <c r="AT52" s="278"/>
      <c r="AU52" s="278"/>
      <c r="AV52" s="279"/>
      <c r="AW52" s="277"/>
      <c r="AX52" s="278"/>
      <c r="AY52" s="278"/>
      <c r="AZ52" s="278"/>
      <c r="BA52" s="278"/>
      <c r="BB52" s="278"/>
      <c r="BC52" s="278"/>
      <c r="BD52" s="278"/>
      <c r="BE52" s="278"/>
      <c r="BF52" s="279"/>
      <c r="BG52" s="279">
        <f t="shared" si="0"/>
        <v>0</v>
      </c>
      <c r="BH52" s="237"/>
    </row>
    <row r="53" spans="1:60" x14ac:dyDescent="0.2">
      <c r="A53" s="348"/>
      <c r="B53" s="277"/>
      <c r="C53" s="278"/>
      <c r="D53" s="278"/>
      <c r="E53" s="278"/>
      <c r="F53" s="278"/>
      <c r="G53" s="278"/>
      <c r="H53" s="278"/>
      <c r="I53" s="278"/>
      <c r="J53" s="279"/>
      <c r="K53" s="277"/>
      <c r="L53" s="278"/>
      <c r="M53" s="278"/>
      <c r="N53" s="278"/>
      <c r="O53" s="278"/>
      <c r="P53" s="278"/>
      <c r="Q53" s="278"/>
      <c r="R53" s="278"/>
      <c r="S53" s="279"/>
      <c r="T53" s="277"/>
      <c r="U53" s="278"/>
      <c r="V53" s="278"/>
      <c r="W53" s="278"/>
      <c r="X53" s="278"/>
      <c r="Y53" s="278"/>
      <c r="Z53" s="278"/>
      <c r="AA53" s="278"/>
      <c r="AB53" s="279"/>
      <c r="AC53" s="277"/>
      <c r="AD53" s="278"/>
      <c r="AE53" s="278"/>
      <c r="AF53" s="278"/>
      <c r="AG53" s="278"/>
      <c r="AH53" s="278"/>
      <c r="AI53" s="278"/>
      <c r="AJ53" s="278"/>
      <c r="AK53" s="278"/>
      <c r="AL53" s="279"/>
      <c r="AM53" s="277"/>
      <c r="AN53" s="278"/>
      <c r="AO53" s="278"/>
      <c r="AP53" s="278"/>
      <c r="AQ53" s="278"/>
      <c r="AR53" s="278"/>
      <c r="AS53" s="278"/>
      <c r="AT53" s="278"/>
      <c r="AU53" s="278"/>
      <c r="AV53" s="279"/>
      <c r="AW53" s="277"/>
      <c r="AX53" s="278"/>
      <c r="AY53" s="278"/>
      <c r="AZ53" s="278"/>
      <c r="BA53" s="278"/>
      <c r="BB53" s="278"/>
      <c r="BC53" s="278"/>
      <c r="BD53" s="278"/>
      <c r="BE53" s="278"/>
      <c r="BF53" s="279"/>
      <c r="BG53" s="279">
        <f t="shared" si="0"/>
        <v>0</v>
      </c>
      <c r="BH53" s="237"/>
    </row>
    <row r="54" spans="1:60" x14ac:dyDescent="0.2">
      <c r="A54" s="349"/>
      <c r="B54" s="281"/>
      <c r="C54" s="282"/>
      <c r="D54" s="282"/>
      <c r="E54" s="282"/>
      <c r="F54" s="282"/>
      <c r="G54" s="282"/>
      <c r="H54" s="282"/>
      <c r="I54" s="282"/>
      <c r="J54" s="283"/>
      <c r="K54" s="281"/>
      <c r="L54" s="282"/>
      <c r="M54" s="282"/>
      <c r="N54" s="282"/>
      <c r="O54" s="282"/>
      <c r="P54" s="282"/>
      <c r="Q54" s="282"/>
      <c r="R54" s="282"/>
      <c r="S54" s="283"/>
      <c r="T54" s="281"/>
      <c r="U54" s="282"/>
      <c r="V54" s="282"/>
      <c r="W54" s="282"/>
      <c r="X54" s="282"/>
      <c r="Y54" s="282"/>
      <c r="Z54" s="282"/>
      <c r="AA54" s="282"/>
      <c r="AB54" s="283"/>
      <c r="AC54" s="281"/>
      <c r="AD54" s="282"/>
      <c r="AE54" s="282"/>
      <c r="AF54" s="282"/>
      <c r="AG54" s="282"/>
      <c r="AH54" s="282"/>
      <c r="AI54" s="282"/>
      <c r="AJ54" s="282"/>
      <c r="AK54" s="282"/>
      <c r="AL54" s="283"/>
      <c r="AM54" s="281"/>
      <c r="AN54" s="282"/>
      <c r="AO54" s="282"/>
      <c r="AP54" s="282"/>
      <c r="AQ54" s="282"/>
      <c r="AR54" s="282"/>
      <c r="AS54" s="282"/>
      <c r="AT54" s="282"/>
      <c r="AU54" s="282"/>
      <c r="AV54" s="283"/>
      <c r="AW54" s="281"/>
      <c r="AX54" s="282"/>
      <c r="AY54" s="282"/>
      <c r="AZ54" s="282"/>
      <c r="BA54" s="282"/>
      <c r="BB54" s="282"/>
      <c r="BC54" s="282"/>
      <c r="BD54" s="282"/>
      <c r="BE54" s="282"/>
      <c r="BF54" s="283"/>
      <c r="BG54" s="283">
        <f t="shared" si="0"/>
        <v>0</v>
      </c>
      <c r="BH54" s="237"/>
    </row>
    <row r="55" spans="1:60" x14ac:dyDescent="0.2">
      <c r="A55" s="348"/>
      <c r="B55" s="284"/>
      <c r="C55" s="285"/>
      <c r="D55" s="285"/>
      <c r="E55" s="285"/>
      <c r="F55" s="285"/>
      <c r="G55" s="285"/>
      <c r="H55" s="285"/>
      <c r="I55" s="285"/>
      <c r="J55" s="286"/>
      <c r="K55" s="284"/>
      <c r="L55" s="285"/>
      <c r="M55" s="285"/>
      <c r="N55" s="285"/>
      <c r="O55" s="285"/>
      <c r="P55" s="285"/>
      <c r="Q55" s="285"/>
      <c r="R55" s="285"/>
      <c r="S55" s="286"/>
      <c r="T55" s="284"/>
      <c r="U55" s="285"/>
      <c r="V55" s="285"/>
      <c r="W55" s="285"/>
      <c r="X55" s="285"/>
      <c r="Y55" s="285"/>
      <c r="Z55" s="285"/>
      <c r="AA55" s="285"/>
      <c r="AB55" s="286"/>
      <c r="AC55" s="284"/>
      <c r="AD55" s="285"/>
      <c r="AE55" s="285"/>
      <c r="AF55" s="285"/>
      <c r="AG55" s="285"/>
      <c r="AH55" s="285"/>
      <c r="AI55" s="285"/>
      <c r="AJ55" s="285"/>
      <c r="AK55" s="285"/>
      <c r="AL55" s="286"/>
      <c r="AM55" s="287"/>
      <c r="AN55" s="288"/>
      <c r="AO55" s="288"/>
      <c r="AP55" s="288"/>
      <c r="AQ55" s="288"/>
      <c r="AR55" s="288"/>
      <c r="AS55" s="288"/>
      <c r="AT55" s="288"/>
      <c r="AU55" s="288"/>
      <c r="AV55" s="289"/>
      <c r="AW55" s="287"/>
      <c r="AX55" s="288"/>
      <c r="AY55" s="288"/>
      <c r="AZ55" s="288"/>
      <c r="BA55" s="288"/>
      <c r="BB55" s="288"/>
      <c r="BC55" s="288"/>
      <c r="BD55" s="288"/>
      <c r="BE55" s="288"/>
      <c r="BF55" s="289"/>
      <c r="BG55" s="289">
        <f t="shared" si="0"/>
        <v>0</v>
      </c>
      <c r="BH55" s="237"/>
    </row>
    <row r="56" spans="1:60" x14ac:dyDescent="0.2">
      <c r="A56" s="348"/>
      <c r="B56" s="277"/>
      <c r="C56" s="278"/>
      <c r="D56" s="278"/>
      <c r="E56" s="278"/>
      <c r="F56" s="278"/>
      <c r="G56" s="278"/>
      <c r="H56" s="278"/>
      <c r="I56" s="278"/>
      <c r="J56" s="279"/>
      <c r="K56" s="277"/>
      <c r="L56" s="278"/>
      <c r="M56" s="278"/>
      <c r="N56" s="278"/>
      <c r="O56" s="278"/>
      <c r="P56" s="278"/>
      <c r="Q56" s="278"/>
      <c r="R56" s="278"/>
      <c r="S56" s="279"/>
      <c r="T56" s="277"/>
      <c r="U56" s="278"/>
      <c r="V56" s="278"/>
      <c r="W56" s="278"/>
      <c r="X56" s="278"/>
      <c r="Y56" s="278"/>
      <c r="Z56" s="278"/>
      <c r="AA56" s="278"/>
      <c r="AB56" s="279"/>
      <c r="AC56" s="277"/>
      <c r="AD56" s="278"/>
      <c r="AE56" s="278"/>
      <c r="AF56" s="278"/>
      <c r="AG56" s="278"/>
      <c r="AH56" s="278"/>
      <c r="AI56" s="278"/>
      <c r="AJ56" s="278"/>
      <c r="AK56" s="278"/>
      <c r="AL56" s="279"/>
      <c r="AM56" s="277"/>
      <c r="AN56" s="278"/>
      <c r="AO56" s="278"/>
      <c r="AP56" s="278"/>
      <c r="AQ56" s="278"/>
      <c r="AR56" s="278"/>
      <c r="AS56" s="278"/>
      <c r="AT56" s="278"/>
      <c r="AU56" s="278"/>
      <c r="AV56" s="279"/>
      <c r="AW56" s="277"/>
      <c r="AX56" s="278"/>
      <c r="AY56" s="278"/>
      <c r="AZ56" s="278"/>
      <c r="BA56" s="278"/>
      <c r="BB56" s="278"/>
      <c r="BC56" s="278"/>
      <c r="BD56" s="278"/>
      <c r="BE56" s="278"/>
      <c r="BF56" s="279"/>
      <c r="BG56" s="279">
        <f t="shared" si="0"/>
        <v>0</v>
      </c>
      <c r="BH56" s="237"/>
    </row>
    <row r="57" spans="1:60" x14ac:dyDescent="0.2">
      <c r="A57" s="348"/>
      <c r="B57" s="277"/>
      <c r="C57" s="278"/>
      <c r="D57" s="278"/>
      <c r="E57" s="278"/>
      <c r="F57" s="278"/>
      <c r="G57" s="278"/>
      <c r="H57" s="278"/>
      <c r="I57" s="278"/>
      <c r="J57" s="279"/>
      <c r="K57" s="277"/>
      <c r="L57" s="278"/>
      <c r="M57" s="278"/>
      <c r="N57" s="278"/>
      <c r="O57" s="278"/>
      <c r="P57" s="278"/>
      <c r="Q57" s="278"/>
      <c r="R57" s="278"/>
      <c r="S57" s="279"/>
      <c r="T57" s="277"/>
      <c r="U57" s="278"/>
      <c r="V57" s="278"/>
      <c r="W57" s="278"/>
      <c r="X57" s="278"/>
      <c r="Y57" s="278"/>
      <c r="Z57" s="278"/>
      <c r="AA57" s="278"/>
      <c r="AB57" s="279"/>
      <c r="AC57" s="277"/>
      <c r="AD57" s="278"/>
      <c r="AE57" s="278"/>
      <c r="AF57" s="278"/>
      <c r="AG57" s="278"/>
      <c r="AH57" s="278"/>
      <c r="AI57" s="278"/>
      <c r="AJ57" s="278"/>
      <c r="AK57" s="278"/>
      <c r="AL57" s="279"/>
      <c r="AM57" s="277"/>
      <c r="AN57" s="278"/>
      <c r="AO57" s="278"/>
      <c r="AP57" s="278"/>
      <c r="AQ57" s="278"/>
      <c r="AR57" s="278"/>
      <c r="AS57" s="278"/>
      <c r="AT57" s="278"/>
      <c r="AU57" s="278"/>
      <c r="AV57" s="279"/>
      <c r="AW57" s="277"/>
      <c r="AX57" s="278"/>
      <c r="AY57" s="278"/>
      <c r="AZ57" s="278"/>
      <c r="BA57" s="278"/>
      <c r="BB57" s="278"/>
      <c r="BC57" s="278"/>
      <c r="BD57" s="278"/>
      <c r="BE57" s="278"/>
      <c r="BF57" s="279"/>
      <c r="BG57" s="279">
        <f t="shared" si="0"/>
        <v>0</v>
      </c>
      <c r="BH57" s="237"/>
    </row>
    <row r="58" spans="1:60" x14ac:dyDescent="0.2">
      <c r="A58" s="348"/>
      <c r="B58" s="277"/>
      <c r="C58" s="278"/>
      <c r="D58" s="278"/>
      <c r="E58" s="278"/>
      <c r="F58" s="278"/>
      <c r="G58" s="278"/>
      <c r="H58" s="278"/>
      <c r="I58" s="278"/>
      <c r="J58" s="279"/>
      <c r="K58" s="277"/>
      <c r="L58" s="278"/>
      <c r="M58" s="278"/>
      <c r="N58" s="278"/>
      <c r="O58" s="278"/>
      <c r="P58" s="278"/>
      <c r="Q58" s="278"/>
      <c r="R58" s="278"/>
      <c r="S58" s="279"/>
      <c r="T58" s="277"/>
      <c r="U58" s="278"/>
      <c r="V58" s="278"/>
      <c r="W58" s="278"/>
      <c r="X58" s="278"/>
      <c r="Y58" s="278"/>
      <c r="Z58" s="278"/>
      <c r="AA58" s="278"/>
      <c r="AB58" s="279"/>
      <c r="AC58" s="277"/>
      <c r="AD58" s="278"/>
      <c r="AE58" s="278"/>
      <c r="AF58" s="278"/>
      <c r="AG58" s="278"/>
      <c r="AH58" s="278"/>
      <c r="AI58" s="278"/>
      <c r="AJ58" s="278"/>
      <c r="AK58" s="278"/>
      <c r="AL58" s="279"/>
      <c r="AM58" s="277"/>
      <c r="AN58" s="278"/>
      <c r="AO58" s="278"/>
      <c r="AP58" s="278"/>
      <c r="AQ58" s="278"/>
      <c r="AR58" s="278"/>
      <c r="AS58" s="278"/>
      <c r="AT58" s="278"/>
      <c r="AU58" s="278"/>
      <c r="AV58" s="279"/>
      <c r="AW58" s="277"/>
      <c r="AX58" s="278"/>
      <c r="AY58" s="278"/>
      <c r="AZ58" s="278"/>
      <c r="BA58" s="278"/>
      <c r="BB58" s="278"/>
      <c r="BC58" s="278"/>
      <c r="BD58" s="278"/>
      <c r="BE58" s="278"/>
      <c r="BF58" s="279"/>
      <c r="BG58" s="279">
        <f t="shared" si="0"/>
        <v>0</v>
      </c>
      <c r="BH58" s="237"/>
    </row>
    <row r="59" spans="1:60" x14ac:dyDescent="0.2">
      <c r="A59" s="349"/>
      <c r="B59" s="290"/>
      <c r="C59" s="291"/>
      <c r="D59" s="291"/>
      <c r="E59" s="291"/>
      <c r="F59" s="291"/>
      <c r="G59" s="291"/>
      <c r="H59" s="291"/>
      <c r="I59" s="291"/>
      <c r="J59" s="292"/>
      <c r="K59" s="290"/>
      <c r="L59" s="291"/>
      <c r="M59" s="291"/>
      <c r="N59" s="291"/>
      <c r="O59" s="291"/>
      <c r="P59" s="291"/>
      <c r="Q59" s="291"/>
      <c r="R59" s="291"/>
      <c r="S59" s="292"/>
      <c r="T59" s="290"/>
      <c r="U59" s="291"/>
      <c r="V59" s="291"/>
      <c r="W59" s="291"/>
      <c r="X59" s="291"/>
      <c r="Y59" s="291"/>
      <c r="Z59" s="291"/>
      <c r="AA59" s="291"/>
      <c r="AB59" s="292"/>
      <c r="AC59" s="290"/>
      <c r="AD59" s="291"/>
      <c r="AE59" s="291"/>
      <c r="AF59" s="291"/>
      <c r="AG59" s="291"/>
      <c r="AH59" s="291"/>
      <c r="AI59" s="291"/>
      <c r="AJ59" s="291"/>
      <c r="AK59" s="291"/>
      <c r="AL59" s="292"/>
      <c r="AM59" s="281"/>
      <c r="AN59" s="282"/>
      <c r="AO59" s="282"/>
      <c r="AP59" s="282"/>
      <c r="AQ59" s="282"/>
      <c r="AR59" s="282"/>
      <c r="AS59" s="282"/>
      <c r="AT59" s="282"/>
      <c r="AU59" s="282"/>
      <c r="AV59" s="283"/>
      <c r="AW59" s="281"/>
      <c r="AX59" s="282"/>
      <c r="AY59" s="282"/>
      <c r="AZ59" s="282"/>
      <c r="BA59" s="282"/>
      <c r="BB59" s="282"/>
      <c r="BC59" s="282"/>
      <c r="BD59" s="282"/>
      <c r="BE59" s="282"/>
      <c r="BF59" s="283"/>
      <c r="BG59" s="283">
        <f t="shared" si="0"/>
        <v>0</v>
      </c>
      <c r="BH59" s="237"/>
    </row>
    <row r="60" spans="1:60" x14ac:dyDescent="0.2">
      <c r="A60" s="348"/>
      <c r="B60" s="287"/>
      <c r="C60" s="288"/>
      <c r="D60" s="288"/>
      <c r="E60" s="288"/>
      <c r="F60" s="288"/>
      <c r="G60" s="288"/>
      <c r="H60" s="288"/>
      <c r="I60" s="288"/>
      <c r="J60" s="289"/>
      <c r="K60" s="287"/>
      <c r="L60" s="288"/>
      <c r="M60" s="288"/>
      <c r="N60" s="288"/>
      <c r="O60" s="288"/>
      <c r="P60" s="288"/>
      <c r="Q60" s="288"/>
      <c r="R60" s="288"/>
      <c r="S60" s="289"/>
      <c r="T60" s="287"/>
      <c r="U60" s="288"/>
      <c r="V60" s="288"/>
      <c r="W60" s="288"/>
      <c r="X60" s="288"/>
      <c r="Y60" s="288"/>
      <c r="Z60" s="288"/>
      <c r="AA60" s="288"/>
      <c r="AB60" s="289"/>
      <c r="AC60" s="287"/>
      <c r="AD60" s="288"/>
      <c r="AE60" s="288"/>
      <c r="AF60" s="288"/>
      <c r="AG60" s="288"/>
      <c r="AH60" s="288"/>
      <c r="AI60" s="288"/>
      <c r="AJ60" s="288"/>
      <c r="AK60" s="288"/>
      <c r="AL60" s="289"/>
      <c r="AM60" s="287"/>
      <c r="AN60" s="288"/>
      <c r="AO60" s="288"/>
      <c r="AP60" s="288"/>
      <c r="AQ60" s="288"/>
      <c r="AR60" s="288"/>
      <c r="AS60" s="288"/>
      <c r="AT60" s="288"/>
      <c r="AU60" s="288"/>
      <c r="AV60" s="289"/>
      <c r="AW60" s="287"/>
      <c r="AX60" s="288"/>
      <c r="AY60" s="288"/>
      <c r="AZ60" s="288"/>
      <c r="BA60" s="288"/>
      <c r="BB60" s="288"/>
      <c r="BC60" s="288"/>
      <c r="BD60" s="288"/>
      <c r="BE60" s="288"/>
      <c r="BF60" s="289"/>
      <c r="BG60" s="289">
        <f t="shared" si="0"/>
        <v>0</v>
      </c>
      <c r="BH60" s="237"/>
    </row>
    <row r="61" spans="1:60" x14ac:dyDescent="0.2">
      <c r="A61" s="348"/>
      <c r="B61" s="277"/>
      <c r="C61" s="278"/>
      <c r="D61" s="278"/>
      <c r="E61" s="278"/>
      <c r="F61" s="278"/>
      <c r="G61" s="278"/>
      <c r="H61" s="278"/>
      <c r="I61" s="278"/>
      <c r="J61" s="279"/>
      <c r="K61" s="277"/>
      <c r="L61" s="278"/>
      <c r="M61" s="278"/>
      <c r="N61" s="278"/>
      <c r="O61" s="278"/>
      <c r="P61" s="278"/>
      <c r="Q61" s="278"/>
      <c r="R61" s="278"/>
      <c r="S61" s="279"/>
      <c r="T61" s="277"/>
      <c r="U61" s="278"/>
      <c r="V61" s="278"/>
      <c r="W61" s="278"/>
      <c r="X61" s="278"/>
      <c r="Y61" s="278"/>
      <c r="Z61" s="278"/>
      <c r="AA61" s="278"/>
      <c r="AB61" s="279"/>
      <c r="AC61" s="277"/>
      <c r="AD61" s="278"/>
      <c r="AE61" s="278"/>
      <c r="AF61" s="278"/>
      <c r="AG61" s="278"/>
      <c r="AH61" s="278"/>
      <c r="AI61" s="278"/>
      <c r="AJ61" s="278"/>
      <c r="AK61" s="278"/>
      <c r="AL61" s="279"/>
      <c r="AM61" s="277"/>
      <c r="AN61" s="278"/>
      <c r="AO61" s="278"/>
      <c r="AP61" s="278"/>
      <c r="AQ61" s="278"/>
      <c r="AR61" s="278"/>
      <c r="AS61" s="278"/>
      <c r="AT61" s="278"/>
      <c r="AU61" s="278"/>
      <c r="AV61" s="279"/>
      <c r="AW61" s="277"/>
      <c r="AX61" s="278"/>
      <c r="AY61" s="278"/>
      <c r="AZ61" s="278"/>
      <c r="BA61" s="278"/>
      <c r="BB61" s="278"/>
      <c r="BC61" s="278"/>
      <c r="BD61" s="278"/>
      <c r="BE61" s="278"/>
      <c r="BF61" s="279"/>
      <c r="BG61" s="279">
        <f t="shared" si="0"/>
        <v>0</v>
      </c>
      <c r="BH61" s="237"/>
    </row>
    <row r="62" spans="1:60" x14ac:dyDescent="0.2">
      <c r="A62" s="348"/>
      <c r="B62" s="277"/>
      <c r="C62" s="278"/>
      <c r="D62" s="278"/>
      <c r="E62" s="278"/>
      <c r="F62" s="278"/>
      <c r="G62" s="278"/>
      <c r="H62" s="278"/>
      <c r="I62" s="278"/>
      <c r="J62" s="279"/>
      <c r="K62" s="277"/>
      <c r="L62" s="278"/>
      <c r="M62" s="278"/>
      <c r="N62" s="278"/>
      <c r="O62" s="278"/>
      <c r="P62" s="278"/>
      <c r="Q62" s="278"/>
      <c r="R62" s="278"/>
      <c r="S62" s="279"/>
      <c r="T62" s="277"/>
      <c r="U62" s="278"/>
      <c r="V62" s="278"/>
      <c r="W62" s="278"/>
      <c r="X62" s="278"/>
      <c r="Y62" s="278"/>
      <c r="Z62" s="278"/>
      <c r="AA62" s="278"/>
      <c r="AB62" s="279"/>
      <c r="AC62" s="277"/>
      <c r="AD62" s="278"/>
      <c r="AE62" s="278"/>
      <c r="AF62" s="278"/>
      <c r="AG62" s="278"/>
      <c r="AH62" s="278"/>
      <c r="AI62" s="278"/>
      <c r="AJ62" s="278"/>
      <c r="AK62" s="278"/>
      <c r="AL62" s="279"/>
      <c r="AM62" s="277"/>
      <c r="AN62" s="278"/>
      <c r="AO62" s="278"/>
      <c r="AP62" s="278"/>
      <c r="AQ62" s="278"/>
      <c r="AR62" s="278"/>
      <c r="AS62" s="278"/>
      <c r="AT62" s="278"/>
      <c r="AU62" s="278"/>
      <c r="AV62" s="279"/>
      <c r="AW62" s="277"/>
      <c r="AX62" s="278"/>
      <c r="AY62" s="278"/>
      <c r="AZ62" s="278"/>
      <c r="BA62" s="278"/>
      <c r="BB62" s="278"/>
      <c r="BC62" s="278"/>
      <c r="BD62" s="278"/>
      <c r="BE62" s="278"/>
      <c r="BF62" s="279"/>
      <c r="BG62" s="279">
        <f t="shared" si="0"/>
        <v>0</v>
      </c>
      <c r="BH62" s="237"/>
    </row>
    <row r="63" spans="1:60" x14ac:dyDescent="0.2">
      <c r="A63" s="348"/>
      <c r="B63" s="277"/>
      <c r="C63" s="278"/>
      <c r="D63" s="278"/>
      <c r="E63" s="278"/>
      <c r="F63" s="278"/>
      <c r="G63" s="278"/>
      <c r="H63" s="278"/>
      <c r="I63" s="278"/>
      <c r="J63" s="279"/>
      <c r="K63" s="277"/>
      <c r="L63" s="278"/>
      <c r="M63" s="278"/>
      <c r="N63" s="278"/>
      <c r="O63" s="278"/>
      <c r="P63" s="278"/>
      <c r="Q63" s="278"/>
      <c r="R63" s="278"/>
      <c r="S63" s="279"/>
      <c r="T63" s="277"/>
      <c r="U63" s="278"/>
      <c r="V63" s="278"/>
      <c r="W63" s="278"/>
      <c r="X63" s="278"/>
      <c r="Y63" s="278"/>
      <c r="Z63" s="278"/>
      <c r="AA63" s="278"/>
      <c r="AB63" s="279"/>
      <c r="AC63" s="277"/>
      <c r="AD63" s="278"/>
      <c r="AE63" s="278"/>
      <c r="AF63" s="278"/>
      <c r="AG63" s="278"/>
      <c r="AH63" s="278"/>
      <c r="AI63" s="278"/>
      <c r="AJ63" s="278"/>
      <c r="AK63" s="278"/>
      <c r="AL63" s="279"/>
      <c r="AM63" s="277"/>
      <c r="AN63" s="278"/>
      <c r="AO63" s="278"/>
      <c r="AP63" s="278"/>
      <c r="AQ63" s="278"/>
      <c r="AR63" s="278"/>
      <c r="AS63" s="278"/>
      <c r="AT63" s="278"/>
      <c r="AU63" s="278"/>
      <c r="AV63" s="279"/>
      <c r="AW63" s="277"/>
      <c r="AX63" s="278"/>
      <c r="AY63" s="278"/>
      <c r="AZ63" s="278"/>
      <c r="BA63" s="278"/>
      <c r="BB63" s="278"/>
      <c r="BC63" s="278"/>
      <c r="BD63" s="278"/>
      <c r="BE63" s="278"/>
      <c r="BF63" s="279"/>
      <c r="BG63" s="279">
        <f t="shared" si="0"/>
        <v>0</v>
      </c>
      <c r="BH63" s="237"/>
    </row>
    <row r="64" spans="1:60" x14ac:dyDescent="0.2">
      <c r="A64" s="349"/>
      <c r="B64" s="281"/>
      <c r="C64" s="282"/>
      <c r="D64" s="282"/>
      <c r="E64" s="282"/>
      <c r="F64" s="282"/>
      <c r="G64" s="282"/>
      <c r="H64" s="282"/>
      <c r="I64" s="282"/>
      <c r="J64" s="283"/>
      <c r="K64" s="281"/>
      <c r="L64" s="282"/>
      <c r="M64" s="282"/>
      <c r="N64" s="282"/>
      <c r="O64" s="282"/>
      <c r="P64" s="282"/>
      <c r="Q64" s="282"/>
      <c r="R64" s="282"/>
      <c r="S64" s="283"/>
      <c r="T64" s="281"/>
      <c r="U64" s="282"/>
      <c r="V64" s="282"/>
      <c r="W64" s="282"/>
      <c r="X64" s="282"/>
      <c r="Y64" s="282"/>
      <c r="Z64" s="282"/>
      <c r="AA64" s="282"/>
      <c r="AB64" s="283"/>
      <c r="AC64" s="281"/>
      <c r="AD64" s="282"/>
      <c r="AE64" s="282"/>
      <c r="AF64" s="282"/>
      <c r="AG64" s="282"/>
      <c r="AH64" s="282"/>
      <c r="AI64" s="282"/>
      <c r="AJ64" s="282"/>
      <c r="AK64" s="282"/>
      <c r="AL64" s="283"/>
      <c r="AM64" s="281"/>
      <c r="AN64" s="282"/>
      <c r="AO64" s="282"/>
      <c r="AP64" s="282"/>
      <c r="AQ64" s="282"/>
      <c r="AR64" s="282"/>
      <c r="AS64" s="282"/>
      <c r="AT64" s="282"/>
      <c r="AU64" s="282"/>
      <c r="AV64" s="283"/>
      <c r="AW64" s="281"/>
      <c r="AX64" s="282"/>
      <c r="AY64" s="282"/>
      <c r="AZ64" s="282"/>
      <c r="BA64" s="282"/>
      <c r="BB64" s="282"/>
      <c r="BC64" s="282"/>
      <c r="BD64" s="282"/>
      <c r="BE64" s="282"/>
      <c r="BF64" s="283"/>
      <c r="BG64" s="283">
        <f t="shared" si="0"/>
        <v>0</v>
      </c>
      <c r="BH64" s="237"/>
    </row>
    <row r="65" spans="1:60" x14ac:dyDescent="0.2">
      <c r="A65" s="348"/>
      <c r="B65" s="284"/>
      <c r="C65" s="285"/>
      <c r="D65" s="285"/>
      <c r="E65" s="285"/>
      <c r="F65" s="285"/>
      <c r="G65" s="285"/>
      <c r="H65" s="285"/>
      <c r="I65" s="285"/>
      <c r="J65" s="286"/>
      <c r="K65" s="284"/>
      <c r="L65" s="285"/>
      <c r="M65" s="285"/>
      <c r="N65" s="285"/>
      <c r="O65" s="285"/>
      <c r="P65" s="285"/>
      <c r="Q65" s="285"/>
      <c r="R65" s="285"/>
      <c r="S65" s="286"/>
      <c r="T65" s="284"/>
      <c r="U65" s="285"/>
      <c r="V65" s="285"/>
      <c r="W65" s="285"/>
      <c r="X65" s="285"/>
      <c r="Y65" s="285"/>
      <c r="Z65" s="285"/>
      <c r="AA65" s="285"/>
      <c r="AB65" s="286"/>
      <c r="AC65" s="284"/>
      <c r="AD65" s="285"/>
      <c r="AE65" s="285"/>
      <c r="AF65" s="285"/>
      <c r="AG65" s="285"/>
      <c r="AH65" s="285"/>
      <c r="AI65" s="285"/>
      <c r="AJ65" s="285"/>
      <c r="AK65" s="285"/>
      <c r="AL65" s="286"/>
      <c r="AM65" s="287"/>
      <c r="AN65" s="288"/>
      <c r="AO65" s="288"/>
      <c r="AP65" s="288"/>
      <c r="AQ65" s="288"/>
      <c r="AR65" s="288"/>
      <c r="AS65" s="288"/>
      <c r="AT65" s="288"/>
      <c r="AU65" s="288"/>
      <c r="AV65" s="289"/>
      <c r="AW65" s="287"/>
      <c r="AX65" s="288"/>
      <c r="AY65" s="288"/>
      <c r="AZ65" s="288"/>
      <c r="BA65" s="288"/>
      <c r="BB65" s="288"/>
      <c r="BC65" s="288"/>
      <c r="BD65" s="288"/>
      <c r="BE65" s="288"/>
      <c r="BF65" s="289"/>
      <c r="BG65" s="289">
        <f t="shared" si="0"/>
        <v>0</v>
      </c>
      <c r="BH65" s="237"/>
    </row>
    <row r="66" spans="1:60" x14ac:dyDescent="0.2">
      <c r="A66" s="348"/>
      <c r="B66" s="277"/>
      <c r="C66" s="278"/>
      <c r="D66" s="278"/>
      <c r="E66" s="278"/>
      <c r="F66" s="278"/>
      <c r="G66" s="278"/>
      <c r="H66" s="278"/>
      <c r="I66" s="278"/>
      <c r="J66" s="279"/>
      <c r="K66" s="277"/>
      <c r="L66" s="278"/>
      <c r="M66" s="278"/>
      <c r="N66" s="278"/>
      <c r="O66" s="278"/>
      <c r="P66" s="278"/>
      <c r="Q66" s="278"/>
      <c r="R66" s="278"/>
      <c r="S66" s="279"/>
      <c r="T66" s="277"/>
      <c r="U66" s="278"/>
      <c r="V66" s="278"/>
      <c r="W66" s="278"/>
      <c r="X66" s="278"/>
      <c r="Y66" s="278"/>
      <c r="Z66" s="278"/>
      <c r="AA66" s="278"/>
      <c r="AB66" s="279"/>
      <c r="AC66" s="277"/>
      <c r="AD66" s="278"/>
      <c r="AE66" s="278"/>
      <c r="AF66" s="278"/>
      <c r="AG66" s="278"/>
      <c r="AH66" s="278"/>
      <c r="AI66" s="278"/>
      <c r="AJ66" s="278"/>
      <c r="AK66" s="278"/>
      <c r="AL66" s="279"/>
      <c r="AM66" s="277"/>
      <c r="AN66" s="278"/>
      <c r="AO66" s="278"/>
      <c r="AP66" s="278"/>
      <c r="AQ66" s="278"/>
      <c r="AR66" s="278"/>
      <c r="AS66" s="278"/>
      <c r="AT66" s="278"/>
      <c r="AU66" s="278"/>
      <c r="AV66" s="279"/>
      <c r="AW66" s="277"/>
      <c r="AX66" s="278"/>
      <c r="AY66" s="278"/>
      <c r="AZ66" s="278"/>
      <c r="BA66" s="278"/>
      <c r="BB66" s="278"/>
      <c r="BC66" s="278"/>
      <c r="BD66" s="278"/>
      <c r="BE66" s="278"/>
      <c r="BF66" s="279"/>
      <c r="BG66" s="279">
        <f t="shared" si="0"/>
        <v>0</v>
      </c>
      <c r="BH66" s="237"/>
    </row>
    <row r="67" spans="1:60" x14ac:dyDescent="0.2">
      <c r="A67" s="348"/>
      <c r="B67" s="277"/>
      <c r="C67" s="278"/>
      <c r="D67" s="278"/>
      <c r="E67" s="278"/>
      <c r="F67" s="278"/>
      <c r="G67" s="278"/>
      <c r="H67" s="278"/>
      <c r="I67" s="278"/>
      <c r="J67" s="279"/>
      <c r="K67" s="277"/>
      <c r="L67" s="278"/>
      <c r="M67" s="278"/>
      <c r="N67" s="278"/>
      <c r="O67" s="278"/>
      <c r="P67" s="278"/>
      <c r="Q67" s="278"/>
      <c r="R67" s="278"/>
      <c r="S67" s="279"/>
      <c r="T67" s="277"/>
      <c r="U67" s="278"/>
      <c r="V67" s="278"/>
      <c r="W67" s="278"/>
      <c r="X67" s="278"/>
      <c r="Y67" s="278"/>
      <c r="Z67" s="278"/>
      <c r="AA67" s="278"/>
      <c r="AB67" s="279"/>
      <c r="AC67" s="277"/>
      <c r="AD67" s="278"/>
      <c r="AE67" s="278"/>
      <c r="AF67" s="278"/>
      <c r="AG67" s="278"/>
      <c r="AH67" s="278"/>
      <c r="AI67" s="278"/>
      <c r="AJ67" s="278"/>
      <c r="AK67" s="278"/>
      <c r="AL67" s="279"/>
      <c r="AM67" s="277"/>
      <c r="AN67" s="278"/>
      <c r="AO67" s="278"/>
      <c r="AP67" s="278"/>
      <c r="AQ67" s="278"/>
      <c r="AR67" s="278"/>
      <c r="AS67" s="278"/>
      <c r="AT67" s="278"/>
      <c r="AU67" s="278"/>
      <c r="AV67" s="279"/>
      <c r="AW67" s="277"/>
      <c r="AX67" s="278"/>
      <c r="AY67" s="278"/>
      <c r="AZ67" s="278"/>
      <c r="BA67" s="278"/>
      <c r="BB67" s="278"/>
      <c r="BC67" s="278"/>
      <c r="BD67" s="278"/>
      <c r="BE67" s="278"/>
      <c r="BF67" s="279"/>
      <c r="BG67" s="279">
        <f t="shared" si="0"/>
        <v>0</v>
      </c>
      <c r="BH67" s="237"/>
    </row>
    <row r="68" spans="1:60" x14ac:dyDescent="0.2">
      <c r="A68" s="348"/>
      <c r="B68" s="277"/>
      <c r="C68" s="278"/>
      <c r="D68" s="278"/>
      <c r="E68" s="278"/>
      <c r="F68" s="278"/>
      <c r="G68" s="278"/>
      <c r="H68" s="278"/>
      <c r="I68" s="278"/>
      <c r="J68" s="279"/>
      <c r="K68" s="277"/>
      <c r="L68" s="278"/>
      <c r="M68" s="278"/>
      <c r="N68" s="278"/>
      <c r="O68" s="278"/>
      <c r="P68" s="278"/>
      <c r="Q68" s="278"/>
      <c r="R68" s="278"/>
      <c r="S68" s="279"/>
      <c r="T68" s="277"/>
      <c r="U68" s="278"/>
      <c r="V68" s="278"/>
      <c r="W68" s="278"/>
      <c r="X68" s="278"/>
      <c r="Y68" s="278"/>
      <c r="Z68" s="278"/>
      <c r="AA68" s="278"/>
      <c r="AB68" s="279"/>
      <c r="AC68" s="277"/>
      <c r="AD68" s="278"/>
      <c r="AE68" s="278"/>
      <c r="AF68" s="278"/>
      <c r="AG68" s="278"/>
      <c r="AH68" s="278"/>
      <c r="AI68" s="278"/>
      <c r="AJ68" s="278"/>
      <c r="AK68" s="278"/>
      <c r="AL68" s="279"/>
      <c r="AM68" s="277"/>
      <c r="AN68" s="278"/>
      <c r="AO68" s="278"/>
      <c r="AP68" s="278"/>
      <c r="AQ68" s="278"/>
      <c r="AR68" s="278"/>
      <c r="AS68" s="278"/>
      <c r="AT68" s="278"/>
      <c r="AU68" s="278"/>
      <c r="AV68" s="279"/>
      <c r="AW68" s="277"/>
      <c r="AX68" s="278"/>
      <c r="AY68" s="278"/>
      <c r="AZ68" s="278"/>
      <c r="BA68" s="278"/>
      <c r="BB68" s="278"/>
      <c r="BC68" s="278"/>
      <c r="BD68" s="278"/>
      <c r="BE68" s="278"/>
      <c r="BF68" s="279"/>
      <c r="BG68" s="279">
        <f t="shared" si="0"/>
        <v>0</v>
      </c>
      <c r="BH68" s="237"/>
    </row>
    <row r="69" spans="1:60" x14ac:dyDescent="0.2">
      <c r="A69" s="349"/>
      <c r="B69" s="290"/>
      <c r="C69" s="291"/>
      <c r="D69" s="291"/>
      <c r="E69" s="291"/>
      <c r="F69" s="291"/>
      <c r="G69" s="291"/>
      <c r="H69" s="291"/>
      <c r="I69" s="291"/>
      <c r="J69" s="292"/>
      <c r="K69" s="290"/>
      <c r="L69" s="291"/>
      <c r="M69" s="291"/>
      <c r="N69" s="291"/>
      <c r="O69" s="291"/>
      <c r="P69" s="291"/>
      <c r="Q69" s="291"/>
      <c r="R69" s="291"/>
      <c r="S69" s="292"/>
      <c r="T69" s="290"/>
      <c r="U69" s="291"/>
      <c r="V69" s="291"/>
      <c r="W69" s="291"/>
      <c r="X69" s="291"/>
      <c r="Y69" s="291"/>
      <c r="Z69" s="291"/>
      <c r="AA69" s="291"/>
      <c r="AB69" s="292"/>
      <c r="AC69" s="290"/>
      <c r="AD69" s="291"/>
      <c r="AE69" s="291"/>
      <c r="AF69" s="291"/>
      <c r="AG69" s="291"/>
      <c r="AH69" s="291"/>
      <c r="AI69" s="291"/>
      <c r="AJ69" s="291"/>
      <c r="AK69" s="291"/>
      <c r="AL69" s="292"/>
      <c r="AM69" s="281"/>
      <c r="AN69" s="282"/>
      <c r="AO69" s="282"/>
      <c r="AP69" s="282"/>
      <c r="AQ69" s="282"/>
      <c r="AR69" s="282"/>
      <c r="AS69" s="282"/>
      <c r="AT69" s="282"/>
      <c r="AU69" s="282"/>
      <c r="AV69" s="283"/>
      <c r="AW69" s="281"/>
      <c r="AX69" s="282"/>
      <c r="AY69" s="282"/>
      <c r="AZ69" s="282"/>
      <c r="BA69" s="282"/>
      <c r="BB69" s="282"/>
      <c r="BC69" s="282"/>
      <c r="BD69" s="282"/>
      <c r="BE69" s="282"/>
      <c r="BF69" s="283"/>
      <c r="BG69" s="283">
        <f t="shared" si="0"/>
        <v>0</v>
      </c>
      <c r="BH69" s="237"/>
    </row>
    <row r="70" spans="1:60" x14ac:dyDescent="0.2">
      <c r="A70" s="348"/>
      <c r="B70" s="287"/>
      <c r="C70" s="288"/>
      <c r="D70" s="288"/>
      <c r="E70" s="288"/>
      <c r="F70" s="288"/>
      <c r="G70" s="288"/>
      <c r="H70" s="288"/>
      <c r="I70" s="288"/>
      <c r="J70" s="289"/>
      <c r="K70" s="287"/>
      <c r="L70" s="288"/>
      <c r="M70" s="288"/>
      <c r="N70" s="288"/>
      <c r="O70" s="288"/>
      <c r="P70" s="288"/>
      <c r="Q70" s="288"/>
      <c r="R70" s="288"/>
      <c r="S70" s="289"/>
      <c r="T70" s="287"/>
      <c r="U70" s="288"/>
      <c r="V70" s="288"/>
      <c r="W70" s="288"/>
      <c r="X70" s="288"/>
      <c r="Y70" s="288"/>
      <c r="Z70" s="288"/>
      <c r="AA70" s="288"/>
      <c r="AB70" s="289"/>
      <c r="AC70" s="287"/>
      <c r="AD70" s="288"/>
      <c r="AE70" s="288"/>
      <c r="AF70" s="288"/>
      <c r="AG70" s="288"/>
      <c r="AH70" s="288"/>
      <c r="AI70" s="288"/>
      <c r="AJ70" s="288"/>
      <c r="AK70" s="288"/>
      <c r="AL70" s="289"/>
      <c r="AM70" s="287"/>
      <c r="AN70" s="288"/>
      <c r="AO70" s="288"/>
      <c r="AP70" s="288"/>
      <c r="AQ70" s="288"/>
      <c r="AR70" s="288"/>
      <c r="AS70" s="288"/>
      <c r="AT70" s="288"/>
      <c r="AU70" s="288"/>
      <c r="AV70" s="289"/>
      <c r="AW70" s="287"/>
      <c r="AX70" s="288"/>
      <c r="AY70" s="288"/>
      <c r="AZ70" s="288"/>
      <c r="BA70" s="288"/>
      <c r="BB70" s="288"/>
      <c r="BC70" s="288"/>
      <c r="BD70" s="288"/>
      <c r="BE70" s="288"/>
      <c r="BF70" s="289"/>
      <c r="BG70" s="289">
        <f t="shared" si="0"/>
        <v>0</v>
      </c>
      <c r="BH70" s="237"/>
    </row>
    <row r="71" spans="1:60" x14ac:dyDescent="0.2">
      <c r="A71" s="348"/>
      <c r="B71" s="277"/>
      <c r="C71" s="278"/>
      <c r="D71" s="278"/>
      <c r="E71" s="278"/>
      <c r="F71" s="278"/>
      <c r="G71" s="278"/>
      <c r="H71" s="278"/>
      <c r="I71" s="278"/>
      <c r="J71" s="279"/>
      <c r="K71" s="277"/>
      <c r="L71" s="278"/>
      <c r="M71" s="278"/>
      <c r="N71" s="278"/>
      <c r="O71" s="278"/>
      <c r="P71" s="278"/>
      <c r="Q71" s="278"/>
      <c r="R71" s="278"/>
      <c r="S71" s="279"/>
      <c r="T71" s="277"/>
      <c r="U71" s="278"/>
      <c r="V71" s="278"/>
      <c r="W71" s="278"/>
      <c r="X71" s="278"/>
      <c r="Y71" s="278"/>
      <c r="Z71" s="278"/>
      <c r="AA71" s="278"/>
      <c r="AB71" s="279"/>
      <c r="AC71" s="277"/>
      <c r="AD71" s="278"/>
      <c r="AE71" s="278"/>
      <c r="AF71" s="278"/>
      <c r="AG71" s="278"/>
      <c r="AH71" s="278"/>
      <c r="AI71" s="278"/>
      <c r="AJ71" s="278"/>
      <c r="AK71" s="278"/>
      <c r="AL71" s="279"/>
      <c r="AM71" s="277"/>
      <c r="AN71" s="278"/>
      <c r="AO71" s="278"/>
      <c r="AP71" s="278"/>
      <c r="AQ71" s="278"/>
      <c r="AR71" s="278"/>
      <c r="AS71" s="278"/>
      <c r="AT71" s="278"/>
      <c r="AU71" s="278"/>
      <c r="AV71" s="279"/>
      <c r="AW71" s="277"/>
      <c r="AX71" s="278"/>
      <c r="AY71" s="278"/>
      <c r="AZ71" s="278"/>
      <c r="BA71" s="278"/>
      <c r="BB71" s="278"/>
      <c r="BC71" s="278"/>
      <c r="BD71" s="278"/>
      <c r="BE71" s="278"/>
      <c r="BF71" s="279"/>
      <c r="BG71" s="279">
        <f t="shared" si="0"/>
        <v>0</v>
      </c>
      <c r="BH71" s="237"/>
    </row>
    <row r="72" spans="1:60" x14ac:dyDescent="0.2">
      <c r="A72" s="348"/>
      <c r="B72" s="277"/>
      <c r="C72" s="278"/>
      <c r="D72" s="278"/>
      <c r="E72" s="278"/>
      <c r="F72" s="278"/>
      <c r="G72" s="278"/>
      <c r="H72" s="278"/>
      <c r="I72" s="278"/>
      <c r="J72" s="279"/>
      <c r="K72" s="277"/>
      <c r="L72" s="278"/>
      <c r="M72" s="278"/>
      <c r="N72" s="278"/>
      <c r="O72" s="278"/>
      <c r="P72" s="278"/>
      <c r="Q72" s="278"/>
      <c r="R72" s="278"/>
      <c r="S72" s="279"/>
      <c r="T72" s="277"/>
      <c r="U72" s="278"/>
      <c r="V72" s="278"/>
      <c r="W72" s="278"/>
      <c r="X72" s="278"/>
      <c r="Y72" s="278"/>
      <c r="Z72" s="278"/>
      <c r="AA72" s="278"/>
      <c r="AB72" s="279"/>
      <c r="AC72" s="277"/>
      <c r="AD72" s="278"/>
      <c r="AE72" s="278"/>
      <c r="AF72" s="278"/>
      <c r="AG72" s="278"/>
      <c r="AH72" s="278"/>
      <c r="AI72" s="278"/>
      <c r="AJ72" s="278"/>
      <c r="AK72" s="278"/>
      <c r="AL72" s="279"/>
      <c r="AM72" s="277"/>
      <c r="AN72" s="278"/>
      <c r="AO72" s="278"/>
      <c r="AP72" s="278"/>
      <c r="AQ72" s="278"/>
      <c r="AR72" s="278"/>
      <c r="AS72" s="278"/>
      <c r="AT72" s="278"/>
      <c r="AU72" s="278"/>
      <c r="AV72" s="279"/>
      <c r="AW72" s="277"/>
      <c r="AX72" s="278"/>
      <c r="AY72" s="278"/>
      <c r="AZ72" s="278"/>
      <c r="BA72" s="278"/>
      <c r="BB72" s="278"/>
      <c r="BC72" s="278"/>
      <c r="BD72" s="278"/>
      <c r="BE72" s="278"/>
      <c r="BF72" s="279"/>
      <c r="BG72" s="279">
        <f t="shared" si="0"/>
        <v>0</v>
      </c>
      <c r="BH72" s="237"/>
    </row>
    <row r="73" spans="1:60" x14ac:dyDescent="0.2">
      <c r="A73" s="348"/>
      <c r="B73" s="277"/>
      <c r="C73" s="278"/>
      <c r="D73" s="278"/>
      <c r="E73" s="278"/>
      <c r="F73" s="278"/>
      <c r="G73" s="278"/>
      <c r="H73" s="278"/>
      <c r="I73" s="278"/>
      <c r="J73" s="279"/>
      <c r="K73" s="277"/>
      <c r="L73" s="278"/>
      <c r="M73" s="278"/>
      <c r="N73" s="278"/>
      <c r="O73" s="278"/>
      <c r="P73" s="278"/>
      <c r="Q73" s="278"/>
      <c r="R73" s="278"/>
      <c r="S73" s="279"/>
      <c r="T73" s="277"/>
      <c r="U73" s="278"/>
      <c r="V73" s="278"/>
      <c r="W73" s="278"/>
      <c r="X73" s="278"/>
      <c r="Y73" s="278"/>
      <c r="Z73" s="278"/>
      <c r="AA73" s="278"/>
      <c r="AB73" s="279"/>
      <c r="AC73" s="277"/>
      <c r="AD73" s="278"/>
      <c r="AE73" s="278"/>
      <c r="AF73" s="278"/>
      <c r="AG73" s="278"/>
      <c r="AH73" s="278"/>
      <c r="AI73" s="278"/>
      <c r="AJ73" s="278"/>
      <c r="AK73" s="278"/>
      <c r="AL73" s="279"/>
      <c r="AM73" s="277"/>
      <c r="AN73" s="278"/>
      <c r="AO73" s="278"/>
      <c r="AP73" s="278"/>
      <c r="AQ73" s="278"/>
      <c r="AR73" s="278"/>
      <c r="AS73" s="278"/>
      <c r="AT73" s="278"/>
      <c r="AU73" s="278"/>
      <c r="AV73" s="279"/>
      <c r="AW73" s="277"/>
      <c r="AX73" s="278"/>
      <c r="AY73" s="278"/>
      <c r="AZ73" s="278"/>
      <c r="BA73" s="278"/>
      <c r="BB73" s="278"/>
      <c r="BC73" s="278"/>
      <c r="BD73" s="278"/>
      <c r="BE73" s="278"/>
      <c r="BF73" s="279"/>
      <c r="BG73" s="279">
        <f t="shared" si="0"/>
        <v>0</v>
      </c>
      <c r="BH73" s="237"/>
    </row>
    <row r="74" spans="1:60" x14ac:dyDescent="0.2">
      <c r="A74" s="349"/>
      <c r="B74" s="281"/>
      <c r="C74" s="282"/>
      <c r="D74" s="282"/>
      <c r="E74" s="282"/>
      <c r="F74" s="282"/>
      <c r="G74" s="282"/>
      <c r="H74" s="282"/>
      <c r="I74" s="282"/>
      <c r="J74" s="283"/>
      <c r="K74" s="281"/>
      <c r="L74" s="282"/>
      <c r="M74" s="282"/>
      <c r="N74" s="282"/>
      <c r="O74" s="282"/>
      <c r="P74" s="282"/>
      <c r="Q74" s="282"/>
      <c r="R74" s="282"/>
      <c r="S74" s="283"/>
      <c r="T74" s="281"/>
      <c r="U74" s="282"/>
      <c r="V74" s="282"/>
      <c r="W74" s="282"/>
      <c r="X74" s="282"/>
      <c r="Y74" s="282"/>
      <c r="Z74" s="282"/>
      <c r="AA74" s="282"/>
      <c r="AB74" s="283"/>
      <c r="AC74" s="281"/>
      <c r="AD74" s="282"/>
      <c r="AE74" s="282"/>
      <c r="AF74" s="282"/>
      <c r="AG74" s="282"/>
      <c r="AH74" s="282"/>
      <c r="AI74" s="282"/>
      <c r="AJ74" s="282"/>
      <c r="AK74" s="282"/>
      <c r="AL74" s="283"/>
      <c r="AM74" s="281"/>
      <c r="AN74" s="282"/>
      <c r="AO74" s="282"/>
      <c r="AP74" s="282"/>
      <c r="AQ74" s="282"/>
      <c r="AR74" s="282"/>
      <c r="AS74" s="282"/>
      <c r="AT74" s="282"/>
      <c r="AU74" s="282"/>
      <c r="AV74" s="283"/>
      <c r="AW74" s="281"/>
      <c r="AX74" s="282"/>
      <c r="AY74" s="282"/>
      <c r="AZ74" s="282"/>
      <c r="BA74" s="282"/>
      <c r="BB74" s="282"/>
      <c r="BC74" s="282"/>
      <c r="BD74" s="282"/>
      <c r="BE74" s="282"/>
      <c r="BF74" s="283"/>
      <c r="BG74" s="283">
        <f t="shared" si="0"/>
        <v>0</v>
      </c>
      <c r="BH74" s="237"/>
    </row>
    <row r="75" spans="1:60" x14ac:dyDescent="0.2">
      <c r="A75" s="348"/>
      <c r="B75" s="284"/>
      <c r="C75" s="285"/>
      <c r="D75" s="285"/>
      <c r="E75" s="285"/>
      <c r="F75" s="285"/>
      <c r="G75" s="285"/>
      <c r="H75" s="285"/>
      <c r="I75" s="285"/>
      <c r="J75" s="286"/>
      <c r="K75" s="284"/>
      <c r="L75" s="285"/>
      <c r="M75" s="285"/>
      <c r="N75" s="285"/>
      <c r="O75" s="285"/>
      <c r="P75" s="285"/>
      <c r="Q75" s="285"/>
      <c r="R75" s="285"/>
      <c r="S75" s="286"/>
      <c r="T75" s="284"/>
      <c r="U75" s="285"/>
      <c r="V75" s="285"/>
      <c r="W75" s="285"/>
      <c r="X75" s="285"/>
      <c r="Y75" s="285"/>
      <c r="Z75" s="285"/>
      <c r="AA75" s="285"/>
      <c r="AB75" s="286"/>
      <c r="AC75" s="284"/>
      <c r="AD75" s="285"/>
      <c r="AE75" s="285"/>
      <c r="AF75" s="285"/>
      <c r="AG75" s="285"/>
      <c r="AH75" s="285"/>
      <c r="AI75" s="285"/>
      <c r="AJ75" s="285"/>
      <c r="AK75" s="285"/>
      <c r="AL75" s="286"/>
      <c r="AM75" s="287"/>
      <c r="AN75" s="288"/>
      <c r="AO75" s="288"/>
      <c r="AP75" s="288"/>
      <c r="AQ75" s="288"/>
      <c r="AR75" s="288"/>
      <c r="AS75" s="288"/>
      <c r="AT75" s="288"/>
      <c r="AU75" s="288"/>
      <c r="AV75" s="289"/>
      <c r="AW75" s="287"/>
      <c r="AX75" s="288"/>
      <c r="AY75" s="288"/>
      <c r="AZ75" s="288"/>
      <c r="BA75" s="288"/>
      <c r="BB75" s="288"/>
      <c r="BC75" s="288"/>
      <c r="BD75" s="288"/>
      <c r="BE75" s="288"/>
      <c r="BF75" s="289"/>
      <c r="BG75" s="289">
        <f t="shared" si="0"/>
        <v>0</v>
      </c>
      <c r="BH75" s="237"/>
    </row>
    <row r="76" spans="1:60" x14ac:dyDescent="0.2">
      <c r="A76" s="348"/>
      <c r="B76" s="277"/>
      <c r="C76" s="278"/>
      <c r="D76" s="278"/>
      <c r="E76" s="278"/>
      <c r="F76" s="278"/>
      <c r="G76" s="278"/>
      <c r="H76" s="278"/>
      <c r="I76" s="278"/>
      <c r="J76" s="279"/>
      <c r="K76" s="277"/>
      <c r="L76" s="278"/>
      <c r="M76" s="278"/>
      <c r="N76" s="278"/>
      <c r="O76" s="278"/>
      <c r="P76" s="278"/>
      <c r="Q76" s="278"/>
      <c r="R76" s="278"/>
      <c r="S76" s="279"/>
      <c r="T76" s="277"/>
      <c r="U76" s="278"/>
      <c r="V76" s="278"/>
      <c r="W76" s="278"/>
      <c r="X76" s="278"/>
      <c r="Y76" s="278"/>
      <c r="Z76" s="278"/>
      <c r="AA76" s="278"/>
      <c r="AB76" s="279"/>
      <c r="AC76" s="277"/>
      <c r="AD76" s="278"/>
      <c r="AE76" s="278"/>
      <c r="AF76" s="278"/>
      <c r="AG76" s="278"/>
      <c r="AH76" s="278"/>
      <c r="AI76" s="278"/>
      <c r="AJ76" s="278"/>
      <c r="AK76" s="278"/>
      <c r="AL76" s="279"/>
      <c r="AM76" s="277"/>
      <c r="AN76" s="278"/>
      <c r="AO76" s="278"/>
      <c r="AP76" s="278"/>
      <c r="AQ76" s="278"/>
      <c r="AR76" s="278"/>
      <c r="AS76" s="278"/>
      <c r="AT76" s="278"/>
      <c r="AU76" s="278"/>
      <c r="AV76" s="279"/>
      <c r="AW76" s="277"/>
      <c r="AX76" s="278"/>
      <c r="AY76" s="278"/>
      <c r="AZ76" s="278"/>
      <c r="BA76" s="278"/>
      <c r="BB76" s="278"/>
      <c r="BC76" s="278"/>
      <c r="BD76" s="278"/>
      <c r="BE76" s="278"/>
      <c r="BF76" s="279"/>
      <c r="BG76" s="279">
        <f t="shared" si="0"/>
        <v>0</v>
      </c>
      <c r="BH76" s="237"/>
    </row>
    <row r="77" spans="1:60" x14ac:dyDescent="0.2">
      <c r="A77" s="348"/>
      <c r="B77" s="277"/>
      <c r="C77" s="278"/>
      <c r="D77" s="278"/>
      <c r="E77" s="278"/>
      <c r="F77" s="278"/>
      <c r="G77" s="278"/>
      <c r="H77" s="278"/>
      <c r="I77" s="278"/>
      <c r="J77" s="279"/>
      <c r="K77" s="277"/>
      <c r="L77" s="278"/>
      <c r="M77" s="278"/>
      <c r="N77" s="278"/>
      <c r="O77" s="278"/>
      <c r="P77" s="278"/>
      <c r="Q77" s="278"/>
      <c r="R77" s="278"/>
      <c r="S77" s="279"/>
      <c r="T77" s="277"/>
      <c r="U77" s="278"/>
      <c r="V77" s="278"/>
      <c r="W77" s="278"/>
      <c r="X77" s="278"/>
      <c r="Y77" s="278"/>
      <c r="Z77" s="278"/>
      <c r="AA77" s="278"/>
      <c r="AB77" s="279"/>
      <c r="AC77" s="277"/>
      <c r="AD77" s="278"/>
      <c r="AE77" s="278"/>
      <c r="AF77" s="278"/>
      <c r="AG77" s="278"/>
      <c r="AH77" s="278"/>
      <c r="AI77" s="278"/>
      <c r="AJ77" s="278"/>
      <c r="AK77" s="278"/>
      <c r="AL77" s="279"/>
      <c r="AM77" s="277"/>
      <c r="AN77" s="278"/>
      <c r="AO77" s="278"/>
      <c r="AP77" s="278"/>
      <c r="AQ77" s="278"/>
      <c r="AR77" s="278"/>
      <c r="AS77" s="278"/>
      <c r="AT77" s="278"/>
      <c r="AU77" s="278"/>
      <c r="AV77" s="279"/>
      <c r="AW77" s="277"/>
      <c r="AX77" s="278"/>
      <c r="AY77" s="278"/>
      <c r="AZ77" s="278"/>
      <c r="BA77" s="278"/>
      <c r="BB77" s="278"/>
      <c r="BC77" s="278"/>
      <c r="BD77" s="278"/>
      <c r="BE77" s="278"/>
      <c r="BF77" s="279"/>
      <c r="BG77" s="279">
        <f t="shared" si="0"/>
        <v>0</v>
      </c>
      <c r="BH77" s="237"/>
    </row>
    <row r="78" spans="1:60" x14ac:dyDescent="0.2">
      <c r="A78" s="348"/>
      <c r="B78" s="277"/>
      <c r="C78" s="278"/>
      <c r="D78" s="278"/>
      <c r="E78" s="278"/>
      <c r="F78" s="278"/>
      <c r="G78" s="278"/>
      <c r="H78" s="278"/>
      <c r="I78" s="278"/>
      <c r="J78" s="279"/>
      <c r="K78" s="277"/>
      <c r="L78" s="278"/>
      <c r="M78" s="278"/>
      <c r="N78" s="278"/>
      <c r="O78" s="278"/>
      <c r="P78" s="278"/>
      <c r="Q78" s="278"/>
      <c r="R78" s="278"/>
      <c r="S78" s="279"/>
      <c r="T78" s="277"/>
      <c r="U78" s="278"/>
      <c r="V78" s="278"/>
      <c r="W78" s="278"/>
      <c r="X78" s="278"/>
      <c r="Y78" s="278"/>
      <c r="Z78" s="278"/>
      <c r="AA78" s="278"/>
      <c r="AB78" s="279"/>
      <c r="AC78" s="277"/>
      <c r="AD78" s="278"/>
      <c r="AE78" s="278"/>
      <c r="AF78" s="278"/>
      <c r="AG78" s="278"/>
      <c r="AH78" s="278"/>
      <c r="AI78" s="278"/>
      <c r="AJ78" s="278"/>
      <c r="AK78" s="278"/>
      <c r="AL78" s="279"/>
      <c r="AM78" s="277"/>
      <c r="AN78" s="278"/>
      <c r="AO78" s="278"/>
      <c r="AP78" s="278"/>
      <c r="AQ78" s="278"/>
      <c r="AR78" s="278"/>
      <c r="AS78" s="278"/>
      <c r="AT78" s="278"/>
      <c r="AU78" s="278"/>
      <c r="AV78" s="279"/>
      <c r="AW78" s="277"/>
      <c r="AX78" s="278"/>
      <c r="AY78" s="278"/>
      <c r="AZ78" s="278"/>
      <c r="BA78" s="278"/>
      <c r="BB78" s="278"/>
      <c r="BC78" s="278"/>
      <c r="BD78" s="278"/>
      <c r="BE78" s="278"/>
      <c r="BF78" s="279"/>
      <c r="BG78" s="279">
        <f t="shared" si="0"/>
        <v>0</v>
      </c>
      <c r="BH78" s="237"/>
    </row>
    <row r="79" spans="1:60" x14ac:dyDescent="0.2">
      <c r="A79" s="348"/>
      <c r="B79" s="277"/>
      <c r="C79" s="278"/>
      <c r="D79" s="278"/>
      <c r="E79" s="278"/>
      <c r="F79" s="278"/>
      <c r="G79" s="278"/>
      <c r="H79" s="278"/>
      <c r="I79" s="278"/>
      <c r="J79" s="279"/>
      <c r="K79" s="277"/>
      <c r="L79" s="278"/>
      <c r="M79" s="278"/>
      <c r="N79" s="278"/>
      <c r="O79" s="278"/>
      <c r="P79" s="278"/>
      <c r="Q79" s="278"/>
      <c r="R79" s="278"/>
      <c r="S79" s="279"/>
      <c r="T79" s="277"/>
      <c r="U79" s="278"/>
      <c r="V79" s="278"/>
      <c r="W79" s="278"/>
      <c r="X79" s="278"/>
      <c r="Y79" s="278"/>
      <c r="Z79" s="278"/>
      <c r="AA79" s="278"/>
      <c r="AB79" s="279"/>
      <c r="AC79" s="277"/>
      <c r="AD79" s="278"/>
      <c r="AE79" s="278"/>
      <c r="AF79" s="278"/>
      <c r="AG79" s="278"/>
      <c r="AH79" s="278"/>
      <c r="AI79" s="278"/>
      <c r="AJ79" s="278"/>
      <c r="AK79" s="278"/>
      <c r="AL79" s="279"/>
      <c r="AM79" s="277"/>
      <c r="AN79" s="278"/>
      <c r="AO79" s="278"/>
      <c r="AP79" s="278"/>
      <c r="AQ79" s="278"/>
      <c r="AR79" s="278"/>
      <c r="AS79" s="278"/>
      <c r="AT79" s="278"/>
      <c r="AU79" s="278"/>
      <c r="AV79" s="279"/>
      <c r="AW79" s="277"/>
      <c r="AX79" s="278"/>
      <c r="AY79" s="278"/>
      <c r="AZ79" s="278"/>
      <c r="BA79" s="278"/>
      <c r="BB79" s="278"/>
      <c r="BC79" s="278"/>
      <c r="BD79" s="278"/>
      <c r="BE79" s="278"/>
      <c r="BF79" s="279"/>
      <c r="BG79" s="279">
        <f t="shared" si="0"/>
        <v>0</v>
      </c>
      <c r="BH79" s="237"/>
    </row>
    <row r="80" spans="1:60" ht="13.5" thickBot="1" x14ac:dyDescent="0.25">
      <c r="A80" s="350"/>
      <c r="B80" s="294"/>
      <c r="C80" s="295"/>
      <c r="D80" s="295"/>
      <c r="E80" s="295"/>
      <c r="F80" s="295"/>
      <c r="G80" s="295"/>
      <c r="H80" s="295"/>
      <c r="I80" s="295"/>
      <c r="J80" s="296"/>
      <c r="K80" s="294"/>
      <c r="L80" s="295"/>
      <c r="M80" s="295"/>
      <c r="N80" s="295"/>
      <c r="O80" s="295"/>
      <c r="P80" s="295"/>
      <c r="Q80" s="295"/>
      <c r="R80" s="295"/>
      <c r="S80" s="296"/>
      <c r="T80" s="294"/>
      <c r="U80" s="295"/>
      <c r="V80" s="295"/>
      <c r="W80" s="295"/>
      <c r="X80" s="295"/>
      <c r="Y80" s="295"/>
      <c r="Z80" s="295"/>
      <c r="AA80" s="295"/>
      <c r="AB80" s="296"/>
      <c r="AC80" s="294"/>
      <c r="AD80" s="295"/>
      <c r="AE80" s="295"/>
      <c r="AF80" s="295"/>
      <c r="AG80" s="295"/>
      <c r="AH80" s="295"/>
      <c r="AI80" s="295"/>
      <c r="AJ80" s="295"/>
      <c r="AK80" s="295"/>
      <c r="AL80" s="296"/>
      <c r="AM80" s="294"/>
      <c r="AN80" s="295"/>
      <c r="AO80" s="295"/>
      <c r="AP80" s="295"/>
      <c r="AQ80" s="295"/>
      <c r="AR80" s="295"/>
      <c r="AS80" s="295"/>
      <c r="AT80" s="295"/>
      <c r="AU80" s="295"/>
      <c r="AV80" s="296"/>
      <c r="AW80" s="294"/>
      <c r="AX80" s="295"/>
      <c r="AY80" s="295"/>
      <c r="AZ80" s="295"/>
      <c r="BA80" s="295"/>
      <c r="BB80" s="295"/>
      <c r="BC80" s="295"/>
      <c r="BD80" s="295"/>
      <c r="BE80" s="295"/>
      <c r="BF80" s="296"/>
      <c r="BG80" s="296">
        <f t="shared" si="0"/>
        <v>0</v>
      </c>
      <c r="BH80" s="237"/>
    </row>
    <row r="81" spans="1:60" ht="14.25" thickTop="1" thickBot="1" x14ac:dyDescent="0.25">
      <c r="A81" s="350">
        <f>A80+0.001</f>
        <v>1E-3</v>
      </c>
      <c r="B81" s="294">
        <f>B80</f>
        <v>0</v>
      </c>
      <c r="C81" s="295">
        <f t="shared" ref="C81:BF81" si="1">C80</f>
        <v>0</v>
      </c>
      <c r="D81" s="295">
        <f t="shared" si="1"/>
        <v>0</v>
      </c>
      <c r="E81" s="295">
        <f t="shared" si="1"/>
        <v>0</v>
      </c>
      <c r="F81" s="295">
        <f t="shared" si="1"/>
        <v>0</v>
      </c>
      <c r="G81" s="295">
        <f t="shared" si="1"/>
        <v>0</v>
      </c>
      <c r="H81" s="295">
        <f t="shared" si="1"/>
        <v>0</v>
      </c>
      <c r="I81" s="295">
        <f t="shared" si="1"/>
        <v>0</v>
      </c>
      <c r="J81" s="296">
        <f t="shared" si="1"/>
        <v>0</v>
      </c>
      <c r="K81" s="294">
        <f t="shared" si="1"/>
        <v>0</v>
      </c>
      <c r="L81" s="295">
        <f t="shared" si="1"/>
        <v>0</v>
      </c>
      <c r="M81" s="295">
        <f t="shared" si="1"/>
        <v>0</v>
      </c>
      <c r="N81" s="295">
        <f t="shared" si="1"/>
        <v>0</v>
      </c>
      <c r="O81" s="295">
        <f t="shared" si="1"/>
        <v>0</v>
      </c>
      <c r="P81" s="295">
        <f t="shared" si="1"/>
        <v>0</v>
      </c>
      <c r="Q81" s="295">
        <f t="shared" si="1"/>
        <v>0</v>
      </c>
      <c r="R81" s="295">
        <f t="shared" si="1"/>
        <v>0</v>
      </c>
      <c r="S81" s="296">
        <f t="shared" si="1"/>
        <v>0</v>
      </c>
      <c r="T81" s="294">
        <f t="shared" si="1"/>
        <v>0</v>
      </c>
      <c r="U81" s="295">
        <f t="shared" si="1"/>
        <v>0</v>
      </c>
      <c r="V81" s="295">
        <f t="shared" si="1"/>
        <v>0</v>
      </c>
      <c r="W81" s="295">
        <f t="shared" si="1"/>
        <v>0</v>
      </c>
      <c r="X81" s="295">
        <f t="shared" si="1"/>
        <v>0</v>
      </c>
      <c r="Y81" s="295">
        <f t="shared" si="1"/>
        <v>0</v>
      </c>
      <c r="Z81" s="295">
        <f t="shared" si="1"/>
        <v>0</v>
      </c>
      <c r="AA81" s="295">
        <f t="shared" si="1"/>
        <v>0</v>
      </c>
      <c r="AB81" s="296">
        <f t="shared" si="1"/>
        <v>0</v>
      </c>
      <c r="AC81" s="294">
        <f t="shared" si="1"/>
        <v>0</v>
      </c>
      <c r="AD81" s="295">
        <f t="shared" si="1"/>
        <v>0</v>
      </c>
      <c r="AE81" s="295">
        <f t="shared" si="1"/>
        <v>0</v>
      </c>
      <c r="AF81" s="295">
        <f t="shared" si="1"/>
        <v>0</v>
      </c>
      <c r="AG81" s="295">
        <f t="shared" si="1"/>
        <v>0</v>
      </c>
      <c r="AH81" s="295">
        <f t="shared" si="1"/>
        <v>0</v>
      </c>
      <c r="AI81" s="295">
        <f t="shared" si="1"/>
        <v>0</v>
      </c>
      <c r="AJ81" s="295">
        <f t="shared" si="1"/>
        <v>0</v>
      </c>
      <c r="AK81" s="295">
        <f t="shared" si="1"/>
        <v>0</v>
      </c>
      <c r="AL81" s="296">
        <f t="shared" si="1"/>
        <v>0</v>
      </c>
      <c r="AM81" s="294">
        <f t="shared" si="1"/>
        <v>0</v>
      </c>
      <c r="AN81" s="295">
        <f t="shared" si="1"/>
        <v>0</v>
      </c>
      <c r="AO81" s="295">
        <f t="shared" si="1"/>
        <v>0</v>
      </c>
      <c r="AP81" s="295">
        <f t="shared" si="1"/>
        <v>0</v>
      </c>
      <c r="AQ81" s="295">
        <f t="shared" si="1"/>
        <v>0</v>
      </c>
      <c r="AR81" s="295">
        <f t="shared" si="1"/>
        <v>0</v>
      </c>
      <c r="AS81" s="295">
        <f t="shared" si="1"/>
        <v>0</v>
      </c>
      <c r="AT81" s="295">
        <f t="shared" si="1"/>
        <v>0</v>
      </c>
      <c r="AU81" s="295">
        <f t="shared" si="1"/>
        <v>0</v>
      </c>
      <c r="AV81" s="296">
        <f t="shared" si="1"/>
        <v>0</v>
      </c>
      <c r="AW81" s="294">
        <f t="shared" si="1"/>
        <v>0</v>
      </c>
      <c r="AX81" s="295">
        <f t="shared" si="1"/>
        <v>0</v>
      </c>
      <c r="AY81" s="295">
        <f t="shared" si="1"/>
        <v>0</v>
      </c>
      <c r="AZ81" s="295">
        <f t="shared" si="1"/>
        <v>0</v>
      </c>
      <c r="BA81" s="295">
        <f t="shared" si="1"/>
        <v>0</v>
      </c>
      <c r="BB81" s="295">
        <f t="shared" si="1"/>
        <v>0</v>
      </c>
      <c r="BC81" s="295">
        <f t="shared" si="1"/>
        <v>0</v>
      </c>
      <c r="BD81" s="295">
        <f t="shared" si="1"/>
        <v>0</v>
      </c>
      <c r="BE81" s="295">
        <f t="shared" si="1"/>
        <v>0</v>
      </c>
      <c r="BF81" s="296">
        <f t="shared" si="1"/>
        <v>0</v>
      </c>
      <c r="BG81" s="296">
        <f>BF80</f>
        <v>0</v>
      </c>
      <c r="BH81" s="237"/>
    </row>
    <row r="82" spans="1:60" ht="14.25" thickTop="1" thickBot="1" x14ac:dyDescent="0.25">
      <c r="A82" s="246"/>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7"/>
      <c r="BE82" s="247"/>
      <c r="BF82" s="247"/>
      <c r="BG82" s="247"/>
      <c r="BH82" s="248"/>
    </row>
    <row r="83" spans="1:60" ht="14.25" thickTop="1" thickBot="1" x14ac:dyDescent="0.25"/>
    <row r="84" spans="1:60" ht="21" thickTop="1" x14ac:dyDescent="0.2">
      <c r="A84" s="693" t="s">
        <v>9</v>
      </c>
      <c r="B84" s="700"/>
      <c r="C84" s="700"/>
      <c r="D84" s="700"/>
      <c r="E84" s="260"/>
      <c r="F84" s="260"/>
      <c r="G84" s="260"/>
      <c r="H84" s="260"/>
      <c r="I84" s="260"/>
      <c r="J84" s="260"/>
      <c r="K84" s="260"/>
      <c r="L84" s="260"/>
      <c r="M84" s="260"/>
      <c r="N84" s="260"/>
      <c r="O84" s="260"/>
      <c r="P84" s="260"/>
      <c r="Q84" s="260"/>
      <c r="R84" s="260"/>
      <c r="S84" s="260"/>
      <c r="T84" s="260"/>
      <c r="U84" s="260"/>
      <c r="V84" s="260"/>
      <c r="W84" s="260"/>
      <c r="X84" s="260"/>
      <c r="Y84" s="260"/>
      <c r="Z84" s="260"/>
      <c r="AA84" s="260"/>
      <c r="AB84" s="260"/>
      <c r="AC84" s="260"/>
      <c r="AD84" s="260"/>
      <c r="AE84" s="260"/>
      <c r="AF84" s="260"/>
      <c r="AG84" s="260"/>
      <c r="AH84" s="260"/>
      <c r="AI84" s="260"/>
      <c r="AJ84" s="260"/>
      <c r="AK84" s="260"/>
      <c r="AL84" s="260"/>
      <c r="AM84" s="260"/>
      <c r="AN84" s="261"/>
    </row>
    <row r="85" spans="1:60" ht="13.5" thickBot="1" x14ac:dyDescent="0.25">
      <c r="A85" s="328"/>
      <c r="B85" s="696" t="s">
        <v>28</v>
      </c>
      <c r="C85" s="697"/>
      <c r="D85" s="697"/>
      <c r="E85" s="697"/>
      <c r="F85" s="697"/>
      <c r="G85" s="697"/>
      <c r="H85" s="697"/>
      <c r="I85" s="697"/>
      <c r="J85" s="697"/>
      <c r="K85" s="328"/>
      <c r="L85" s="328"/>
      <c r="M85" s="328"/>
      <c r="N85" s="328"/>
      <c r="O85" s="328"/>
      <c r="P85" s="328"/>
      <c r="Q85" s="328"/>
      <c r="R85" s="328"/>
      <c r="S85" s="328"/>
      <c r="T85" s="328"/>
      <c r="U85" s="328"/>
      <c r="V85" s="328"/>
      <c r="W85" s="328"/>
      <c r="X85" s="328"/>
      <c r="Y85" s="328"/>
      <c r="Z85" s="328"/>
      <c r="AA85" s="328"/>
      <c r="AB85" s="328"/>
      <c r="AC85" s="328"/>
      <c r="AD85" s="328"/>
      <c r="AE85" s="328"/>
      <c r="AF85" s="328"/>
      <c r="AG85" s="328"/>
      <c r="AH85" s="328"/>
      <c r="AI85" s="328"/>
      <c r="AJ85" s="328"/>
      <c r="AK85" s="328"/>
      <c r="AL85" s="328"/>
      <c r="AM85" s="328"/>
      <c r="AN85" s="299"/>
    </row>
    <row r="86" spans="1:60" ht="14.25" thickTop="1" thickBot="1" x14ac:dyDescent="0.25">
      <c r="A86" s="351" t="s">
        <v>29</v>
      </c>
      <c r="B86" s="301"/>
      <c r="C86" s="301"/>
      <c r="D86" s="301"/>
      <c r="E86" s="301"/>
      <c r="F86" s="301"/>
      <c r="G86" s="301"/>
      <c r="H86" s="301"/>
      <c r="I86" s="301"/>
      <c r="J86" s="302"/>
      <c r="K86" s="301"/>
      <c r="L86" s="301"/>
      <c r="M86" s="301"/>
      <c r="N86" s="301"/>
      <c r="O86" s="301"/>
      <c r="P86" s="301"/>
      <c r="Q86" s="301"/>
      <c r="R86" s="301"/>
      <c r="S86" s="302"/>
      <c r="T86" s="301"/>
      <c r="U86" s="301"/>
      <c r="V86" s="301"/>
      <c r="W86" s="301"/>
      <c r="X86" s="301"/>
      <c r="Y86" s="301"/>
      <c r="Z86" s="301"/>
      <c r="AA86" s="301"/>
      <c r="AB86" s="302"/>
      <c r="AC86" s="301"/>
      <c r="AD86" s="301"/>
      <c r="AE86" s="301"/>
      <c r="AF86" s="301"/>
      <c r="AG86" s="301"/>
      <c r="AH86" s="301"/>
      <c r="AI86" s="301"/>
      <c r="AJ86" s="301"/>
      <c r="AK86" s="301"/>
      <c r="AL86" s="302"/>
      <c r="AM86" s="302">
        <f>AL86+0.001</f>
        <v>1E-3</v>
      </c>
      <c r="AN86" s="299"/>
    </row>
    <row r="87" spans="1:60" ht="13.5" thickTop="1" x14ac:dyDescent="0.2">
      <c r="A87" s="352"/>
      <c r="B87" s="304"/>
      <c r="C87" s="304"/>
      <c r="D87" s="304"/>
      <c r="E87" s="304"/>
      <c r="F87" s="304"/>
      <c r="G87" s="304"/>
      <c r="H87" s="304"/>
      <c r="I87" s="304"/>
      <c r="J87" s="305"/>
      <c r="K87" s="304"/>
      <c r="L87" s="304"/>
      <c r="M87" s="304"/>
      <c r="N87" s="304"/>
      <c r="O87" s="304"/>
      <c r="P87" s="304"/>
      <c r="Q87" s="304"/>
      <c r="R87" s="304"/>
      <c r="S87" s="305"/>
      <c r="T87" s="304"/>
      <c r="U87" s="304"/>
      <c r="V87" s="304"/>
      <c r="W87" s="304"/>
      <c r="X87" s="304"/>
      <c r="Y87" s="304"/>
      <c r="Z87" s="304"/>
      <c r="AA87" s="304"/>
      <c r="AB87" s="305"/>
      <c r="AC87" s="304"/>
      <c r="AD87" s="304"/>
      <c r="AE87" s="304"/>
      <c r="AF87" s="304"/>
      <c r="AG87" s="304"/>
      <c r="AH87" s="304"/>
      <c r="AI87" s="304"/>
      <c r="AJ87" s="304"/>
      <c r="AK87" s="304"/>
      <c r="AL87" s="305"/>
      <c r="AM87" s="305">
        <f>AL87</f>
        <v>0</v>
      </c>
      <c r="AN87" s="299"/>
    </row>
    <row r="88" spans="1:60" x14ac:dyDescent="0.2">
      <c r="A88" s="353"/>
      <c r="B88" s="307"/>
      <c r="C88" s="307"/>
      <c r="D88" s="307"/>
      <c r="E88" s="307"/>
      <c r="F88" s="307"/>
      <c r="G88" s="307"/>
      <c r="H88" s="307"/>
      <c r="I88" s="307"/>
      <c r="J88" s="308"/>
      <c r="K88" s="307"/>
      <c r="L88" s="307"/>
      <c r="M88" s="307"/>
      <c r="N88" s="307"/>
      <c r="O88" s="307"/>
      <c r="P88" s="307"/>
      <c r="Q88" s="307"/>
      <c r="R88" s="307"/>
      <c r="S88" s="308"/>
      <c r="T88" s="307"/>
      <c r="U88" s="307"/>
      <c r="V88" s="307"/>
      <c r="W88" s="307"/>
      <c r="X88" s="307"/>
      <c r="Y88" s="307"/>
      <c r="Z88" s="307"/>
      <c r="AA88" s="307"/>
      <c r="AB88" s="308"/>
      <c r="AC88" s="307"/>
      <c r="AD88" s="307"/>
      <c r="AE88" s="307"/>
      <c r="AF88" s="307"/>
      <c r="AG88" s="307"/>
      <c r="AH88" s="307"/>
      <c r="AI88" s="307"/>
      <c r="AJ88" s="307"/>
      <c r="AK88" s="307"/>
      <c r="AL88" s="308"/>
      <c r="AM88" s="308">
        <f t="shared" ref="AM88:AM123" si="2">AL88</f>
        <v>0</v>
      </c>
      <c r="AN88" s="299"/>
    </row>
    <row r="89" spans="1:60" x14ac:dyDescent="0.2">
      <c r="A89" s="352"/>
      <c r="B89" s="304"/>
      <c r="C89" s="304"/>
      <c r="D89" s="304"/>
      <c r="E89" s="304"/>
      <c r="F89" s="304"/>
      <c r="G89" s="304"/>
      <c r="H89" s="304"/>
      <c r="I89" s="304"/>
      <c r="J89" s="305"/>
      <c r="K89" s="304"/>
      <c r="L89" s="304"/>
      <c r="M89" s="304"/>
      <c r="N89" s="304"/>
      <c r="O89" s="304"/>
      <c r="P89" s="304"/>
      <c r="Q89" s="304"/>
      <c r="R89" s="304"/>
      <c r="S89" s="305"/>
      <c r="T89" s="304"/>
      <c r="U89" s="304"/>
      <c r="V89" s="304"/>
      <c r="W89" s="304"/>
      <c r="X89" s="304"/>
      <c r="Y89" s="304"/>
      <c r="Z89" s="304"/>
      <c r="AA89" s="304"/>
      <c r="AB89" s="305"/>
      <c r="AC89" s="304"/>
      <c r="AD89" s="304"/>
      <c r="AE89" s="304"/>
      <c r="AF89" s="304"/>
      <c r="AG89" s="304"/>
      <c r="AH89" s="304"/>
      <c r="AI89" s="304"/>
      <c r="AJ89" s="304"/>
      <c r="AK89" s="304"/>
      <c r="AL89" s="305"/>
      <c r="AM89" s="305">
        <f t="shared" si="2"/>
        <v>0</v>
      </c>
      <c r="AN89" s="299"/>
    </row>
    <row r="90" spans="1:60" x14ac:dyDescent="0.2">
      <c r="A90" s="352"/>
      <c r="B90" s="304"/>
      <c r="C90" s="304"/>
      <c r="D90" s="304"/>
      <c r="E90" s="304"/>
      <c r="F90" s="304"/>
      <c r="G90" s="304"/>
      <c r="H90" s="304"/>
      <c r="I90" s="304"/>
      <c r="J90" s="305"/>
      <c r="K90" s="304"/>
      <c r="L90" s="304"/>
      <c r="M90" s="304"/>
      <c r="N90" s="304"/>
      <c r="O90" s="304"/>
      <c r="P90" s="304"/>
      <c r="Q90" s="304"/>
      <c r="R90" s="304"/>
      <c r="S90" s="305"/>
      <c r="T90" s="304"/>
      <c r="U90" s="304"/>
      <c r="V90" s="304"/>
      <c r="W90" s="304"/>
      <c r="X90" s="304"/>
      <c r="Y90" s="304"/>
      <c r="Z90" s="304"/>
      <c r="AA90" s="304"/>
      <c r="AB90" s="305"/>
      <c r="AC90" s="304"/>
      <c r="AD90" s="304"/>
      <c r="AE90" s="304"/>
      <c r="AF90" s="304"/>
      <c r="AG90" s="304"/>
      <c r="AH90" s="304"/>
      <c r="AI90" s="304"/>
      <c r="AJ90" s="304"/>
      <c r="AK90" s="304"/>
      <c r="AL90" s="305"/>
      <c r="AM90" s="305">
        <f t="shared" si="2"/>
        <v>0</v>
      </c>
      <c r="AN90" s="299"/>
    </row>
    <row r="91" spans="1:60" x14ac:dyDescent="0.2">
      <c r="A91" s="352"/>
      <c r="B91" s="304"/>
      <c r="C91" s="304"/>
      <c r="D91" s="304"/>
      <c r="E91" s="304"/>
      <c r="F91" s="304"/>
      <c r="G91" s="304"/>
      <c r="H91" s="304"/>
      <c r="I91" s="304"/>
      <c r="J91" s="305"/>
      <c r="K91" s="304"/>
      <c r="L91" s="304"/>
      <c r="M91" s="304"/>
      <c r="N91" s="304"/>
      <c r="O91" s="304"/>
      <c r="P91" s="304"/>
      <c r="Q91" s="304"/>
      <c r="R91" s="304"/>
      <c r="S91" s="305"/>
      <c r="T91" s="304"/>
      <c r="U91" s="304"/>
      <c r="V91" s="304"/>
      <c r="W91" s="304"/>
      <c r="X91" s="304"/>
      <c r="Y91" s="304"/>
      <c r="Z91" s="304"/>
      <c r="AA91" s="304"/>
      <c r="AB91" s="305"/>
      <c r="AC91" s="304"/>
      <c r="AD91" s="304"/>
      <c r="AE91" s="304"/>
      <c r="AF91" s="304"/>
      <c r="AG91" s="304"/>
      <c r="AH91" s="304"/>
      <c r="AI91" s="304"/>
      <c r="AJ91" s="304"/>
      <c r="AK91" s="304"/>
      <c r="AL91" s="305"/>
      <c r="AM91" s="305">
        <f t="shared" si="2"/>
        <v>0</v>
      </c>
      <c r="AN91" s="299"/>
    </row>
    <row r="92" spans="1:60" x14ac:dyDescent="0.2">
      <c r="A92" s="352"/>
      <c r="B92" s="304"/>
      <c r="C92" s="304"/>
      <c r="D92" s="304"/>
      <c r="E92" s="304"/>
      <c r="F92" s="304"/>
      <c r="G92" s="304"/>
      <c r="H92" s="304"/>
      <c r="I92" s="304"/>
      <c r="J92" s="305"/>
      <c r="K92" s="304"/>
      <c r="L92" s="304"/>
      <c r="M92" s="304"/>
      <c r="N92" s="304"/>
      <c r="O92" s="304"/>
      <c r="P92" s="304"/>
      <c r="Q92" s="304"/>
      <c r="R92" s="304"/>
      <c r="S92" s="305"/>
      <c r="T92" s="304"/>
      <c r="U92" s="304"/>
      <c r="V92" s="304"/>
      <c r="W92" s="304"/>
      <c r="X92" s="304"/>
      <c r="Y92" s="304"/>
      <c r="Z92" s="304"/>
      <c r="AA92" s="304"/>
      <c r="AB92" s="305"/>
      <c r="AC92" s="304"/>
      <c r="AD92" s="304"/>
      <c r="AE92" s="304"/>
      <c r="AF92" s="304"/>
      <c r="AG92" s="304"/>
      <c r="AH92" s="304"/>
      <c r="AI92" s="304"/>
      <c r="AJ92" s="304"/>
      <c r="AK92" s="304"/>
      <c r="AL92" s="305"/>
      <c r="AM92" s="305">
        <f t="shared" si="2"/>
        <v>0</v>
      </c>
      <c r="AN92" s="299"/>
    </row>
    <row r="93" spans="1:60" x14ac:dyDescent="0.2">
      <c r="A93" s="353"/>
      <c r="B93" s="307"/>
      <c r="C93" s="307"/>
      <c r="D93" s="307"/>
      <c r="E93" s="307"/>
      <c r="F93" s="307"/>
      <c r="G93" s="307"/>
      <c r="H93" s="307"/>
      <c r="I93" s="307"/>
      <c r="J93" s="308"/>
      <c r="K93" s="307"/>
      <c r="L93" s="307"/>
      <c r="M93" s="307"/>
      <c r="N93" s="307"/>
      <c r="O93" s="307"/>
      <c r="P93" s="307"/>
      <c r="Q93" s="307"/>
      <c r="R93" s="307"/>
      <c r="S93" s="308"/>
      <c r="T93" s="307"/>
      <c r="U93" s="307"/>
      <c r="V93" s="307"/>
      <c r="W93" s="307"/>
      <c r="X93" s="307"/>
      <c r="Y93" s="307"/>
      <c r="Z93" s="307"/>
      <c r="AA93" s="307"/>
      <c r="AB93" s="308"/>
      <c r="AC93" s="307"/>
      <c r="AD93" s="307"/>
      <c r="AE93" s="307"/>
      <c r="AF93" s="307"/>
      <c r="AG93" s="307"/>
      <c r="AH93" s="307"/>
      <c r="AI93" s="307"/>
      <c r="AJ93" s="307"/>
      <c r="AK93" s="307"/>
      <c r="AL93" s="308"/>
      <c r="AM93" s="308">
        <f t="shared" si="2"/>
        <v>0</v>
      </c>
      <c r="AN93" s="299"/>
    </row>
    <row r="94" spans="1:60" x14ac:dyDescent="0.2">
      <c r="A94" s="352"/>
      <c r="B94" s="304"/>
      <c r="C94" s="304"/>
      <c r="D94" s="304"/>
      <c r="E94" s="304"/>
      <c r="F94" s="304"/>
      <c r="G94" s="304"/>
      <c r="H94" s="304"/>
      <c r="I94" s="304"/>
      <c r="J94" s="305"/>
      <c r="K94" s="304"/>
      <c r="L94" s="304"/>
      <c r="M94" s="304"/>
      <c r="N94" s="304"/>
      <c r="O94" s="304"/>
      <c r="P94" s="304"/>
      <c r="Q94" s="304"/>
      <c r="R94" s="304"/>
      <c r="S94" s="305"/>
      <c r="T94" s="304"/>
      <c r="U94" s="304"/>
      <c r="V94" s="304"/>
      <c r="W94" s="304"/>
      <c r="X94" s="304"/>
      <c r="Y94" s="304"/>
      <c r="Z94" s="304"/>
      <c r="AA94" s="304"/>
      <c r="AB94" s="305"/>
      <c r="AC94" s="304"/>
      <c r="AD94" s="304"/>
      <c r="AE94" s="304"/>
      <c r="AF94" s="304"/>
      <c r="AG94" s="304"/>
      <c r="AH94" s="304"/>
      <c r="AI94" s="304"/>
      <c r="AJ94" s="304"/>
      <c r="AK94" s="304"/>
      <c r="AL94" s="305"/>
      <c r="AM94" s="305">
        <f t="shared" si="2"/>
        <v>0</v>
      </c>
      <c r="AN94" s="299"/>
    </row>
    <row r="95" spans="1:60" x14ac:dyDescent="0.2">
      <c r="A95" s="352"/>
      <c r="B95" s="304"/>
      <c r="C95" s="304"/>
      <c r="D95" s="304"/>
      <c r="E95" s="304"/>
      <c r="F95" s="304"/>
      <c r="G95" s="304"/>
      <c r="H95" s="304"/>
      <c r="I95" s="304"/>
      <c r="J95" s="305"/>
      <c r="K95" s="304"/>
      <c r="L95" s="304"/>
      <c r="M95" s="304"/>
      <c r="N95" s="304"/>
      <c r="O95" s="304"/>
      <c r="P95" s="304"/>
      <c r="Q95" s="304"/>
      <c r="R95" s="304"/>
      <c r="S95" s="305"/>
      <c r="T95" s="304"/>
      <c r="U95" s="304"/>
      <c r="V95" s="304"/>
      <c r="W95" s="304"/>
      <c r="X95" s="304"/>
      <c r="Y95" s="304"/>
      <c r="Z95" s="304"/>
      <c r="AA95" s="304"/>
      <c r="AB95" s="305"/>
      <c r="AC95" s="304"/>
      <c r="AD95" s="304"/>
      <c r="AE95" s="304"/>
      <c r="AF95" s="304"/>
      <c r="AG95" s="304"/>
      <c r="AH95" s="304"/>
      <c r="AI95" s="304"/>
      <c r="AJ95" s="304"/>
      <c r="AK95" s="304"/>
      <c r="AL95" s="305"/>
      <c r="AM95" s="305">
        <f t="shared" si="2"/>
        <v>0</v>
      </c>
      <c r="AN95" s="299"/>
    </row>
    <row r="96" spans="1:60" x14ac:dyDescent="0.2">
      <c r="A96" s="352"/>
      <c r="B96" s="304"/>
      <c r="C96" s="304"/>
      <c r="D96" s="304"/>
      <c r="E96" s="304"/>
      <c r="F96" s="304"/>
      <c r="G96" s="304"/>
      <c r="H96" s="304"/>
      <c r="I96" s="304"/>
      <c r="J96" s="305"/>
      <c r="K96" s="304"/>
      <c r="L96" s="304"/>
      <c r="M96" s="304"/>
      <c r="N96" s="304"/>
      <c r="O96" s="304"/>
      <c r="P96" s="304"/>
      <c r="Q96" s="304"/>
      <c r="R96" s="304"/>
      <c r="S96" s="305"/>
      <c r="T96" s="304"/>
      <c r="U96" s="304"/>
      <c r="V96" s="304"/>
      <c r="W96" s="304"/>
      <c r="X96" s="304"/>
      <c r="Y96" s="304"/>
      <c r="Z96" s="304"/>
      <c r="AA96" s="304"/>
      <c r="AB96" s="305"/>
      <c r="AC96" s="304"/>
      <c r="AD96" s="304"/>
      <c r="AE96" s="304"/>
      <c r="AF96" s="304"/>
      <c r="AG96" s="304"/>
      <c r="AH96" s="304"/>
      <c r="AI96" s="304"/>
      <c r="AJ96" s="304"/>
      <c r="AK96" s="304"/>
      <c r="AL96" s="305"/>
      <c r="AM96" s="305">
        <f t="shared" si="2"/>
        <v>0</v>
      </c>
      <c r="AN96" s="299"/>
    </row>
    <row r="97" spans="1:40" x14ac:dyDescent="0.2">
      <c r="A97" s="352"/>
      <c r="B97" s="304"/>
      <c r="C97" s="304"/>
      <c r="D97" s="304"/>
      <c r="E97" s="304"/>
      <c r="F97" s="304"/>
      <c r="G97" s="304"/>
      <c r="H97" s="304"/>
      <c r="I97" s="304"/>
      <c r="J97" s="305"/>
      <c r="K97" s="304"/>
      <c r="L97" s="304"/>
      <c r="M97" s="304"/>
      <c r="N97" s="304"/>
      <c r="O97" s="304"/>
      <c r="P97" s="304"/>
      <c r="Q97" s="304"/>
      <c r="R97" s="304"/>
      <c r="S97" s="305"/>
      <c r="T97" s="304"/>
      <c r="U97" s="304"/>
      <c r="V97" s="304"/>
      <c r="W97" s="304"/>
      <c r="X97" s="304"/>
      <c r="Y97" s="304"/>
      <c r="Z97" s="304"/>
      <c r="AA97" s="304"/>
      <c r="AB97" s="305"/>
      <c r="AC97" s="304"/>
      <c r="AD97" s="304"/>
      <c r="AE97" s="304"/>
      <c r="AF97" s="304"/>
      <c r="AG97" s="304"/>
      <c r="AH97" s="304"/>
      <c r="AI97" s="304"/>
      <c r="AJ97" s="304"/>
      <c r="AK97" s="304"/>
      <c r="AL97" s="305"/>
      <c r="AM97" s="305">
        <f t="shared" si="2"/>
        <v>0</v>
      </c>
      <c r="AN97" s="299"/>
    </row>
    <row r="98" spans="1:40" x14ac:dyDescent="0.2">
      <c r="A98" s="353"/>
      <c r="B98" s="307"/>
      <c r="C98" s="307"/>
      <c r="D98" s="307"/>
      <c r="E98" s="307"/>
      <c r="F98" s="307"/>
      <c r="G98" s="307"/>
      <c r="H98" s="307"/>
      <c r="I98" s="307"/>
      <c r="J98" s="308"/>
      <c r="K98" s="307"/>
      <c r="L98" s="307"/>
      <c r="M98" s="307"/>
      <c r="N98" s="307"/>
      <c r="O98" s="307"/>
      <c r="P98" s="307"/>
      <c r="Q98" s="307"/>
      <c r="R98" s="307"/>
      <c r="S98" s="308"/>
      <c r="T98" s="307"/>
      <c r="U98" s="307"/>
      <c r="V98" s="307"/>
      <c r="W98" s="307"/>
      <c r="X98" s="307"/>
      <c r="Y98" s="307"/>
      <c r="Z98" s="307"/>
      <c r="AA98" s="307"/>
      <c r="AB98" s="308"/>
      <c r="AC98" s="307"/>
      <c r="AD98" s="307"/>
      <c r="AE98" s="307"/>
      <c r="AF98" s="307"/>
      <c r="AG98" s="307"/>
      <c r="AH98" s="307"/>
      <c r="AI98" s="307"/>
      <c r="AJ98" s="307"/>
      <c r="AK98" s="307"/>
      <c r="AL98" s="308"/>
      <c r="AM98" s="308">
        <f t="shared" si="2"/>
        <v>0</v>
      </c>
      <c r="AN98" s="299"/>
    </row>
    <row r="99" spans="1:40" x14ac:dyDescent="0.2">
      <c r="A99" s="352"/>
      <c r="B99" s="304"/>
      <c r="C99" s="304"/>
      <c r="D99" s="304"/>
      <c r="E99" s="304"/>
      <c r="F99" s="304"/>
      <c r="G99" s="304"/>
      <c r="H99" s="304"/>
      <c r="I99" s="304"/>
      <c r="J99" s="305"/>
      <c r="K99" s="304"/>
      <c r="L99" s="304"/>
      <c r="M99" s="304"/>
      <c r="N99" s="304"/>
      <c r="O99" s="304"/>
      <c r="P99" s="304"/>
      <c r="Q99" s="304"/>
      <c r="R99" s="304"/>
      <c r="S99" s="305"/>
      <c r="T99" s="304"/>
      <c r="U99" s="304"/>
      <c r="V99" s="304"/>
      <c r="W99" s="304"/>
      <c r="X99" s="304"/>
      <c r="Y99" s="304"/>
      <c r="Z99" s="304"/>
      <c r="AA99" s="304"/>
      <c r="AB99" s="305"/>
      <c r="AC99" s="304"/>
      <c r="AD99" s="304"/>
      <c r="AE99" s="304"/>
      <c r="AF99" s="304"/>
      <c r="AG99" s="304"/>
      <c r="AH99" s="304"/>
      <c r="AI99" s="304"/>
      <c r="AJ99" s="304"/>
      <c r="AK99" s="304"/>
      <c r="AL99" s="305"/>
      <c r="AM99" s="305">
        <f t="shared" si="2"/>
        <v>0</v>
      </c>
      <c r="AN99" s="299"/>
    </row>
    <row r="100" spans="1:40" x14ac:dyDescent="0.2">
      <c r="A100" s="352"/>
      <c r="B100" s="304"/>
      <c r="C100" s="304"/>
      <c r="D100" s="304"/>
      <c r="E100" s="304"/>
      <c r="F100" s="304"/>
      <c r="G100" s="304"/>
      <c r="H100" s="304"/>
      <c r="I100" s="304"/>
      <c r="J100" s="305"/>
      <c r="K100" s="304"/>
      <c r="L100" s="304"/>
      <c r="M100" s="304"/>
      <c r="N100" s="304"/>
      <c r="O100" s="304"/>
      <c r="P100" s="304"/>
      <c r="Q100" s="304"/>
      <c r="R100" s="304"/>
      <c r="S100" s="305"/>
      <c r="T100" s="304"/>
      <c r="U100" s="304"/>
      <c r="V100" s="304"/>
      <c r="W100" s="304"/>
      <c r="X100" s="304"/>
      <c r="Y100" s="304"/>
      <c r="Z100" s="304"/>
      <c r="AA100" s="304"/>
      <c r="AB100" s="305"/>
      <c r="AC100" s="304"/>
      <c r="AD100" s="304"/>
      <c r="AE100" s="304"/>
      <c r="AF100" s="304"/>
      <c r="AG100" s="304"/>
      <c r="AH100" s="304"/>
      <c r="AI100" s="304"/>
      <c r="AJ100" s="304"/>
      <c r="AK100" s="304"/>
      <c r="AL100" s="305"/>
      <c r="AM100" s="305">
        <f t="shared" si="2"/>
        <v>0</v>
      </c>
      <c r="AN100" s="299"/>
    </row>
    <row r="101" spans="1:40" x14ac:dyDescent="0.2">
      <c r="A101" s="352"/>
      <c r="B101" s="304"/>
      <c r="C101" s="304"/>
      <c r="D101" s="304"/>
      <c r="E101" s="304"/>
      <c r="F101" s="304"/>
      <c r="G101" s="304"/>
      <c r="H101" s="304"/>
      <c r="I101" s="304"/>
      <c r="J101" s="305"/>
      <c r="K101" s="304"/>
      <c r="L101" s="304"/>
      <c r="M101" s="304"/>
      <c r="N101" s="304"/>
      <c r="O101" s="304"/>
      <c r="P101" s="304"/>
      <c r="Q101" s="304"/>
      <c r="R101" s="304"/>
      <c r="S101" s="305"/>
      <c r="T101" s="304"/>
      <c r="U101" s="304"/>
      <c r="V101" s="304"/>
      <c r="W101" s="304"/>
      <c r="X101" s="304"/>
      <c r="Y101" s="304"/>
      <c r="Z101" s="304"/>
      <c r="AA101" s="304"/>
      <c r="AB101" s="305"/>
      <c r="AC101" s="304"/>
      <c r="AD101" s="304"/>
      <c r="AE101" s="304"/>
      <c r="AF101" s="304"/>
      <c r="AG101" s="304"/>
      <c r="AH101" s="304"/>
      <c r="AI101" s="304"/>
      <c r="AJ101" s="304"/>
      <c r="AK101" s="304"/>
      <c r="AL101" s="305"/>
      <c r="AM101" s="305">
        <f t="shared" si="2"/>
        <v>0</v>
      </c>
      <c r="AN101" s="299"/>
    </row>
    <row r="102" spans="1:40" x14ac:dyDescent="0.2">
      <c r="A102" s="352"/>
      <c r="B102" s="304"/>
      <c r="C102" s="304"/>
      <c r="D102" s="304"/>
      <c r="E102" s="304"/>
      <c r="F102" s="304"/>
      <c r="G102" s="304"/>
      <c r="H102" s="304"/>
      <c r="I102" s="304"/>
      <c r="J102" s="305"/>
      <c r="K102" s="304"/>
      <c r="L102" s="304"/>
      <c r="M102" s="304"/>
      <c r="N102" s="304"/>
      <c r="O102" s="304"/>
      <c r="P102" s="304"/>
      <c r="Q102" s="304"/>
      <c r="R102" s="304"/>
      <c r="S102" s="305"/>
      <c r="T102" s="304"/>
      <c r="U102" s="304"/>
      <c r="V102" s="304"/>
      <c r="W102" s="304"/>
      <c r="X102" s="304"/>
      <c r="Y102" s="304"/>
      <c r="Z102" s="304"/>
      <c r="AA102" s="304"/>
      <c r="AB102" s="305"/>
      <c r="AC102" s="304"/>
      <c r="AD102" s="304"/>
      <c r="AE102" s="304"/>
      <c r="AF102" s="304"/>
      <c r="AG102" s="304"/>
      <c r="AH102" s="304"/>
      <c r="AI102" s="304"/>
      <c r="AJ102" s="304"/>
      <c r="AK102" s="304"/>
      <c r="AL102" s="305"/>
      <c r="AM102" s="305">
        <f t="shared" si="2"/>
        <v>0</v>
      </c>
      <c r="AN102" s="299"/>
    </row>
    <row r="103" spans="1:40" x14ac:dyDescent="0.2">
      <c r="A103" s="353"/>
      <c r="B103" s="307"/>
      <c r="C103" s="307"/>
      <c r="D103" s="307"/>
      <c r="E103" s="307"/>
      <c r="F103" s="307"/>
      <c r="G103" s="307"/>
      <c r="H103" s="307"/>
      <c r="I103" s="307"/>
      <c r="J103" s="308"/>
      <c r="K103" s="307"/>
      <c r="L103" s="307"/>
      <c r="M103" s="307"/>
      <c r="N103" s="307"/>
      <c r="O103" s="307"/>
      <c r="P103" s="307"/>
      <c r="Q103" s="307"/>
      <c r="R103" s="307"/>
      <c r="S103" s="308"/>
      <c r="T103" s="307"/>
      <c r="U103" s="307"/>
      <c r="V103" s="307"/>
      <c r="W103" s="307"/>
      <c r="X103" s="307"/>
      <c r="Y103" s="307"/>
      <c r="Z103" s="307"/>
      <c r="AA103" s="307"/>
      <c r="AB103" s="308"/>
      <c r="AC103" s="307"/>
      <c r="AD103" s="307"/>
      <c r="AE103" s="307"/>
      <c r="AF103" s="307"/>
      <c r="AG103" s="307"/>
      <c r="AH103" s="307"/>
      <c r="AI103" s="307"/>
      <c r="AJ103" s="307"/>
      <c r="AK103" s="307"/>
      <c r="AL103" s="308"/>
      <c r="AM103" s="308">
        <f t="shared" si="2"/>
        <v>0</v>
      </c>
      <c r="AN103" s="299"/>
    </row>
    <row r="104" spans="1:40" x14ac:dyDescent="0.2">
      <c r="A104" s="352"/>
      <c r="B104" s="304"/>
      <c r="C104" s="304"/>
      <c r="D104" s="304"/>
      <c r="E104" s="304"/>
      <c r="F104" s="304"/>
      <c r="G104" s="304"/>
      <c r="H104" s="304"/>
      <c r="I104" s="304"/>
      <c r="J104" s="305"/>
      <c r="K104" s="304"/>
      <c r="L104" s="304"/>
      <c r="M104" s="304"/>
      <c r="N104" s="304"/>
      <c r="O104" s="304"/>
      <c r="P104" s="304"/>
      <c r="Q104" s="304"/>
      <c r="R104" s="304"/>
      <c r="S104" s="305"/>
      <c r="T104" s="304"/>
      <c r="U104" s="304"/>
      <c r="V104" s="304"/>
      <c r="W104" s="304"/>
      <c r="X104" s="304"/>
      <c r="Y104" s="304"/>
      <c r="Z104" s="304"/>
      <c r="AA104" s="304"/>
      <c r="AB104" s="305"/>
      <c r="AC104" s="304"/>
      <c r="AD104" s="304"/>
      <c r="AE104" s="304"/>
      <c r="AF104" s="304"/>
      <c r="AG104" s="304"/>
      <c r="AH104" s="304"/>
      <c r="AI104" s="304"/>
      <c r="AJ104" s="304"/>
      <c r="AK104" s="304"/>
      <c r="AL104" s="305"/>
      <c r="AM104" s="305">
        <f t="shared" si="2"/>
        <v>0</v>
      </c>
      <c r="AN104" s="299"/>
    </row>
    <row r="105" spans="1:40" x14ac:dyDescent="0.2">
      <c r="A105" s="352"/>
      <c r="B105" s="304"/>
      <c r="C105" s="304"/>
      <c r="D105" s="304"/>
      <c r="E105" s="304"/>
      <c r="F105" s="304"/>
      <c r="G105" s="304"/>
      <c r="H105" s="304"/>
      <c r="I105" s="304"/>
      <c r="J105" s="305"/>
      <c r="K105" s="304"/>
      <c r="L105" s="304"/>
      <c r="M105" s="304"/>
      <c r="N105" s="304"/>
      <c r="O105" s="304"/>
      <c r="P105" s="304"/>
      <c r="Q105" s="304"/>
      <c r="R105" s="304"/>
      <c r="S105" s="305"/>
      <c r="T105" s="304"/>
      <c r="U105" s="304"/>
      <c r="V105" s="304"/>
      <c r="W105" s="304"/>
      <c r="X105" s="304"/>
      <c r="Y105" s="304"/>
      <c r="Z105" s="304"/>
      <c r="AA105" s="304"/>
      <c r="AB105" s="305"/>
      <c r="AC105" s="304"/>
      <c r="AD105" s="304"/>
      <c r="AE105" s="304"/>
      <c r="AF105" s="304"/>
      <c r="AG105" s="304"/>
      <c r="AH105" s="304"/>
      <c r="AI105" s="304"/>
      <c r="AJ105" s="304"/>
      <c r="AK105" s="304"/>
      <c r="AL105" s="305"/>
      <c r="AM105" s="305">
        <f t="shared" si="2"/>
        <v>0</v>
      </c>
      <c r="AN105" s="299"/>
    </row>
    <row r="106" spans="1:40" x14ac:dyDescent="0.2">
      <c r="A106" s="352"/>
      <c r="B106" s="304"/>
      <c r="C106" s="304"/>
      <c r="D106" s="304"/>
      <c r="E106" s="304"/>
      <c r="F106" s="304"/>
      <c r="G106" s="304"/>
      <c r="H106" s="304"/>
      <c r="I106" s="304"/>
      <c r="J106" s="305"/>
      <c r="K106" s="304"/>
      <c r="L106" s="304"/>
      <c r="M106" s="304"/>
      <c r="N106" s="304"/>
      <c r="O106" s="304"/>
      <c r="P106" s="304"/>
      <c r="Q106" s="304"/>
      <c r="R106" s="304"/>
      <c r="S106" s="305"/>
      <c r="T106" s="304"/>
      <c r="U106" s="304"/>
      <c r="V106" s="304"/>
      <c r="W106" s="304"/>
      <c r="X106" s="304"/>
      <c r="Y106" s="304"/>
      <c r="Z106" s="304"/>
      <c r="AA106" s="304"/>
      <c r="AB106" s="305"/>
      <c r="AC106" s="304"/>
      <c r="AD106" s="304"/>
      <c r="AE106" s="304"/>
      <c r="AF106" s="304"/>
      <c r="AG106" s="304"/>
      <c r="AH106" s="304"/>
      <c r="AI106" s="304"/>
      <c r="AJ106" s="304"/>
      <c r="AK106" s="304"/>
      <c r="AL106" s="305"/>
      <c r="AM106" s="305">
        <f t="shared" si="2"/>
        <v>0</v>
      </c>
      <c r="AN106" s="299"/>
    </row>
    <row r="107" spans="1:40" x14ac:dyDescent="0.2">
      <c r="A107" s="352"/>
      <c r="B107" s="304"/>
      <c r="C107" s="304"/>
      <c r="D107" s="304"/>
      <c r="E107" s="304"/>
      <c r="F107" s="304"/>
      <c r="G107" s="304"/>
      <c r="H107" s="304"/>
      <c r="I107" s="304"/>
      <c r="J107" s="305"/>
      <c r="K107" s="304"/>
      <c r="L107" s="304"/>
      <c r="M107" s="304"/>
      <c r="N107" s="304"/>
      <c r="O107" s="304"/>
      <c r="P107" s="304"/>
      <c r="Q107" s="304"/>
      <c r="R107" s="304"/>
      <c r="S107" s="305"/>
      <c r="T107" s="304"/>
      <c r="U107" s="304"/>
      <c r="V107" s="304"/>
      <c r="W107" s="304"/>
      <c r="X107" s="304"/>
      <c r="Y107" s="304"/>
      <c r="Z107" s="304"/>
      <c r="AA107" s="304"/>
      <c r="AB107" s="305"/>
      <c r="AC107" s="304"/>
      <c r="AD107" s="304"/>
      <c r="AE107" s="304"/>
      <c r="AF107" s="304"/>
      <c r="AG107" s="304"/>
      <c r="AH107" s="304"/>
      <c r="AI107" s="304"/>
      <c r="AJ107" s="304"/>
      <c r="AK107" s="304"/>
      <c r="AL107" s="305"/>
      <c r="AM107" s="305">
        <f t="shared" si="2"/>
        <v>0</v>
      </c>
      <c r="AN107" s="299"/>
    </row>
    <row r="108" spans="1:40" x14ac:dyDescent="0.2">
      <c r="A108" s="353"/>
      <c r="B108" s="307"/>
      <c r="C108" s="307"/>
      <c r="D108" s="307"/>
      <c r="E108" s="307"/>
      <c r="F108" s="307"/>
      <c r="G108" s="307"/>
      <c r="H108" s="307"/>
      <c r="I108" s="307"/>
      <c r="J108" s="308"/>
      <c r="K108" s="307"/>
      <c r="L108" s="307"/>
      <c r="M108" s="307"/>
      <c r="N108" s="307"/>
      <c r="O108" s="307"/>
      <c r="P108" s="307"/>
      <c r="Q108" s="307"/>
      <c r="R108" s="307"/>
      <c r="S108" s="308"/>
      <c r="T108" s="307"/>
      <c r="U108" s="307"/>
      <c r="V108" s="307"/>
      <c r="W108" s="307"/>
      <c r="X108" s="307"/>
      <c r="Y108" s="307"/>
      <c r="Z108" s="307"/>
      <c r="AA108" s="307"/>
      <c r="AB108" s="308"/>
      <c r="AC108" s="307"/>
      <c r="AD108" s="307"/>
      <c r="AE108" s="307"/>
      <c r="AF108" s="307"/>
      <c r="AG108" s="307"/>
      <c r="AH108" s="307"/>
      <c r="AI108" s="307"/>
      <c r="AJ108" s="307"/>
      <c r="AK108" s="307"/>
      <c r="AL108" s="308"/>
      <c r="AM108" s="308">
        <f t="shared" si="2"/>
        <v>0</v>
      </c>
      <c r="AN108" s="299"/>
    </row>
    <row r="109" spans="1:40" x14ac:dyDescent="0.2">
      <c r="A109" s="352"/>
      <c r="B109" s="304"/>
      <c r="C109" s="304"/>
      <c r="D109" s="304"/>
      <c r="E109" s="304"/>
      <c r="F109" s="304"/>
      <c r="G109" s="304"/>
      <c r="H109" s="304"/>
      <c r="I109" s="304"/>
      <c r="J109" s="305"/>
      <c r="K109" s="304"/>
      <c r="L109" s="304"/>
      <c r="M109" s="304"/>
      <c r="N109" s="304"/>
      <c r="O109" s="304"/>
      <c r="P109" s="304"/>
      <c r="Q109" s="304"/>
      <c r="R109" s="304"/>
      <c r="S109" s="305"/>
      <c r="T109" s="304"/>
      <c r="U109" s="304"/>
      <c r="V109" s="304"/>
      <c r="W109" s="304"/>
      <c r="X109" s="304"/>
      <c r="Y109" s="304"/>
      <c r="Z109" s="304"/>
      <c r="AA109" s="304"/>
      <c r="AB109" s="305"/>
      <c r="AC109" s="304"/>
      <c r="AD109" s="304"/>
      <c r="AE109" s="304"/>
      <c r="AF109" s="304"/>
      <c r="AG109" s="304"/>
      <c r="AH109" s="304"/>
      <c r="AI109" s="304"/>
      <c r="AJ109" s="304"/>
      <c r="AK109" s="304"/>
      <c r="AL109" s="305"/>
      <c r="AM109" s="305">
        <f t="shared" si="2"/>
        <v>0</v>
      </c>
      <c r="AN109" s="299"/>
    </row>
    <row r="110" spans="1:40" x14ac:dyDescent="0.2">
      <c r="A110" s="352"/>
      <c r="B110" s="304"/>
      <c r="C110" s="304"/>
      <c r="D110" s="304"/>
      <c r="E110" s="304"/>
      <c r="F110" s="304"/>
      <c r="G110" s="304"/>
      <c r="H110" s="304"/>
      <c r="I110" s="304"/>
      <c r="J110" s="305"/>
      <c r="K110" s="304"/>
      <c r="L110" s="304"/>
      <c r="M110" s="304"/>
      <c r="N110" s="304"/>
      <c r="O110" s="304"/>
      <c r="P110" s="304"/>
      <c r="Q110" s="304"/>
      <c r="R110" s="304"/>
      <c r="S110" s="305"/>
      <c r="T110" s="304"/>
      <c r="U110" s="304"/>
      <c r="V110" s="304"/>
      <c r="W110" s="304"/>
      <c r="X110" s="304"/>
      <c r="Y110" s="304"/>
      <c r="Z110" s="304"/>
      <c r="AA110" s="304"/>
      <c r="AB110" s="305"/>
      <c r="AC110" s="304"/>
      <c r="AD110" s="304"/>
      <c r="AE110" s="304"/>
      <c r="AF110" s="304"/>
      <c r="AG110" s="304"/>
      <c r="AH110" s="304"/>
      <c r="AI110" s="304"/>
      <c r="AJ110" s="304"/>
      <c r="AK110" s="304"/>
      <c r="AL110" s="305"/>
      <c r="AM110" s="305">
        <f t="shared" si="2"/>
        <v>0</v>
      </c>
      <c r="AN110" s="299"/>
    </row>
    <row r="111" spans="1:40" x14ac:dyDescent="0.2">
      <c r="A111" s="352"/>
      <c r="B111" s="304"/>
      <c r="C111" s="304"/>
      <c r="D111" s="304"/>
      <c r="E111" s="304"/>
      <c r="F111" s="304"/>
      <c r="G111" s="304"/>
      <c r="H111" s="304"/>
      <c r="I111" s="304"/>
      <c r="J111" s="305"/>
      <c r="K111" s="304"/>
      <c r="L111" s="304"/>
      <c r="M111" s="304"/>
      <c r="N111" s="304"/>
      <c r="O111" s="304"/>
      <c r="P111" s="304"/>
      <c r="Q111" s="304"/>
      <c r="R111" s="304"/>
      <c r="S111" s="305"/>
      <c r="T111" s="304"/>
      <c r="U111" s="304"/>
      <c r="V111" s="304"/>
      <c r="W111" s="304"/>
      <c r="X111" s="304"/>
      <c r="Y111" s="304"/>
      <c r="Z111" s="304"/>
      <c r="AA111" s="304"/>
      <c r="AB111" s="305"/>
      <c r="AC111" s="304"/>
      <c r="AD111" s="304"/>
      <c r="AE111" s="304"/>
      <c r="AF111" s="304"/>
      <c r="AG111" s="304"/>
      <c r="AH111" s="304"/>
      <c r="AI111" s="304"/>
      <c r="AJ111" s="304"/>
      <c r="AK111" s="304"/>
      <c r="AL111" s="305"/>
      <c r="AM111" s="305">
        <f t="shared" si="2"/>
        <v>0</v>
      </c>
      <c r="AN111" s="299"/>
    </row>
    <row r="112" spans="1:40" x14ac:dyDescent="0.2">
      <c r="A112" s="352"/>
      <c r="B112" s="304"/>
      <c r="C112" s="304"/>
      <c r="D112" s="304"/>
      <c r="E112" s="304"/>
      <c r="F112" s="304"/>
      <c r="G112" s="304"/>
      <c r="H112" s="304"/>
      <c r="I112" s="304"/>
      <c r="J112" s="305"/>
      <c r="K112" s="304"/>
      <c r="L112" s="304"/>
      <c r="M112" s="304"/>
      <c r="N112" s="304"/>
      <c r="O112" s="304"/>
      <c r="P112" s="304"/>
      <c r="Q112" s="304"/>
      <c r="R112" s="304"/>
      <c r="S112" s="305"/>
      <c r="T112" s="304"/>
      <c r="U112" s="304"/>
      <c r="V112" s="304"/>
      <c r="W112" s="304"/>
      <c r="X112" s="304"/>
      <c r="Y112" s="304"/>
      <c r="Z112" s="304"/>
      <c r="AA112" s="304"/>
      <c r="AB112" s="305"/>
      <c r="AC112" s="304"/>
      <c r="AD112" s="304"/>
      <c r="AE112" s="304"/>
      <c r="AF112" s="304"/>
      <c r="AG112" s="304"/>
      <c r="AH112" s="304"/>
      <c r="AI112" s="304"/>
      <c r="AJ112" s="304"/>
      <c r="AK112" s="304"/>
      <c r="AL112" s="305"/>
      <c r="AM112" s="305">
        <f t="shared" si="2"/>
        <v>0</v>
      </c>
      <c r="AN112" s="299"/>
    </row>
    <row r="113" spans="1:40" x14ac:dyDescent="0.2">
      <c r="A113" s="353"/>
      <c r="B113" s="307"/>
      <c r="C113" s="307"/>
      <c r="D113" s="307"/>
      <c r="E113" s="307"/>
      <c r="F113" s="307"/>
      <c r="G113" s="307"/>
      <c r="H113" s="307"/>
      <c r="I113" s="307"/>
      <c r="J113" s="308"/>
      <c r="K113" s="307"/>
      <c r="L113" s="307"/>
      <c r="M113" s="307"/>
      <c r="N113" s="307"/>
      <c r="O113" s="307"/>
      <c r="P113" s="307"/>
      <c r="Q113" s="307"/>
      <c r="R113" s="307"/>
      <c r="S113" s="308"/>
      <c r="T113" s="307"/>
      <c r="U113" s="307"/>
      <c r="V113" s="307"/>
      <c r="W113" s="307"/>
      <c r="X113" s="307"/>
      <c r="Y113" s="307"/>
      <c r="Z113" s="307"/>
      <c r="AA113" s="307"/>
      <c r="AB113" s="308"/>
      <c r="AC113" s="307"/>
      <c r="AD113" s="307"/>
      <c r="AE113" s="307"/>
      <c r="AF113" s="307"/>
      <c r="AG113" s="307"/>
      <c r="AH113" s="307"/>
      <c r="AI113" s="307"/>
      <c r="AJ113" s="307"/>
      <c r="AK113" s="307"/>
      <c r="AL113" s="308"/>
      <c r="AM113" s="308">
        <f t="shared" si="2"/>
        <v>0</v>
      </c>
      <c r="AN113" s="299"/>
    </row>
    <row r="114" spans="1:40" x14ac:dyDescent="0.2">
      <c r="A114" s="352"/>
      <c r="B114" s="304"/>
      <c r="C114" s="304"/>
      <c r="D114" s="304"/>
      <c r="E114" s="304"/>
      <c r="F114" s="304"/>
      <c r="G114" s="304"/>
      <c r="H114" s="304"/>
      <c r="I114" s="304"/>
      <c r="J114" s="305"/>
      <c r="K114" s="304"/>
      <c r="L114" s="304"/>
      <c r="M114" s="304"/>
      <c r="N114" s="304"/>
      <c r="O114" s="304"/>
      <c r="P114" s="304"/>
      <c r="Q114" s="304"/>
      <c r="R114" s="304"/>
      <c r="S114" s="305"/>
      <c r="T114" s="304"/>
      <c r="U114" s="304"/>
      <c r="V114" s="304"/>
      <c r="W114" s="304"/>
      <c r="X114" s="304"/>
      <c r="Y114" s="304"/>
      <c r="Z114" s="304"/>
      <c r="AA114" s="304"/>
      <c r="AB114" s="305"/>
      <c r="AC114" s="304"/>
      <c r="AD114" s="304"/>
      <c r="AE114" s="304"/>
      <c r="AF114" s="304"/>
      <c r="AG114" s="304"/>
      <c r="AH114" s="304"/>
      <c r="AI114" s="304"/>
      <c r="AJ114" s="304"/>
      <c r="AK114" s="304"/>
      <c r="AL114" s="305"/>
      <c r="AM114" s="305">
        <f t="shared" si="2"/>
        <v>0</v>
      </c>
      <c r="AN114" s="299"/>
    </row>
    <row r="115" spans="1:40" x14ac:dyDescent="0.2">
      <c r="A115" s="352"/>
      <c r="B115" s="304"/>
      <c r="C115" s="304"/>
      <c r="D115" s="304"/>
      <c r="E115" s="304"/>
      <c r="F115" s="304"/>
      <c r="G115" s="304"/>
      <c r="H115" s="304"/>
      <c r="I115" s="304"/>
      <c r="J115" s="305"/>
      <c r="K115" s="304"/>
      <c r="L115" s="304"/>
      <c r="M115" s="304"/>
      <c r="N115" s="304"/>
      <c r="O115" s="304"/>
      <c r="P115" s="304"/>
      <c r="Q115" s="304"/>
      <c r="R115" s="304"/>
      <c r="S115" s="305"/>
      <c r="T115" s="304"/>
      <c r="U115" s="304"/>
      <c r="V115" s="304"/>
      <c r="W115" s="304"/>
      <c r="X115" s="304"/>
      <c r="Y115" s="304"/>
      <c r="Z115" s="304"/>
      <c r="AA115" s="304"/>
      <c r="AB115" s="305"/>
      <c r="AC115" s="304"/>
      <c r="AD115" s="304"/>
      <c r="AE115" s="304"/>
      <c r="AF115" s="304"/>
      <c r="AG115" s="304"/>
      <c r="AH115" s="304"/>
      <c r="AI115" s="304"/>
      <c r="AJ115" s="304"/>
      <c r="AK115" s="304"/>
      <c r="AL115" s="305"/>
      <c r="AM115" s="305">
        <f t="shared" si="2"/>
        <v>0</v>
      </c>
      <c r="AN115" s="299"/>
    </row>
    <row r="116" spans="1:40" x14ac:dyDescent="0.2">
      <c r="A116" s="352"/>
      <c r="B116" s="304"/>
      <c r="C116" s="304"/>
      <c r="D116" s="304"/>
      <c r="E116" s="304"/>
      <c r="F116" s="304"/>
      <c r="G116" s="304"/>
      <c r="H116" s="304"/>
      <c r="I116" s="304"/>
      <c r="J116" s="305"/>
      <c r="K116" s="304"/>
      <c r="L116" s="304"/>
      <c r="M116" s="304"/>
      <c r="N116" s="304"/>
      <c r="O116" s="304"/>
      <c r="P116" s="304"/>
      <c r="Q116" s="304"/>
      <c r="R116" s="304"/>
      <c r="S116" s="305"/>
      <c r="T116" s="304"/>
      <c r="U116" s="304"/>
      <c r="V116" s="304"/>
      <c r="W116" s="304"/>
      <c r="X116" s="304"/>
      <c r="Y116" s="304"/>
      <c r="Z116" s="304"/>
      <c r="AA116" s="304"/>
      <c r="AB116" s="305"/>
      <c r="AC116" s="304"/>
      <c r="AD116" s="304"/>
      <c r="AE116" s="304"/>
      <c r="AF116" s="304"/>
      <c r="AG116" s="304"/>
      <c r="AH116" s="304"/>
      <c r="AI116" s="304"/>
      <c r="AJ116" s="304"/>
      <c r="AK116" s="304"/>
      <c r="AL116" s="305"/>
      <c r="AM116" s="305">
        <f t="shared" si="2"/>
        <v>0</v>
      </c>
      <c r="AN116" s="299"/>
    </row>
    <row r="117" spans="1:40" x14ac:dyDescent="0.2">
      <c r="A117" s="352"/>
      <c r="B117" s="304"/>
      <c r="C117" s="304"/>
      <c r="D117" s="304"/>
      <c r="E117" s="304"/>
      <c r="F117" s="304"/>
      <c r="G117" s="304"/>
      <c r="H117" s="304"/>
      <c r="I117" s="304"/>
      <c r="J117" s="305"/>
      <c r="K117" s="304"/>
      <c r="L117" s="304"/>
      <c r="M117" s="304"/>
      <c r="N117" s="304"/>
      <c r="O117" s="304"/>
      <c r="P117" s="304"/>
      <c r="Q117" s="304"/>
      <c r="R117" s="304"/>
      <c r="S117" s="305"/>
      <c r="T117" s="304"/>
      <c r="U117" s="304"/>
      <c r="V117" s="304"/>
      <c r="W117" s="304"/>
      <c r="X117" s="304"/>
      <c r="Y117" s="304"/>
      <c r="Z117" s="304"/>
      <c r="AA117" s="304"/>
      <c r="AB117" s="305"/>
      <c r="AC117" s="304"/>
      <c r="AD117" s="304"/>
      <c r="AE117" s="304"/>
      <c r="AF117" s="304"/>
      <c r="AG117" s="304"/>
      <c r="AH117" s="304"/>
      <c r="AI117" s="304"/>
      <c r="AJ117" s="304"/>
      <c r="AK117" s="304"/>
      <c r="AL117" s="305"/>
      <c r="AM117" s="305">
        <f t="shared" si="2"/>
        <v>0</v>
      </c>
      <c r="AN117" s="299"/>
    </row>
    <row r="118" spans="1:40" x14ac:dyDescent="0.2">
      <c r="A118" s="353"/>
      <c r="B118" s="307"/>
      <c r="C118" s="307"/>
      <c r="D118" s="307"/>
      <c r="E118" s="307"/>
      <c r="F118" s="307"/>
      <c r="G118" s="307"/>
      <c r="H118" s="307"/>
      <c r="I118" s="307"/>
      <c r="J118" s="308"/>
      <c r="K118" s="307"/>
      <c r="L118" s="307"/>
      <c r="M118" s="307"/>
      <c r="N118" s="307"/>
      <c r="O118" s="307"/>
      <c r="P118" s="307"/>
      <c r="Q118" s="307"/>
      <c r="R118" s="307"/>
      <c r="S118" s="308"/>
      <c r="T118" s="307"/>
      <c r="U118" s="307"/>
      <c r="V118" s="307"/>
      <c r="W118" s="307"/>
      <c r="X118" s="307"/>
      <c r="Y118" s="307"/>
      <c r="Z118" s="307"/>
      <c r="AA118" s="307"/>
      <c r="AB118" s="308"/>
      <c r="AC118" s="307"/>
      <c r="AD118" s="307"/>
      <c r="AE118" s="307"/>
      <c r="AF118" s="307"/>
      <c r="AG118" s="307"/>
      <c r="AH118" s="307"/>
      <c r="AI118" s="307"/>
      <c r="AJ118" s="307"/>
      <c r="AK118" s="307"/>
      <c r="AL118" s="308"/>
      <c r="AM118" s="308">
        <f t="shared" si="2"/>
        <v>0</v>
      </c>
      <c r="AN118" s="299"/>
    </row>
    <row r="119" spans="1:40" x14ac:dyDescent="0.2">
      <c r="A119" s="352"/>
      <c r="B119" s="304"/>
      <c r="C119" s="304"/>
      <c r="D119" s="304"/>
      <c r="E119" s="304"/>
      <c r="F119" s="304"/>
      <c r="G119" s="304"/>
      <c r="H119" s="304"/>
      <c r="I119" s="304"/>
      <c r="J119" s="305"/>
      <c r="K119" s="304"/>
      <c r="L119" s="304"/>
      <c r="M119" s="304"/>
      <c r="N119" s="304"/>
      <c r="O119" s="304"/>
      <c r="P119" s="304"/>
      <c r="Q119" s="304"/>
      <c r="R119" s="304"/>
      <c r="S119" s="305"/>
      <c r="T119" s="304"/>
      <c r="U119" s="304"/>
      <c r="V119" s="304"/>
      <c r="W119" s="304"/>
      <c r="X119" s="304"/>
      <c r="Y119" s="304"/>
      <c r="Z119" s="304"/>
      <c r="AA119" s="304"/>
      <c r="AB119" s="305"/>
      <c r="AC119" s="304"/>
      <c r="AD119" s="304"/>
      <c r="AE119" s="304"/>
      <c r="AF119" s="304"/>
      <c r="AG119" s="304"/>
      <c r="AH119" s="304"/>
      <c r="AI119" s="304"/>
      <c r="AJ119" s="304"/>
      <c r="AK119" s="304"/>
      <c r="AL119" s="305"/>
      <c r="AM119" s="305">
        <f t="shared" si="2"/>
        <v>0</v>
      </c>
      <c r="AN119" s="299"/>
    </row>
    <row r="120" spans="1:40" x14ac:dyDescent="0.2">
      <c r="A120" s="352"/>
      <c r="B120" s="304"/>
      <c r="C120" s="304"/>
      <c r="D120" s="304"/>
      <c r="E120" s="304"/>
      <c r="F120" s="304"/>
      <c r="G120" s="304"/>
      <c r="H120" s="304"/>
      <c r="I120" s="304"/>
      <c r="J120" s="305"/>
      <c r="K120" s="304"/>
      <c r="L120" s="304"/>
      <c r="M120" s="304"/>
      <c r="N120" s="304"/>
      <c r="O120" s="304"/>
      <c r="P120" s="304"/>
      <c r="Q120" s="304"/>
      <c r="R120" s="304"/>
      <c r="S120" s="305"/>
      <c r="T120" s="304"/>
      <c r="U120" s="304"/>
      <c r="V120" s="304"/>
      <c r="W120" s="304"/>
      <c r="X120" s="304"/>
      <c r="Y120" s="304"/>
      <c r="Z120" s="304"/>
      <c r="AA120" s="304"/>
      <c r="AB120" s="305"/>
      <c r="AC120" s="304"/>
      <c r="AD120" s="304"/>
      <c r="AE120" s="304"/>
      <c r="AF120" s="304"/>
      <c r="AG120" s="304"/>
      <c r="AH120" s="304"/>
      <c r="AI120" s="304"/>
      <c r="AJ120" s="304"/>
      <c r="AK120" s="304"/>
      <c r="AL120" s="305"/>
      <c r="AM120" s="305">
        <f t="shared" si="2"/>
        <v>0</v>
      </c>
      <c r="AN120" s="299"/>
    </row>
    <row r="121" spans="1:40" x14ac:dyDescent="0.2">
      <c r="A121" s="352"/>
      <c r="B121" s="304"/>
      <c r="C121" s="304"/>
      <c r="D121" s="304"/>
      <c r="E121" s="304"/>
      <c r="F121" s="304"/>
      <c r="G121" s="304"/>
      <c r="H121" s="304"/>
      <c r="I121" s="304"/>
      <c r="J121" s="305"/>
      <c r="K121" s="304"/>
      <c r="L121" s="304"/>
      <c r="M121" s="304"/>
      <c r="N121" s="304"/>
      <c r="O121" s="304"/>
      <c r="P121" s="304"/>
      <c r="Q121" s="304"/>
      <c r="R121" s="304"/>
      <c r="S121" s="305"/>
      <c r="T121" s="304"/>
      <c r="U121" s="304"/>
      <c r="V121" s="304"/>
      <c r="W121" s="304"/>
      <c r="X121" s="304"/>
      <c r="Y121" s="304"/>
      <c r="Z121" s="304"/>
      <c r="AA121" s="304"/>
      <c r="AB121" s="305"/>
      <c r="AC121" s="304"/>
      <c r="AD121" s="304"/>
      <c r="AE121" s="304"/>
      <c r="AF121" s="304"/>
      <c r="AG121" s="304"/>
      <c r="AH121" s="304"/>
      <c r="AI121" s="304"/>
      <c r="AJ121" s="304"/>
      <c r="AK121" s="304"/>
      <c r="AL121" s="305"/>
      <c r="AM121" s="305">
        <f t="shared" si="2"/>
        <v>0</v>
      </c>
      <c r="AN121" s="299"/>
    </row>
    <row r="122" spans="1:40" x14ac:dyDescent="0.2">
      <c r="A122" s="352"/>
      <c r="B122" s="304"/>
      <c r="C122" s="304"/>
      <c r="D122" s="304"/>
      <c r="E122" s="304"/>
      <c r="F122" s="304"/>
      <c r="G122" s="304"/>
      <c r="H122" s="304"/>
      <c r="I122" s="304"/>
      <c r="J122" s="305"/>
      <c r="K122" s="304"/>
      <c r="L122" s="304"/>
      <c r="M122" s="304"/>
      <c r="N122" s="304"/>
      <c r="O122" s="304"/>
      <c r="P122" s="304"/>
      <c r="Q122" s="304"/>
      <c r="R122" s="304"/>
      <c r="S122" s="305"/>
      <c r="T122" s="304"/>
      <c r="U122" s="304"/>
      <c r="V122" s="304"/>
      <c r="W122" s="304"/>
      <c r="X122" s="304"/>
      <c r="Y122" s="304"/>
      <c r="Z122" s="304"/>
      <c r="AA122" s="304"/>
      <c r="AB122" s="305"/>
      <c r="AC122" s="304"/>
      <c r="AD122" s="304"/>
      <c r="AE122" s="304"/>
      <c r="AF122" s="304"/>
      <c r="AG122" s="304"/>
      <c r="AH122" s="304"/>
      <c r="AI122" s="304"/>
      <c r="AJ122" s="304"/>
      <c r="AK122" s="304"/>
      <c r="AL122" s="305"/>
      <c r="AM122" s="305">
        <f t="shared" si="2"/>
        <v>0</v>
      </c>
      <c r="AN122" s="299"/>
    </row>
    <row r="123" spans="1:40" ht="13.5" thickBot="1" x14ac:dyDescent="0.25">
      <c r="A123" s="354"/>
      <c r="B123" s="310"/>
      <c r="C123" s="310"/>
      <c r="D123" s="310"/>
      <c r="E123" s="310"/>
      <c r="F123" s="310"/>
      <c r="G123" s="310"/>
      <c r="H123" s="310"/>
      <c r="I123" s="310"/>
      <c r="J123" s="311"/>
      <c r="K123" s="310"/>
      <c r="L123" s="310"/>
      <c r="M123" s="310"/>
      <c r="N123" s="310"/>
      <c r="O123" s="310"/>
      <c r="P123" s="310"/>
      <c r="Q123" s="310"/>
      <c r="R123" s="310"/>
      <c r="S123" s="311"/>
      <c r="T123" s="310"/>
      <c r="U123" s="310"/>
      <c r="V123" s="310"/>
      <c r="W123" s="310"/>
      <c r="X123" s="310"/>
      <c r="Y123" s="310"/>
      <c r="Z123" s="310"/>
      <c r="AA123" s="310"/>
      <c r="AB123" s="311"/>
      <c r="AC123" s="310"/>
      <c r="AD123" s="310"/>
      <c r="AE123" s="310"/>
      <c r="AF123" s="310"/>
      <c r="AG123" s="310"/>
      <c r="AH123" s="310"/>
      <c r="AI123" s="310"/>
      <c r="AJ123" s="310"/>
      <c r="AK123" s="310"/>
      <c r="AL123" s="311"/>
      <c r="AM123" s="311">
        <f t="shared" si="2"/>
        <v>0</v>
      </c>
      <c r="AN123" s="299"/>
    </row>
    <row r="124" spans="1:40" ht="14.25" thickTop="1" thickBot="1" x14ac:dyDescent="0.25">
      <c r="A124" s="354">
        <f>A123+0.001</f>
        <v>1E-3</v>
      </c>
      <c r="B124" s="310">
        <f>B123</f>
        <v>0</v>
      </c>
      <c r="C124" s="310">
        <f t="shared" ref="C124:AL124" si="3">C123</f>
        <v>0</v>
      </c>
      <c r="D124" s="310">
        <f t="shared" si="3"/>
        <v>0</v>
      </c>
      <c r="E124" s="310">
        <f t="shared" si="3"/>
        <v>0</v>
      </c>
      <c r="F124" s="310">
        <f t="shared" si="3"/>
        <v>0</v>
      </c>
      <c r="G124" s="310">
        <f t="shared" si="3"/>
        <v>0</v>
      </c>
      <c r="H124" s="310">
        <f t="shared" si="3"/>
        <v>0</v>
      </c>
      <c r="I124" s="310">
        <f t="shared" si="3"/>
        <v>0</v>
      </c>
      <c r="J124" s="311">
        <f t="shared" si="3"/>
        <v>0</v>
      </c>
      <c r="K124" s="310">
        <f t="shared" si="3"/>
        <v>0</v>
      </c>
      <c r="L124" s="310">
        <f t="shared" si="3"/>
        <v>0</v>
      </c>
      <c r="M124" s="310">
        <f t="shared" si="3"/>
        <v>0</v>
      </c>
      <c r="N124" s="310">
        <f t="shared" si="3"/>
        <v>0</v>
      </c>
      <c r="O124" s="310">
        <f t="shared" si="3"/>
        <v>0</v>
      </c>
      <c r="P124" s="310">
        <f t="shared" si="3"/>
        <v>0</v>
      </c>
      <c r="Q124" s="310">
        <f t="shared" si="3"/>
        <v>0</v>
      </c>
      <c r="R124" s="310">
        <f t="shared" si="3"/>
        <v>0</v>
      </c>
      <c r="S124" s="311">
        <f t="shared" si="3"/>
        <v>0</v>
      </c>
      <c r="T124" s="310">
        <f t="shared" si="3"/>
        <v>0</v>
      </c>
      <c r="U124" s="310">
        <f t="shared" si="3"/>
        <v>0</v>
      </c>
      <c r="V124" s="310">
        <f t="shared" si="3"/>
        <v>0</v>
      </c>
      <c r="W124" s="310">
        <f t="shared" si="3"/>
        <v>0</v>
      </c>
      <c r="X124" s="310">
        <f t="shared" si="3"/>
        <v>0</v>
      </c>
      <c r="Y124" s="310">
        <f t="shared" si="3"/>
        <v>0</v>
      </c>
      <c r="Z124" s="310">
        <f t="shared" si="3"/>
        <v>0</v>
      </c>
      <c r="AA124" s="310">
        <f t="shared" si="3"/>
        <v>0</v>
      </c>
      <c r="AB124" s="311">
        <f t="shared" si="3"/>
        <v>0</v>
      </c>
      <c r="AC124" s="310">
        <f t="shared" si="3"/>
        <v>0</v>
      </c>
      <c r="AD124" s="310">
        <f t="shared" si="3"/>
        <v>0</v>
      </c>
      <c r="AE124" s="310">
        <f t="shared" si="3"/>
        <v>0</v>
      </c>
      <c r="AF124" s="310">
        <f t="shared" si="3"/>
        <v>0</v>
      </c>
      <c r="AG124" s="310">
        <f t="shared" si="3"/>
        <v>0</v>
      </c>
      <c r="AH124" s="310">
        <f t="shared" si="3"/>
        <v>0</v>
      </c>
      <c r="AI124" s="310">
        <f t="shared" si="3"/>
        <v>0</v>
      </c>
      <c r="AJ124" s="310">
        <f t="shared" si="3"/>
        <v>0</v>
      </c>
      <c r="AK124" s="310">
        <f t="shared" si="3"/>
        <v>0</v>
      </c>
      <c r="AL124" s="311">
        <f t="shared" si="3"/>
        <v>0</v>
      </c>
      <c r="AM124" s="311">
        <f>AL123</f>
        <v>0</v>
      </c>
      <c r="AN124" s="299"/>
    </row>
    <row r="125" spans="1:40" ht="14.25" thickTop="1" thickBot="1" x14ac:dyDescent="0.25">
      <c r="A125" s="312"/>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c r="AL125" s="313"/>
      <c r="AM125" s="313"/>
      <c r="AN125" s="314"/>
    </row>
    <row r="126" spans="1:40" ht="13.5" thickTop="1" x14ac:dyDescent="0.2"/>
    <row r="127" spans="1:40" ht="13.5" thickBot="1" x14ac:dyDescent="0.25"/>
    <row r="128" spans="1:40" ht="21.75" thickTop="1" thickBot="1" x14ac:dyDescent="0.25">
      <c r="A128" s="698" t="s">
        <v>57</v>
      </c>
      <c r="B128" s="699"/>
      <c r="C128" s="699"/>
      <c r="D128" s="699"/>
      <c r="E128" s="699"/>
      <c r="F128" s="699"/>
      <c r="G128" s="315"/>
      <c r="H128" s="315"/>
      <c r="I128" s="316"/>
    </row>
    <row r="129" spans="1:9" ht="14.25" thickTop="1" thickBot="1" x14ac:dyDescent="0.25">
      <c r="A129" s="347" t="s">
        <v>49</v>
      </c>
      <c r="B129" s="264" t="s">
        <v>50</v>
      </c>
      <c r="C129" s="264" t="s">
        <v>51</v>
      </c>
      <c r="D129" s="264" t="s">
        <v>52</v>
      </c>
      <c r="E129" s="264" t="s">
        <v>53</v>
      </c>
      <c r="F129" s="264" t="s">
        <v>54</v>
      </c>
      <c r="G129" s="264" t="s">
        <v>55</v>
      </c>
      <c r="H129" s="267" t="s">
        <v>56</v>
      </c>
      <c r="I129" s="271"/>
    </row>
    <row r="130" spans="1:9" ht="13.5" thickTop="1" x14ac:dyDescent="0.2">
      <c r="A130" s="348"/>
      <c r="B130" s="274"/>
      <c r="C130" s="275"/>
      <c r="D130" s="275"/>
      <c r="E130" s="275"/>
      <c r="F130" s="275"/>
      <c r="G130" s="275"/>
      <c r="H130" s="276"/>
      <c r="I130" s="237"/>
    </row>
    <row r="131" spans="1:9" x14ac:dyDescent="0.2">
      <c r="A131" s="348"/>
      <c r="B131" s="277"/>
      <c r="C131" s="278"/>
      <c r="D131" s="278"/>
      <c r="E131" s="278"/>
      <c r="F131" s="278"/>
      <c r="G131" s="278"/>
      <c r="H131" s="279"/>
      <c r="I131" s="237"/>
    </row>
    <row r="132" spans="1:9" x14ac:dyDescent="0.2">
      <c r="A132" s="348"/>
      <c r="B132" s="277"/>
      <c r="C132" s="278"/>
      <c r="D132" s="278"/>
      <c r="E132" s="278"/>
      <c r="F132" s="278"/>
      <c r="G132" s="278"/>
      <c r="H132" s="279"/>
      <c r="I132" s="237"/>
    </row>
    <row r="133" spans="1:9" x14ac:dyDescent="0.2">
      <c r="A133" s="348"/>
      <c r="B133" s="277"/>
      <c r="C133" s="278"/>
      <c r="D133" s="278"/>
      <c r="E133" s="278"/>
      <c r="F133" s="278"/>
      <c r="G133" s="278"/>
      <c r="H133" s="279"/>
      <c r="I133" s="237"/>
    </row>
    <row r="134" spans="1:9" x14ac:dyDescent="0.2">
      <c r="A134" s="348"/>
      <c r="B134" s="277"/>
      <c r="C134" s="278"/>
      <c r="D134" s="278"/>
      <c r="E134" s="278"/>
      <c r="F134" s="278"/>
      <c r="G134" s="278"/>
      <c r="H134" s="279"/>
      <c r="I134" s="237"/>
    </row>
    <row r="135" spans="1:9" x14ac:dyDescent="0.2">
      <c r="A135" s="348"/>
      <c r="B135" s="277"/>
      <c r="C135" s="278"/>
      <c r="D135" s="278"/>
      <c r="E135" s="278"/>
      <c r="F135" s="278"/>
      <c r="G135" s="278"/>
      <c r="H135" s="279"/>
      <c r="I135" s="237"/>
    </row>
    <row r="136" spans="1:9" x14ac:dyDescent="0.2">
      <c r="A136" s="348"/>
      <c r="B136" s="277"/>
      <c r="C136" s="278"/>
      <c r="D136" s="278"/>
      <c r="E136" s="278"/>
      <c r="F136" s="278"/>
      <c r="G136" s="278"/>
      <c r="H136" s="279"/>
      <c r="I136" s="237"/>
    </row>
    <row r="137" spans="1:9" x14ac:dyDescent="0.2">
      <c r="A137" s="348"/>
      <c r="B137" s="277"/>
      <c r="C137" s="278"/>
      <c r="D137" s="278"/>
      <c r="E137" s="278"/>
      <c r="F137" s="278"/>
      <c r="G137" s="278"/>
      <c r="H137" s="279"/>
      <c r="I137" s="237"/>
    </row>
    <row r="138" spans="1:9" x14ac:dyDescent="0.2">
      <c r="A138" s="348"/>
      <c r="B138" s="277"/>
      <c r="C138" s="278"/>
      <c r="D138" s="278"/>
      <c r="E138" s="278"/>
      <c r="F138" s="278"/>
      <c r="G138" s="278"/>
      <c r="H138" s="279"/>
      <c r="I138" s="237"/>
    </row>
    <row r="139" spans="1:9" x14ac:dyDescent="0.2">
      <c r="A139" s="348"/>
      <c r="B139" s="277"/>
      <c r="C139" s="278"/>
      <c r="D139" s="278"/>
      <c r="E139" s="278"/>
      <c r="F139" s="278"/>
      <c r="G139" s="278"/>
      <c r="H139" s="279"/>
      <c r="I139" s="237"/>
    </row>
    <row r="140" spans="1:9" x14ac:dyDescent="0.2">
      <c r="A140" s="348"/>
      <c r="B140" s="277"/>
      <c r="C140" s="278"/>
      <c r="D140" s="278"/>
      <c r="E140" s="278"/>
      <c r="F140" s="278"/>
      <c r="G140" s="278"/>
      <c r="H140" s="279"/>
      <c r="I140" s="237"/>
    </row>
    <row r="141" spans="1:9" x14ac:dyDescent="0.2">
      <c r="A141" s="348"/>
      <c r="B141" s="277"/>
      <c r="C141" s="278"/>
      <c r="D141" s="278"/>
      <c r="E141" s="278"/>
      <c r="F141" s="278"/>
      <c r="G141" s="278"/>
      <c r="H141" s="279"/>
      <c r="I141" s="237"/>
    </row>
    <row r="142" spans="1:9" x14ac:dyDescent="0.2">
      <c r="A142" s="348"/>
      <c r="B142" s="277"/>
      <c r="C142" s="278"/>
      <c r="D142" s="278"/>
      <c r="E142" s="278"/>
      <c r="F142" s="278"/>
      <c r="G142" s="278"/>
      <c r="H142" s="279"/>
      <c r="I142" s="237"/>
    </row>
    <row r="143" spans="1:9" x14ac:dyDescent="0.2">
      <c r="A143" s="348"/>
      <c r="B143" s="277"/>
      <c r="C143" s="278"/>
      <c r="D143" s="278"/>
      <c r="E143" s="278"/>
      <c r="F143" s="278"/>
      <c r="G143" s="278"/>
      <c r="H143" s="279"/>
      <c r="I143" s="237"/>
    </row>
    <row r="144" spans="1:9" x14ac:dyDescent="0.2">
      <c r="A144" s="348"/>
      <c r="B144" s="277"/>
      <c r="C144" s="278"/>
      <c r="D144" s="278"/>
      <c r="E144" s="278"/>
      <c r="F144" s="278"/>
      <c r="G144" s="278"/>
      <c r="H144" s="279"/>
      <c r="I144" s="237"/>
    </row>
    <row r="145" spans="1:9" x14ac:dyDescent="0.2">
      <c r="A145" s="348"/>
      <c r="B145" s="277"/>
      <c r="C145" s="278"/>
      <c r="D145" s="278"/>
      <c r="E145" s="278"/>
      <c r="F145" s="278"/>
      <c r="G145" s="278"/>
      <c r="H145" s="279"/>
      <c r="I145" s="237"/>
    </row>
    <row r="146" spans="1:9" x14ac:dyDescent="0.2">
      <c r="A146" s="348"/>
      <c r="B146" s="277"/>
      <c r="C146" s="278"/>
      <c r="D146" s="278"/>
      <c r="E146" s="278"/>
      <c r="F146" s="278"/>
      <c r="G146" s="278"/>
      <c r="H146" s="279"/>
      <c r="I146" s="237"/>
    </row>
    <row r="147" spans="1:9" x14ac:dyDescent="0.2">
      <c r="A147" s="348"/>
      <c r="B147" s="277"/>
      <c r="C147" s="278"/>
      <c r="D147" s="278"/>
      <c r="E147" s="278"/>
      <c r="F147" s="278"/>
      <c r="G147" s="278"/>
      <c r="H147" s="279"/>
      <c r="I147" s="237"/>
    </row>
    <row r="148" spans="1:9" x14ac:dyDescent="0.2">
      <c r="A148" s="348"/>
      <c r="B148" s="277"/>
      <c r="C148" s="278"/>
      <c r="D148" s="278"/>
      <c r="E148" s="278"/>
      <c r="F148" s="278"/>
      <c r="G148" s="278"/>
      <c r="H148" s="279"/>
      <c r="I148" s="237"/>
    </row>
    <row r="149" spans="1:9" x14ac:dyDescent="0.2">
      <c r="A149" s="348"/>
      <c r="B149" s="277"/>
      <c r="C149" s="278"/>
      <c r="D149" s="278"/>
      <c r="E149" s="278"/>
      <c r="F149" s="278"/>
      <c r="G149" s="278"/>
      <c r="H149" s="279"/>
      <c r="I149" s="237"/>
    </row>
    <row r="150" spans="1:9" x14ac:dyDescent="0.2">
      <c r="A150" s="348"/>
      <c r="B150" s="277"/>
      <c r="C150" s="278"/>
      <c r="D150" s="278"/>
      <c r="E150" s="278"/>
      <c r="F150" s="278"/>
      <c r="G150" s="278"/>
      <c r="H150" s="279"/>
      <c r="I150" s="237"/>
    </row>
    <row r="151" spans="1:9" x14ac:dyDescent="0.2">
      <c r="A151" s="348"/>
      <c r="B151" s="277"/>
      <c r="C151" s="278"/>
      <c r="D151" s="278"/>
      <c r="E151" s="278"/>
      <c r="F151" s="278"/>
      <c r="G151" s="278"/>
      <c r="H151" s="279"/>
      <c r="I151" s="237"/>
    </row>
    <row r="152" spans="1:9" x14ac:dyDescent="0.2">
      <c r="A152" s="348"/>
      <c r="B152" s="277"/>
      <c r="C152" s="278"/>
      <c r="D152" s="278"/>
      <c r="E152" s="278"/>
      <c r="F152" s="278"/>
      <c r="G152" s="278"/>
      <c r="H152" s="279"/>
      <c r="I152" s="237"/>
    </row>
    <row r="153" spans="1:9" x14ac:dyDescent="0.2">
      <c r="A153" s="348"/>
      <c r="B153" s="277"/>
      <c r="C153" s="278"/>
      <c r="D153" s="278"/>
      <c r="E153" s="278"/>
      <c r="F153" s="278"/>
      <c r="G153" s="278"/>
      <c r="H153" s="279"/>
      <c r="I153" s="237"/>
    </row>
    <row r="154" spans="1:9" x14ac:dyDescent="0.2">
      <c r="A154" s="348"/>
      <c r="B154" s="277"/>
      <c r="C154" s="278"/>
      <c r="D154" s="278"/>
      <c r="E154" s="278"/>
      <c r="F154" s="278"/>
      <c r="G154" s="278"/>
      <c r="H154" s="279"/>
      <c r="I154" s="237"/>
    </row>
    <row r="155" spans="1:9" x14ac:dyDescent="0.2">
      <c r="A155" s="348"/>
      <c r="B155" s="277"/>
      <c r="C155" s="278"/>
      <c r="D155" s="278"/>
      <c r="E155" s="278"/>
      <c r="F155" s="278"/>
      <c r="G155" s="278"/>
      <c r="H155" s="279"/>
      <c r="I155" s="237"/>
    </row>
    <row r="156" spans="1:9" x14ac:dyDescent="0.2">
      <c r="A156" s="348"/>
      <c r="B156" s="277"/>
      <c r="C156" s="278"/>
      <c r="D156" s="278"/>
      <c r="E156" s="278"/>
      <c r="F156" s="278"/>
      <c r="G156" s="278"/>
      <c r="H156" s="279"/>
      <c r="I156" s="237"/>
    </row>
    <row r="157" spans="1:9" x14ac:dyDescent="0.2">
      <c r="A157" s="348"/>
      <c r="B157" s="277"/>
      <c r="C157" s="278"/>
      <c r="D157" s="278"/>
      <c r="E157" s="278"/>
      <c r="F157" s="278"/>
      <c r="G157" s="278"/>
      <c r="H157" s="279"/>
      <c r="I157" s="237"/>
    </row>
    <row r="158" spans="1:9" x14ac:dyDescent="0.2">
      <c r="A158" s="348"/>
      <c r="B158" s="277"/>
      <c r="C158" s="278"/>
      <c r="D158" s="278"/>
      <c r="E158" s="278"/>
      <c r="F158" s="278"/>
      <c r="G158" s="278"/>
      <c r="H158" s="279"/>
      <c r="I158" s="237"/>
    </row>
    <row r="159" spans="1:9" x14ac:dyDescent="0.2">
      <c r="A159" s="348"/>
      <c r="B159" s="277"/>
      <c r="C159" s="278"/>
      <c r="D159" s="278"/>
      <c r="E159" s="278"/>
      <c r="F159" s="278"/>
      <c r="G159" s="278"/>
      <c r="H159" s="279"/>
      <c r="I159" s="237"/>
    </row>
    <row r="160" spans="1:9" x14ac:dyDescent="0.2">
      <c r="A160" s="348"/>
      <c r="B160" s="277"/>
      <c r="C160" s="278"/>
      <c r="D160" s="278"/>
      <c r="E160" s="278"/>
      <c r="F160" s="278"/>
      <c r="G160" s="278"/>
      <c r="H160" s="279"/>
      <c r="I160" s="237"/>
    </row>
    <row r="161" spans="1:9" x14ac:dyDescent="0.2">
      <c r="A161" s="348"/>
      <c r="B161" s="277"/>
      <c r="C161" s="278"/>
      <c r="D161" s="278"/>
      <c r="E161" s="278"/>
      <c r="F161" s="278"/>
      <c r="G161" s="278"/>
      <c r="H161" s="279"/>
      <c r="I161" s="237"/>
    </row>
    <row r="162" spans="1:9" x14ac:dyDescent="0.2">
      <c r="A162" s="348"/>
      <c r="B162" s="277"/>
      <c r="C162" s="278"/>
      <c r="D162" s="278"/>
      <c r="E162" s="278"/>
      <c r="F162" s="278"/>
      <c r="G162" s="278"/>
      <c r="H162" s="279"/>
      <c r="I162" s="237"/>
    </row>
    <row r="163" spans="1:9" x14ac:dyDescent="0.2">
      <c r="A163" s="348"/>
      <c r="B163" s="277"/>
      <c r="C163" s="278"/>
      <c r="D163" s="278"/>
      <c r="E163" s="278"/>
      <c r="F163" s="278"/>
      <c r="G163" s="278"/>
      <c r="H163" s="279"/>
      <c r="I163" s="237"/>
    </row>
    <row r="164" spans="1:9" x14ac:dyDescent="0.2">
      <c r="A164" s="348"/>
      <c r="B164" s="277"/>
      <c r="C164" s="278"/>
      <c r="D164" s="278"/>
      <c r="E164" s="278"/>
      <c r="F164" s="278"/>
      <c r="G164" s="278"/>
      <c r="H164" s="279"/>
      <c r="I164" s="237"/>
    </row>
    <row r="165" spans="1:9" x14ac:dyDescent="0.2">
      <c r="A165" s="348"/>
      <c r="B165" s="277"/>
      <c r="C165" s="278"/>
      <c r="D165" s="278"/>
      <c r="E165" s="278"/>
      <c r="F165" s="278"/>
      <c r="G165" s="278"/>
      <c r="H165" s="279"/>
      <c r="I165" s="237"/>
    </row>
    <row r="166" spans="1:9" x14ac:dyDescent="0.2">
      <c r="A166" s="348"/>
      <c r="B166" s="277"/>
      <c r="C166" s="278"/>
      <c r="D166" s="278"/>
      <c r="E166" s="278"/>
      <c r="F166" s="278"/>
      <c r="G166" s="278"/>
      <c r="H166" s="279"/>
      <c r="I166" s="237"/>
    </row>
    <row r="167" spans="1:9" x14ac:dyDescent="0.2">
      <c r="A167" s="348"/>
      <c r="B167" s="277"/>
      <c r="C167" s="278"/>
      <c r="D167" s="278"/>
      <c r="E167" s="278"/>
      <c r="F167" s="278"/>
      <c r="G167" s="278"/>
      <c r="H167" s="279"/>
      <c r="I167" s="237"/>
    </row>
    <row r="168" spans="1:9" x14ac:dyDescent="0.2">
      <c r="A168" s="348"/>
      <c r="B168" s="277"/>
      <c r="C168" s="278"/>
      <c r="D168" s="278"/>
      <c r="E168" s="278"/>
      <c r="F168" s="278"/>
      <c r="G168" s="278"/>
      <c r="H168" s="279"/>
      <c r="I168" s="237"/>
    </row>
    <row r="169" spans="1:9" x14ac:dyDescent="0.2">
      <c r="A169" s="348"/>
      <c r="B169" s="277"/>
      <c r="C169" s="278"/>
      <c r="D169" s="278"/>
      <c r="E169" s="278"/>
      <c r="F169" s="278"/>
      <c r="G169" s="278"/>
      <c r="H169" s="279"/>
      <c r="I169" s="237"/>
    </row>
    <row r="170" spans="1:9" x14ac:dyDescent="0.2">
      <c r="A170" s="348"/>
      <c r="B170" s="277"/>
      <c r="C170" s="278"/>
      <c r="D170" s="278"/>
      <c r="E170" s="278"/>
      <c r="F170" s="278"/>
      <c r="G170" s="278"/>
      <c r="H170" s="279"/>
      <c r="I170" s="237"/>
    </row>
    <row r="171" spans="1:9" x14ac:dyDescent="0.2">
      <c r="A171" s="348"/>
      <c r="B171" s="277"/>
      <c r="C171" s="278"/>
      <c r="D171" s="278"/>
      <c r="E171" s="278"/>
      <c r="F171" s="278"/>
      <c r="G171" s="278"/>
      <c r="H171" s="279"/>
      <c r="I171" s="237"/>
    </row>
    <row r="172" spans="1:9" x14ac:dyDescent="0.2">
      <c r="A172" s="348"/>
      <c r="B172" s="277"/>
      <c r="C172" s="278"/>
      <c r="D172" s="278"/>
      <c r="E172" s="278"/>
      <c r="F172" s="278"/>
      <c r="G172" s="278"/>
      <c r="H172" s="279"/>
      <c r="I172" s="237"/>
    </row>
    <row r="173" spans="1:9" x14ac:dyDescent="0.2">
      <c r="A173" s="348"/>
      <c r="B173" s="277"/>
      <c r="C173" s="278"/>
      <c r="D173" s="278"/>
      <c r="E173" s="278"/>
      <c r="F173" s="278"/>
      <c r="G173" s="278"/>
      <c r="H173" s="279"/>
      <c r="I173" s="237"/>
    </row>
    <row r="174" spans="1:9" x14ac:dyDescent="0.2">
      <c r="A174" s="348"/>
      <c r="B174" s="277"/>
      <c r="C174" s="278"/>
      <c r="D174" s="278"/>
      <c r="E174" s="278"/>
      <c r="F174" s="278"/>
      <c r="G174" s="278"/>
      <c r="H174" s="279"/>
      <c r="I174" s="237"/>
    </row>
    <row r="175" spans="1:9" x14ac:dyDescent="0.2">
      <c r="A175" s="348"/>
      <c r="B175" s="277"/>
      <c r="C175" s="278"/>
      <c r="D175" s="278"/>
      <c r="E175" s="278"/>
      <c r="F175" s="278"/>
      <c r="G175" s="278"/>
      <c r="H175" s="279"/>
      <c r="I175" s="237"/>
    </row>
    <row r="176" spans="1:9" x14ac:dyDescent="0.2">
      <c r="A176" s="348"/>
      <c r="B176" s="277"/>
      <c r="C176" s="278"/>
      <c r="D176" s="278"/>
      <c r="E176" s="278"/>
      <c r="F176" s="278"/>
      <c r="G176" s="278"/>
      <c r="H176" s="279"/>
      <c r="I176" s="237"/>
    </row>
    <row r="177" spans="1:9" x14ac:dyDescent="0.2">
      <c r="A177" s="348"/>
      <c r="B177" s="277"/>
      <c r="C177" s="278"/>
      <c r="D177" s="278"/>
      <c r="E177" s="278"/>
      <c r="F177" s="278"/>
      <c r="G177" s="278"/>
      <c r="H177" s="279"/>
      <c r="I177" s="237"/>
    </row>
    <row r="178" spans="1:9" x14ac:dyDescent="0.2">
      <c r="A178" s="348"/>
      <c r="B178" s="277"/>
      <c r="C178" s="278"/>
      <c r="D178" s="278"/>
      <c r="E178" s="278"/>
      <c r="F178" s="278"/>
      <c r="G178" s="278"/>
      <c r="H178" s="279"/>
      <c r="I178" s="237"/>
    </row>
    <row r="179" spans="1:9" x14ac:dyDescent="0.2">
      <c r="A179" s="348"/>
      <c r="B179" s="277"/>
      <c r="C179" s="278"/>
      <c r="D179" s="278"/>
      <c r="E179" s="278"/>
      <c r="F179" s="278"/>
      <c r="G179" s="278"/>
      <c r="H179" s="279"/>
      <c r="I179" s="237"/>
    </row>
    <row r="180" spans="1:9" x14ac:dyDescent="0.2">
      <c r="A180" s="348"/>
      <c r="B180" s="277"/>
      <c r="C180" s="278"/>
      <c r="D180" s="278"/>
      <c r="E180" s="278"/>
      <c r="F180" s="278"/>
      <c r="G180" s="278"/>
      <c r="H180" s="279"/>
      <c r="I180" s="237"/>
    </row>
    <row r="181" spans="1:9" x14ac:dyDescent="0.2">
      <c r="A181" s="348"/>
      <c r="B181" s="277"/>
      <c r="C181" s="278"/>
      <c r="D181" s="278"/>
      <c r="E181" s="278"/>
      <c r="F181" s="278"/>
      <c r="G181" s="278"/>
      <c r="H181" s="279"/>
      <c r="I181" s="237"/>
    </row>
    <row r="182" spans="1:9" x14ac:dyDescent="0.2">
      <c r="A182" s="348"/>
      <c r="B182" s="277"/>
      <c r="C182" s="278"/>
      <c r="D182" s="278"/>
      <c r="E182" s="278"/>
      <c r="F182" s="278"/>
      <c r="G182" s="278"/>
      <c r="H182" s="279"/>
      <c r="I182" s="237"/>
    </row>
    <row r="183" spans="1:9" x14ac:dyDescent="0.2">
      <c r="A183" s="348"/>
      <c r="B183" s="277"/>
      <c r="C183" s="278"/>
      <c r="D183" s="278"/>
      <c r="E183" s="278"/>
      <c r="F183" s="278"/>
      <c r="G183" s="278"/>
      <c r="H183" s="279"/>
      <c r="I183" s="237"/>
    </row>
    <row r="184" spans="1:9" x14ac:dyDescent="0.2">
      <c r="A184" s="348"/>
      <c r="B184" s="277"/>
      <c r="C184" s="278"/>
      <c r="D184" s="278"/>
      <c r="E184" s="278"/>
      <c r="F184" s="278"/>
      <c r="G184" s="278"/>
      <c r="H184" s="279"/>
      <c r="I184" s="237"/>
    </row>
    <row r="185" spans="1:9" x14ac:dyDescent="0.2">
      <c r="A185" s="348"/>
      <c r="B185" s="277"/>
      <c r="C185" s="278"/>
      <c r="D185" s="278"/>
      <c r="E185" s="278"/>
      <c r="F185" s="278"/>
      <c r="G185" s="278"/>
      <c r="H185" s="279"/>
      <c r="I185" s="237"/>
    </row>
    <row r="186" spans="1:9" x14ac:dyDescent="0.2">
      <c r="A186" s="348"/>
      <c r="B186" s="277"/>
      <c r="C186" s="278"/>
      <c r="D186" s="278"/>
      <c r="E186" s="278"/>
      <c r="F186" s="278"/>
      <c r="G186" s="278"/>
      <c r="H186" s="279"/>
      <c r="I186" s="237"/>
    </row>
    <row r="187" spans="1:9" x14ac:dyDescent="0.2">
      <c r="A187" s="348"/>
      <c r="B187" s="277"/>
      <c r="C187" s="278"/>
      <c r="D187" s="278"/>
      <c r="E187" s="278"/>
      <c r="F187" s="278"/>
      <c r="G187" s="278"/>
      <c r="H187" s="279"/>
      <c r="I187" s="237"/>
    </row>
    <row r="188" spans="1:9" x14ac:dyDescent="0.2">
      <c r="A188" s="348"/>
      <c r="B188" s="277"/>
      <c r="C188" s="278"/>
      <c r="D188" s="278"/>
      <c r="E188" s="278"/>
      <c r="F188" s="278"/>
      <c r="G188" s="278"/>
      <c r="H188" s="279"/>
      <c r="I188" s="237"/>
    </row>
    <row r="189" spans="1:9" x14ac:dyDescent="0.2">
      <c r="A189" s="348"/>
      <c r="B189" s="277"/>
      <c r="C189" s="278"/>
      <c r="D189" s="278"/>
      <c r="E189" s="278"/>
      <c r="F189" s="278"/>
      <c r="G189" s="278"/>
      <c r="H189" s="279"/>
      <c r="I189" s="237"/>
    </row>
    <row r="190" spans="1:9" x14ac:dyDescent="0.2">
      <c r="A190" s="348"/>
      <c r="B190" s="277"/>
      <c r="C190" s="278"/>
      <c r="D190" s="278"/>
      <c r="E190" s="278"/>
      <c r="F190" s="278"/>
      <c r="G190" s="278"/>
      <c r="H190" s="279"/>
      <c r="I190" s="237"/>
    </row>
    <row r="191" spans="1:9" x14ac:dyDescent="0.2">
      <c r="A191" s="348"/>
      <c r="B191" s="277"/>
      <c r="C191" s="278"/>
      <c r="D191" s="278"/>
      <c r="E191" s="278"/>
      <c r="F191" s="278"/>
      <c r="G191" s="278"/>
      <c r="H191" s="279"/>
      <c r="I191" s="237"/>
    </row>
    <row r="192" spans="1:9" x14ac:dyDescent="0.2">
      <c r="A192" s="348"/>
      <c r="B192" s="277"/>
      <c r="C192" s="278"/>
      <c r="D192" s="278"/>
      <c r="E192" s="278"/>
      <c r="F192" s="278"/>
      <c r="G192" s="278"/>
      <c r="H192" s="279"/>
      <c r="I192" s="237"/>
    </row>
    <row r="193" spans="1:9" x14ac:dyDescent="0.2">
      <c r="A193" s="348"/>
      <c r="B193" s="277"/>
      <c r="C193" s="278"/>
      <c r="D193" s="278"/>
      <c r="E193" s="278"/>
      <c r="F193" s="278"/>
      <c r="G193" s="278"/>
      <c r="H193" s="279"/>
      <c r="I193" s="237"/>
    </row>
    <row r="194" spans="1:9" x14ac:dyDescent="0.2">
      <c r="A194" s="348"/>
      <c r="B194" s="281"/>
      <c r="C194" s="282"/>
      <c r="D194" s="282"/>
      <c r="E194" s="282"/>
      <c r="F194" s="282"/>
      <c r="G194" s="282"/>
      <c r="H194" s="283"/>
      <c r="I194" s="237"/>
    </row>
    <row r="195" spans="1:9" x14ac:dyDescent="0.2">
      <c r="A195" s="348"/>
      <c r="B195" s="284"/>
      <c r="C195" s="285"/>
      <c r="D195" s="285"/>
      <c r="E195" s="285"/>
      <c r="F195" s="285"/>
      <c r="G195" s="285"/>
      <c r="H195" s="286"/>
      <c r="I195" s="237"/>
    </row>
    <row r="196" spans="1:9" x14ac:dyDescent="0.2">
      <c r="A196" s="348"/>
      <c r="B196" s="277"/>
      <c r="C196" s="278"/>
      <c r="D196" s="278"/>
      <c r="E196" s="278"/>
      <c r="F196" s="278"/>
      <c r="G196" s="278"/>
      <c r="H196" s="279"/>
      <c r="I196" s="237"/>
    </row>
    <row r="197" spans="1:9" x14ac:dyDescent="0.2">
      <c r="A197" s="348"/>
      <c r="B197" s="277"/>
      <c r="C197" s="278"/>
      <c r="D197" s="278"/>
      <c r="E197" s="278"/>
      <c r="F197" s="278"/>
      <c r="G197" s="278"/>
      <c r="H197" s="279"/>
      <c r="I197" s="237"/>
    </row>
    <row r="198" spans="1:9" x14ac:dyDescent="0.2">
      <c r="A198" s="348"/>
      <c r="B198" s="277"/>
      <c r="C198" s="278"/>
      <c r="D198" s="278"/>
      <c r="E198" s="278"/>
      <c r="F198" s="278"/>
      <c r="G198" s="278"/>
      <c r="H198" s="279"/>
      <c r="I198" s="237"/>
    </row>
    <row r="199" spans="1:9" x14ac:dyDescent="0.2">
      <c r="A199" s="348"/>
      <c r="B199" s="290"/>
      <c r="C199" s="291"/>
      <c r="D199" s="291"/>
      <c r="E199" s="291"/>
      <c r="F199" s="291"/>
      <c r="G199" s="291"/>
      <c r="H199" s="292"/>
      <c r="I199" s="237"/>
    </row>
    <row r="200" spans="1:9" x14ac:dyDescent="0.2">
      <c r="A200" s="348"/>
      <c r="B200" s="287"/>
      <c r="C200" s="288"/>
      <c r="D200" s="288"/>
      <c r="E200" s="288"/>
      <c r="F200" s="288"/>
      <c r="G200" s="288"/>
      <c r="H200" s="289"/>
      <c r="I200" s="237"/>
    </row>
    <row r="201" spans="1:9" x14ac:dyDescent="0.2">
      <c r="A201" s="348"/>
      <c r="B201" s="277"/>
      <c r="C201" s="278"/>
      <c r="D201" s="278"/>
      <c r="E201" s="278"/>
      <c r="F201" s="278"/>
      <c r="G201" s="278"/>
      <c r="H201" s="279"/>
      <c r="I201" s="237"/>
    </row>
    <row r="202" spans="1:9" x14ac:dyDescent="0.2">
      <c r="A202" s="348"/>
      <c r="B202" s="277"/>
      <c r="C202" s="278"/>
      <c r="D202" s="278"/>
      <c r="E202" s="278"/>
      <c r="F202" s="278"/>
      <c r="G202" s="278"/>
      <c r="H202" s="279"/>
      <c r="I202" s="237"/>
    </row>
    <row r="203" spans="1:9" x14ac:dyDescent="0.2">
      <c r="A203" s="348"/>
      <c r="B203" s="277"/>
      <c r="C203" s="278"/>
      <c r="D203" s="278"/>
      <c r="E203" s="278"/>
      <c r="F203" s="278"/>
      <c r="G203" s="278"/>
      <c r="H203" s="279"/>
      <c r="I203" s="237"/>
    </row>
    <row r="204" spans="1:9" x14ac:dyDescent="0.2">
      <c r="A204" s="348"/>
      <c r="B204" s="281"/>
      <c r="C204" s="282"/>
      <c r="D204" s="282"/>
      <c r="E204" s="282"/>
      <c r="F204" s="282"/>
      <c r="G204" s="282"/>
      <c r="H204" s="283"/>
      <c r="I204" s="237"/>
    </row>
    <row r="205" spans="1:9" x14ac:dyDescent="0.2">
      <c r="A205" s="348"/>
      <c r="B205" s="284"/>
      <c r="C205" s="285"/>
      <c r="D205" s="285"/>
      <c r="E205" s="285"/>
      <c r="F205" s="285"/>
      <c r="G205" s="285"/>
      <c r="H205" s="286"/>
      <c r="I205" s="237"/>
    </row>
    <row r="206" spans="1:9" x14ac:dyDescent="0.2">
      <c r="A206" s="348"/>
      <c r="B206" s="277"/>
      <c r="C206" s="278"/>
      <c r="D206" s="278"/>
      <c r="E206" s="278"/>
      <c r="F206" s="278"/>
      <c r="G206" s="278"/>
      <c r="H206" s="279"/>
      <c r="I206" s="237"/>
    </row>
    <row r="207" spans="1:9" x14ac:dyDescent="0.2">
      <c r="A207" s="348"/>
      <c r="B207" s="277"/>
      <c r="C207" s="278"/>
      <c r="D207" s="278"/>
      <c r="E207" s="278"/>
      <c r="F207" s="278"/>
      <c r="G207" s="278"/>
      <c r="H207" s="279"/>
      <c r="I207" s="237"/>
    </row>
    <row r="208" spans="1:9" x14ac:dyDescent="0.2">
      <c r="A208" s="348"/>
      <c r="B208" s="277"/>
      <c r="C208" s="278"/>
      <c r="D208" s="278"/>
      <c r="E208" s="278"/>
      <c r="F208" s="278"/>
      <c r="G208" s="278"/>
      <c r="H208" s="279"/>
      <c r="I208" s="237"/>
    </row>
    <row r="209" spans="1:9" x14ac:dyDescent="0.2">
      <c r="A209" s="348"/>
      <c r="B209" s="290"/>
      <c r="C209" s="291"/>
      <c r="D209" s="291"/>
      <c r="E209" s="291"/>
      <c r="F209" s="291"/>
      <c r="G209" s="291"/>
      <c r="H209" s="292"/>
      <c r="I209" s="237"/>
    </row>
    <row r="210" spans="1:9" x14ac:dyDescent="0.2">
      <c r="A210" s="348"/>
      <c r="B210" s="287"/>
      <c r="C210" s="288"/>
      <c r="D210" s="288"/>
      <c r="E210" s="288"/>
      <c r="F210" s="288"/>
      <c r="G210" s="288"/>
      <c r="H210" s="289"/>
      <c r="I210" s="237"/>
    </row>
    <row r="211" spans="1:9" x14ac:dyDescent="0.2">
      <c r="A211" s="348"/>
      <c r="B211" s="277"/>
      <c r="C211" s="278"/>
      <c r="D211" s="278"/>
      <c r="E211" s="278"/>
      <c r="F211" s="278"/>
      <c r="G211" s="278"/>
      <c r="H211" s="279"/>
      <c r="I211" s="237"/>
    </row>
    <row r="212" spans="1:9" x14ac:dyDescent="0.2">
      <c r="A212" s="348"/>
      <c r="B212" s="277"/>
      <c r="C212" s="278"/>
      <c r="D212" s="278"/>
      <c r="E212" s="278"/>
      <c r="F212" s="278"/>
      <c r="G212" s="278"/>
      <c r="H212" s="279"/>
      <c r="I212" s="237"/>
    </row>
    <row r="213" spans="1:9" x14ac:dyDescent="0.2">
      <c r="A213" s="348"/>
      <c r="B213" s="277"/>
      <c r="C213" s="278"/>
      <c r="D213" s="278"/>
      <c r="E213" s="278"/>
      <c r="F213" s="278"/>
      <c r="G213" s="278"/>
      <c r="H213" s="279"/>
      <c r="I213" s="237"/>
    </row>
    <row r="214" spans="1:9" x14ac:dyDescent="0.2">
      <c r="A214" s="348"/>
      <c r="B214" s="281"/>
      <c r="C214" s="282"/>
      <c r="D214" s="282"/>
      <c r="E214" s="282"/>
      <c r="F214" s="282"/>
      <c r="G214" s="282"/>
      <c r="H214" s="283"/>
      <c r="I214" s="237"/>
    </row>
    <row r="215" spans="1:9" x14ac:dyDescent="0.2">
      <c r="A215" s="348"/>
      <c r="B215" s="284"/>
      <c r="C215" s="285"/>
      <c r="D215" s="285"/>
      <c r="E215" s="285"/>
      <c r="F215" s="285"/>
      <c r="G215" s="285"/>
      <c r="H215" s="286"/>
      <c r="I215" s="237"/>
    </row>
    <row r="216" spans="1:9" x14ac:dyDescent="0.2">
      <c r="A216" s="348"/>
      <c r="B216" s="277"/>
      <c r="C216" s="278"/>
      <c r="D216" s="278"/>
      <c r="E216" s="278"/>
      <c r="F216" s="278"/>
      <c r="G216" s="278"/>
      <c r="H216" s="279"/>
      <c r="I216" s="237"/>
    </row>
    <row r="217" spans="1:9" x14ac:dyDescent="0.2">
      <c r="A217" s="348"/>
      <c r="B217" s="277"/>
      <c r="C217" s="278"/>
      <c r="D217" s="278"/>
      <c r="E217" s="278"/>
      <c r="F217" s="278"/>
      <c r="G217" s="278"/>
      <c r="H217" s="279"/>
      <c r="I217" s="237"/>
    </row>
    <row r="218" spans="1:9" x14ac:dyDescent="0.2">
      <c r="A218" s="348"/>
      <c r="B218" s="277"/>
      <c r="C218" s="278"/>
      <c r="D218" s="278"/>
      <c r="E218" s="278"/>
      <c r="F218" s="278"/>
      <c r="G218" s="278"/>
      <c r="H218" s="279"/>
      <c r="I218" s="237"/>
    </row>
    <row r="219" spans="1:9" x14ac:dyDescent="0.2">
      <c r="A219" s="348"/>
      <c r="B219" s="290"/>
      <c r="C219" s="291"/>
      <c r="D219" s="291"/>
      <c r="E219" s="291"/>
      <c r="F219" s="291"/>
      <c r="G219" s="291"/>
      <c r="H219" s="292"/>
      <c r="I219" s="237"/>
    </row>
    <row r="220" spans="1:9" x14ac:dyDescent="0.2">
      <c r="A220" s="348"/>
      <c r="B220" s="287"/>
      <c r="C220" s="288"/>
      <c r="D220" s="288"/>
      <c r="E220" s="288"/>
      <c r="F220" s="288"/>
      <c r="G220" s="288"/>
      <c r="H220" s="289"/>
      <c r="I220" s="237"/>
    </row>
    <row r="221" spans="1:9" x14ac:dyDescent="0.2">
      <c r="A221" s="348"/>
      <c r="B221" s="277"/>
      <c r="C221" s="278"/>
      <c r="D221" s="278"/>
      <c r="E221" s="278"/>
      <c r="F221" s="278"/>
      <c r="G221" s="278"/>
      <c r="H221" s="279"/>
      <c r="I221" s="237"/>
    </row>
    <row r="222" spans="1:9" x14ac:dyDescent="0.2">
      <c r="A222" s="348"/>
      <c r="B222" s="277"/>
      <c r="C222" s="278"/>
      <c r="D222" s="278"/>
      <c r="E222" s="278"/>
      <c r="F222" s="278"/>
      <c r="G222" s="278"/>
      <c r="H222" s="279"/>
      <c r="I222" s="237"/>
    </row>
    <row r="223" spans="1:9" x14ac:dyDescent="0.2">
      <c r="A223" s="348"/>
      <c r="B223" s="277"/>
      <c r="C223" s="278"/>
      <c r="D223" s="278"/>
      <c r="E223" s="278"/>
      <c r="F223" s="278"/>
      <c r="G223" s="278"/>
      <c r="H223" s="279"/>
      <c r="I223" s="237"/>
    </row>
    <row r="224" spans="1:9" x14ac:dyDescent="0.2">
      <c r="A224" s="348"/>
      <c r="B224" s="281"/>
      <c r="C224" s="282"/>
      <c r="D224" s="282"/>
      <c r="E224" s="282"/>
      <c r="F224" s="282"/>
      <c r="G224" s="282"/>
      <c r="H224" s="283"/>
      <c r="I224" s="237"/>
    </row>
    <row r="225" spans="1:12" x14ac:dyDescent="0.2">
      <c r="A225" s="348"/>
      <c r="B225" s="284"/>
      <c r="C225" s="285"/>
      <c r="D225" s="285"/>
      <c r="E225" s="285"/>
      <c r="F225" s="285"/>
      <c r="G225" s="285"/>
      <c r="H225" s="286"/>
      <c r="I225" s="237"/>
    </row>
    <row r="226" spans="1:12" x14ac:dyDescent="0.2">
      <c r="A226" s="348"/>
      <c r="B226" s="277"/>
      <c r="C226" s="278"/>
      <c r="D226" s="278"/>
      <c r="E226" s="278"/>
      <c r="F226" s="278"/>
      <c r="G226" s="278"/>
      <c r="H226" s="279"/>
      <c r="I226" s="237"/>
    </row>
    <row r="227" spans="1:12" x14ac:dyDescent="0.2">
      <c r="A227" s="348"/>
      <c r="B227" s="277"/>
      <c r="C227" s="278"/>
      <c r="D227" s="278"/>
      <c r="E227" s="278"/>
      <c r="F227" s="278"/>
      <c r="G227" s="278"/>
      <c r="H227" s="279"/>
      <c r="I227" s="237"/>
    </row>
    <row r="228" spans="1:12" x14ac:dyDescent="0.2">
      <c r="A228" s="348"/>
      <c r="B228" s="277"/>
      <c r="C228" s="278"/>
      <c r="D228" s="278"/>
      <c r="E228" s="278"/>
      <c r="F228" s="278"/>
      <c r="G228" s="278"/>
      <c r="H228" s="279"/>
      <c r="I228" s="237"/>
    </row>
    <row r="229" spans="1:12" x14ac:dyDescent="0.2">
      <c r="A229" s="348"/>
      <c r="B229" s="290"/>
      <c r="C229" s="291"/>
      <c r="D229" s="291"/>
      <c r="E229" s="291"/>
      <c r="F229" s="291"/>
      <c r="G229" s="291"/>
      <c r="H229" s="292"/>
      <c r="I229" s="237"/>
    </row>
    <row r="230" spans="1:12" ht="13.5" thickBot="1" x14ac:dyDescent="0.25">
      <c r="A230" s="355"/>
      <c r="B230" s="294"/>
      <c r="C230" s="295"/>
      <c r="D230" s="295"/>
      <c r="E230" s="295"/>
      <c r="F230" s="295"/>
      <c r="G230" s="295"/>
      <c r="H230" s="296"/>
      <c r="I230" s="237"/>
    </row>
    <row r="231" spans="1:12" ht="14.25" thickTop="1" thickBot="1" x14ac:dyDescent="0.25">
      <c r="A231" s="355"/>
      <c r="B231" s="294"/>
      <c r="C231" s="295"/>
      <c r="D231" s="295"/>
      <c r="E231" s="295"/>
      <c r="F231" s="295"/>
      <c r="G231" s="295"/>
      <c r="H231" s="296"/>
      <c r="I231" s="237"/>
    </row>
    <row r="232" spans="1:12" ht="14.25" thickTop="1" thickBot="1" x14ac:dyDescent="0.25">
      <c r="A232" s="318"/>
      <c r="B232" s="247"/>
      <c r="C232" s="247"/>
      <c r="D232" s="247"/>
      <c r="E232" s="247"/>
      <c r="F232" s="247"/>
      <c r="G232" s="247"/>
      <c r="H232" s="247"/>
      <c r="I232" s="248"/>
    </row>
    <row r="233" spans="1:12" ht="14.25" thickTop="1" thickBot="1" x14ac:dyDescent="0.25"/>
    <row r="234" spans="1:12" ht="21.75" thickTop="1" thickBot="1" x14ac:dyDescent="0.25">
      <c r="A234" s="693" t="s">
        <v>143</v>
      </c>
      <c r="B234" s="700"/>
      <c r="C234" s="700"/>
      <c r="D234" s="700"/>
      <c r="E234" s="260"/>
      <c r="F234" s="260"/>
      <c r="G234" s="260"/>
      <c r="H234" s="260"/>
      <c r="I234" s="260"/>
      <c r="J234" s="260"/>
      <c r="K234" s="260"/>
      <c r="L234" s="261"/>
    </row>
    <row r="235" spans="1:12" ht="26.25" thickBot="1" x14ac:dyDescent="0.25">
      <c r="A235" s="345" t="s">
        <v>98</v>
      </c>
      <c r="B235" s="320" t="s">
        <v>99</v>
      </c>
      <c r="C235" s="328"/>
      <c r="D235" s="328"/>
      <c r="E235" s="231"/>
      <c r="F235" s="231"/>
      <c r="G235" s="231"/>
      <c r="H235" s="231"/>
      <c r="I235" s="231"/>
      <c r="J235" s="231"/>
      <c r="K235" s="231"/>
      <c r="L235" s="237"/>
    </row>
    <row r="236" spans="1:12" ht="16.5" thickTop="1" x14ac:dyDescent="0.25">
      <c r="A236" s="356"/>
      <c r="B236" s="321"/>
      <c r="C236" s="328"/>
      <c r="D236" s="357"/>
      <c r="E236" s="231"/>
      <c r="F236" s="231"/>
      <c r="G236" s="231"/>
      <c r="H236" s="231"/>
      <c r="I236" s="231"/>
      <c r="J236" s="231"/>
      <c r="K236" s="231"/>
      <c r="L236" s="237"/>
    </row>
    <row r="237" spans="1:12" x14ac:dyDescent="0.2">
      <c r="A237" s="358"/>
      <c r="B237" s="323"/>
      <c r="C237" s="328"/>
      <c r="D237" s="328"/>
      <c r="E237" s="231"/>
      <c r="F237" s="231"/>
      <c r="G237" s="231"/>
      <c r="H237" s="231"/>
      <c r="I237" s="231"/>
      <c r="J237" s="231"/>
      <c r="K237" s="231"/>
      <c r="L237" s="237"/>
    </row>
    <row r="238" spans="1:12" x14ac:dyDescent="0.2">
      <c r="A238" s="356"/>
      <c r="B238" s="321"/>
      <c r="C238" s="328"/>
      <c r="D238" s="328"/>
      <c r="E238" s="231"/>
      <c r="F238" s="231"/>
      <c r="G238" s="231"/>
      <c r="H238" s="231"/>
      <c r="I238" s="231"/>
      <c r="J238" s="231"/>
      <c r="K238" s="231"/>
      <c r="L238" s="237"/>
    </row>
    <row r="239" spans="1:12" x14ac:dyDescent="0.2">
      <c r="A239" s="356"/>
      <c r="B239" s="321"/>
      <c r="C239" s="328"/>
      <c r="D239" s="328"/>
      <c r="E239" s="231"/>
      <c r="F239" s="231"/>
      <c r="G239" s="231"/>
      <c r="H239" s="231"/>
      <c r="I239" s="231"/>
      <c r="J239" s="231"/>
      <c r="K239" s="231"/>
      <c r="L239" s="237"/>
    </row>
    <row r="240" spans="1:12" x14ac:dyDescent="0.2">
      <c r="A240" s="356"/>
      <c r="B240" s="321"/>
      <c r="C240" s="328"/>
      <c r="D240" s="328"/>
      <c r="E240" s="231"/>
      <c r="F240" s="231"/>
      <c r="G240" s="231"/>
      <c r="H240" s="231"/>
      <c r="I240" s="231"/>
      <c r="J240" s="231"/>
      <c r="K240" s="231"/>
      <c r="L240" s="237"/>
    </row>
    <row r="241" spans="1:12" x14ac:dyDescent="0.2">
      <c r="A241" s="356"/>
      <c r="B241" s="321"/>
      <c r="C241" s="328"/>
      <c r="D241" s="328"/>
      <c r="E241" s="231"/>
      <c r="F241" s="231"/>
      <c r="G241" s="231"/>
      <c r="H241" s="231"/>
      <c r="I241" s="231"/>
      <c r="J241" s="231"/>
      <c r="K241" s="231"/>
      <c r="L241" s="237"/>
    </row>
    <row r="242" spans="1:12" x14ac:dyDescent="0.2">
      <c r="A242" s="358"/>
      <c r="B242" s="323"/>
      <c r="C242" s="328"/>
      <c r="D242" s="328"/>
      <c r="E242" s="231"/>
      <c r="F242" s="231"/>
      <c r="G242" s="231"/>
      <c r="H242" s="231"/>
      <c r="I242" s="231"/>
      <c r="J242" s="231"/>
      <c r="K242" s="231"/>
      <c r="L242" s="237"/>
    </row>
    <row r="243" spans="1:12" x14ac:dyDescent="0.2">
      <c r="A243" s="356"/>
      <c r="B243" s="321"/>
      <c r="C243" s="328"/>
      <c r="D243" s="328"/>
      <c r="E243" s="231"/>
      <c r="F243" s="231"/>
      <c r="G243" s="231"/>
      <c r="H243" s="231"/>
      <c r="I243" s="231"/>
      <c r="J243" s="231"/>
      <c r="K243" s="231"/>
      <c r="L243" s="237"/>
    </row>
    <row r="244" spans="1:12" x14ac:dyDescent="0.2">
      <c r="A244" s="356"/>
      <c r="B244" s="321"/>
      <c r="C244" s="328"/>
      <c r="D244" s="328"/>
      <c r="E244" s="231"/>
      <c r="F244" s="231"/>
      <c r="G244" s="231"/>
      <c r="H244" s="231"/>
      <c r="I244" s="231"/>
      <c r="J244" s="231"/>
      <c r="K244" s="231"/>
      <c r="L244" s="237"/>
    </row>
    <row r="245" spans="1:12" x14ac:dyDescent="0.2">
      <c r="A245" s="356"/>
      <c r="B245" s="321"/>
      <c r="C245" s="328"/>
      <c r="D245" s="328"/>
      <c r="E245" s="231"/>
      <c r="F245" s="231"/>
      <c r="G245" s="231"/>
      <c r="H245" s="231"/>
      <c r="I245" s="231"/>
      <c r="J245" s="231"/>
      <c r="K245" s="231"/>
      <c r="L245" s="237"/>
    </row>
    <row r="246" spans="1:12" x14ac:dyDescent="0.2">
      <c r="A246" s="356"/>
      <c r="B246" s="321"/>
      <c r="C246" s="328"/>
      <c r="D246" s="328"/>
      <c r="E246" s="231"/>
      <c r="F246" s="231"/>
      <c r="G246" s="231"/>
      <c r="H246" s="231"/>
      <c r="I246" s="231"/>
      <c r="J246" s="231"/>
      <c r="K246" s="231"/>
      <c r="L246" s="237"/>
    </row>
    <row r="247" spans="1:12" x14ac:dyDescent="0.2">
      <c r="A247" s="358"/>
      <c r="B247" s="323"/>
      <c r="C247" s="328"/>
      <c r="D247" s="328"/>
      <c r="E247" s="231"/>
      <c r="F247" s="231"/>
      <c r="G247" s="231"/>
      <c r="H247" s="231"/>
      <c r="I247" s="231"/>
      <c r="J247" s="231"/>
      <c r="K247" s="231"/>
      <c r="L247" s="237"/>
    </row>
    <row r="248" spans="1:12" x14ac:dyDescent="0.2">
      <c r="A248" s="356"/>
      <c r="B248" s="321"/>
      <c r="C248" s="328"/>
      <c r="D248" s="328"/>
      <c r="E248" s="231"/>
      <c r="F248" s="231"/>
      <c r="G248" s="231"/>
      <c r="H248" s="231"/>
      <c r="I248" s="231"/>
      <c r="J248" s="231"/>
      <c r="K248" s="231"/>
      <c r="L248" s="237"/>
    </row>
    <row r="249" spans="1:12" x14ac:dyDescent="0.2">
      <c r="A249" s="356"/>
      <c r="B249" s="321"/>
      <c r="C249" s="328"/>
      <c r="D249" s="328"/>
      <c r="E249" s="231"/>
      <c r="F249" s="231"/>
      <c r="G249" s="231"/>
      <c r="H249" s="231"/>
      <c r="I249" s="231"/>
      <c r="J249" s="231"/>
      <c r="K249" s="231"/>
      <c r="L249" s="237"/>
    </row>
    <row r="250" spans="1:12" x14ac:dyDescent="0.2">
      <c r="A250" s="356"/>
      <c r="B250" s="321"/>
      <c r="C250" s="328"/>
      <c r="D250" s="328"/>
      <c r="E250" s="231"/>
      <c r="F250" s="231"/>
      <c r="G250" s="231"/>
      <c r="H250" s="231"/>
      <c r="I250" s="231"/>
      <c r="J250" s="231"/>
      <c r="K250" s="231"/>
      <c r="L250" s="237"/>
    </row>
    <row r="251" spans="1:12" x14ac:dyDescent="0.2">
      <c r="A251" s="356"/>
      <c r="B251" s="321"/>
      <c r="C251" s="328"/>
      <c r="D251" s="328"/>
      <c r="E251" s="231"/>
      <c r="F251" s="231"/>
      <c r="G251" s="231"/>
      <c r="H251" s="231"/>
      <c r="I251" s="231"/>
      <c r="J251" s="231"/>
      <c r="K251" s="231"/>
      <c r="L251" s="237"/>
    </row>
    <row r="252" spans="1:12" x14ac:dyDescent="0.2">
      <c r="A252" s="358"/>
      <c r="B252" s="323"/>
      <c r="C252" s="328"/>
      <c r="D252" s="328"/>
      <c r="E252" s="231"/>
      <c r="F252" s="231"/>
      <c r="G252" s="231"/>
      <c r="H252" s="231"/>
      <c r="I252" s="231"/>
      <c r="J252" s="231"/>
      <c r="K252" s="231"/>
      <c r="L252" s="237"/>
    </row>
    <row r="253" spans="1:12" x14ac:dyDescent="0.2">
      <c r="A253" s="356"/>
      <c r="B253" s="321"/>
      <c r="C253" s="328"/>
      <c r="D253" s="328"/>
      <c r="E253" s="231"/>
      <c r="F253" s="231"/>
      <c r="G253" s="231"/>
      <c r="H253" s="231"/>
      <c r="I253" s="231"/>
      <c r="J253" s="231"/>
      <c r="K253" s="231"/>
      <c r="L253" s="237"/>
    </row>
    <row r="254" spans="1:12" x14ac:dyDescent="0.2">
      <c r="A254" s="356"/>
      <c r="B254" s="321"/>
      <c r="C254" s="328"/>
      <c r="D254" s="328"/>
      <c r="E254" s="231"/>
      <c r="F254" s="231"/>
      <c r="G254" s="231"/>
      <c r="H254" s="231"/>
      <c r="I254" s="231"/>
      <c r="J254" s="231"/>
      <c r="K254" s="231"/>
      <c r="L254" s="237"/>
    </row>
    <row r="255" spans="1:12" x14ac:dyDescent="0.2">
      <c r="A255" s="356"/>
      <c r="B255" s="321"/>
      <c r="C255" s="328"/>
      <c r="D255" s="328"/>
      <c r="E255" s="231"/>
      <c r="F255" s="231"/>
      <c r="G255" s="231"/>
      <c r="H255" s="231"/>
      <c r="I255" s="231"/>
      <c r="J255" s="231"/>
      <c r="K255" s="231"/>
      <c r="L255" s="237"/>
    </row>
    <row r="256" spans="1:12" x14ac:dyDescent="0.2">
      <c r="A256" s="356"/>
      <c r="B256" s="321"/>
      <c r="C256" s="328"/>
      <c r="D256" s="328"/>
      <c r="E256" s="231"/>
      <c r="F256" s="231"/>
      <c r="G256" s="231"/>
      <c r="H256" s="231"/>
      <c r="I256" s="231"/>
      <c r="J256" s="231"/>
      <c r="K256" s="231"/>
      <c r="L256" s="237"/>
    </row>
    <row r="257" spans="1:12" x14ac:dyDescent="0.2">
      <c r="A257" s="358"/>
      <c r="B257" s="323"/>
      <c r="C257" s="328"/>
      <c r="D257" s="328"/>
      <c r="E257" s="231"/>
      <c r="F257" s="231"/>
      <c r="G257" s="231"/>
      <c r="H257" s="231"/>
      <c r="I257" s="231"/>
      <c r="J257" s="231"/>
      <c r="K257" s="231"/>
      <c r="L257" s="237"/>
    </row>
    <row r="258" spans="1:12" x14ac:dyDescent="0.2">
      <c r="A258" s="356"/>
      <c r="B258" s="321"/>
      <c r="C258" s="328"/>
      <c r="D258" s="328"/>
      <c r="E258" s="231"/>
      <c r="F258" s="231"/>
      <c r="G258" s="231"/>
      <c r="H258" s="231"/>
      <c r="I258" s="231"/>
      <c r="J258" s="231"/>
      <c r="K258" s="231"/>
      <c r="L258" s="237"/>
    </row>
    <row r="259" spans="1:12" x14ac:dyDescent="0.2">
      <c r="A259" s="356"/>
      <c r="B259" s="321"/>
      <c r="C259" s="328"/>
      <c r="D259" s="328"/>
      <c r="E259" s="231"/>
      <c r="F259" s="231"/>
      <c r="G259" s="231"/>
      <c r="H259" s="231"/>
      <c r="I259" s="231"/>
      <c r="J259" s="231"/>
      <c r="K259" s="231"/>
      <c r="L259" s="237"/>
    </row>
    <row r="260" spans="1:12" x14ac:dyDescent="0.2">
      <c r="A260" s="356"/>
      <c r="B260" s="321"/>
      <c r="C260" s="328"/>
      <c r="D260" s="328"/>
      <c r="E260" s="231"/>
      <c r="F260" s="231"/>
      <c r="G260" s="231"/>
      <c r="H260" s="231"/>
      <c r="I260" s="231"/>
      <c r="J260" s="231"/>
      <c r="K260" s="231"/>
      <c r="L260" s="237"/>
    </row>
    <row r="261" spans="1:12" x14ac:dyDescent="0.2">
      <c r="A261" s="356"/>
      <c r="B261" s="321"/>
      <c r="C261" s="328"/>
      <c r="D261" s="328"/>
      <c r="E261" s="231"/>
      <c r="F261" s="231"/>
      <c r="G261" s="231"/>
      <c r="H261" s="231"/>
      <c r="I261" s="231"/>
      <c r="J261" s="231"/>
      <c r="K261" s="231"/>
      <c r="L261" s="237"/>
    </row>
    <row r="262" spans="1:12" x14ac:dyDescent="0.2">
      <c r="A262" s="358"/>
      <c r="B262" s="323"/>
      <c r="C262" s="328"/>
      <c r="D262" s="328"/>
      <c r="E262" s="231"/>
      <c r="F262" s="231"/>
      <c r="G262" s="231"/>
      <c r="H262" s="231"/>
      <c r="I262" s="231"/>
      <c r="J262" s="231"/>
      <c r="K262" s="231"/>
      <c r="L262" s="237"/>
    </row>
    <row r="263" spans="1:12" x14ac:dyDescent="0.2">
      <c r="A263" s="356"/>
      <c r="B263" s="321"/>
      <c r="C263" s="328"/>
      <c r="D263" s="328"/>
      <c r="E263" s="231"/>
      <c r="F263" s="231"/>
      <c r="G263" s="231"/>
      <c r="H263" s="231"/>
      <c r="I263" s="231"/>
      <c r="J263" s="231"/>
      <c r="K263" s="231"/>
      <c r="L263" s="237"/>
    </row>
    <row r="264" spans="1:12" x14ac:dyDescent="0.2">
      <c r="A264" s="356"/>
      <c r="B264" s="321"/>
      <c r="C264" s="328"/>
      <c r="D264" s="328"/>
      <c r="E264" s="231"/>
      <c r="F264" s="231"/>
      <c r="G264" s="231"/>
      <c r="H264" s="231"/>
      <c r="I264" s="231"/>
      <c r="J264" s="231"/>
      <c r="K264" s="231"/>
      <c r="L264" s="237"/>
    </row>
    <row r="265" spans="1:12" x14ac:dyDescent="0.2">
      <c r="A265" s="356"/>
      <c r="B265" s="321"/>
      <c r="C265" s="328"/>
      <c r="D265" s="328"/>
      <c r="E265" s="231"/>
      <c r="F265" s="231"/>
      <c r="G265" s="231"/>
      <c r="H265" s="231"/>
      <c r="I265" s="231"/>
      <c r="J265" s="231"/>
      <c r="K265" s="231"/>
      <c r="L265" s="237"/>
    </row>
    <row r="266" spans="1:12" x14ac:dyDescent="0.2">
      <c r="A266" s="356"/>
      <c r="B266" s="321"/>
      <c r="C266" s="328"/>
      <c r="D266" s="328"/>
      <c r="E266" s="231"/>
      <c r="F266" s="231"/>
      <c r="G266" s="231"/>
      <c r="H266" s="231"/>
      <c r="I266" s="231"/>
      <c r="J266" s="231"/>
      <c r="K266" s="231"/>
      <c r="L266" s="237"/>
    </row>
    <row r="267" spans="1:12" x14ac:dyDescent="0.2">
      <c r="A267" s="358"/>
      <c r="B267" s="323"/>
      <c r="C267" s="328"/>
      <c r="D267" s="328"/>
      <c r="E267" s="231"/>
      <c r="F267" s="231"/>
      <c r="G267" s="231"/>
      <c r="H267" s="231"/>
      <c r="I267" s="231"/>
      <c r="J267" s="231"/>
      <c r="K267" s="231"/>
      <c r="L267" s="237"/>
    </row>
    <row r="268" spans="1:12" x14ac:dyDescent="0.2">
      <c r="A268" s="356"/>
      <c r="B268" s="321"/>
      <c r="C268" s="328"/>
      <c r="D268" s="328"/>
      <c r="E268" s="231"/>
      <c r="F268" s="231"/>
      <c r="G268" s="231"/>
      <c r="H268" s="231"/>
      <c r="I268" s="231"/>
      <c r="J268" s="231"/>
      <c r="K268" s="231"/>
      <c r="L268" s="237"/>
    </row>
    <row r="269" spans="1:12" x14ac:dyDescent="0.2">
      <c r="A269" s="356"/>
      <c r="B269" s="321"/>
      <c r="C269" s="328"/>
      <c r="D269" s="328"/>
      <c r="E269" s="231"/>
      <c r="F269" s="231"/>
      <c r="G269" s="231"/>
      <c r="H269" s="231"/>
      <c r="I269" s="231"/>
      <c r="J269" s="231"/>
      <c r="K269" s="231"/>
      <c r="L269" s="237"/>
    </row>
    <row r="270" spans="1:12" x14ac:dyDescent="0.2">
      <c r="A270" s="356"/>
      <c r="B270" s="321"/>
      <c r="C270" s="328"/>
      <c r="D270" s="328"/>
      <c r="E270" s="231"/>
      <c r="F270" s="231"/>
      <c r="G270" s="231"/>
      <c r="H270" s="231"/>
      <c r="I270" s="231"/>
      <c r="J270" s="231"/>
      <c r="K270" s="231"/>
      <c r="L270" s="237"/>
    </row>
    <row r="271" spans="1:12" x14ac:dyDescent="0.2">
      <c r="A271" s="356"/>
      <c r="B271" s="321"/>
      <c r="C271" s="328"/>
      <c r="D271" s="328"/>
      <c r="E271" s="231"/>
      <c r="F271" s="231"/>
      <c r="G271" s="231"/>
      <c r="H271" s="231"/>
      <c r="I271" s="231"/>
      <c r="J271" s="231"/>
      <c r="K271" s="231"/>
      <c r="L271" s="237"/>
    </row>
    <row r="272" spans="1:12" x14ac:dyDescent="0.2">
      <c r="A272" s="359"/>
      <c r="B272" s="325"/>
      <c r="C272" s="328"/>
      <c r="D272" s="328"/>
      <c r="E272" s="231"/>
      <c r="F272" s="231"/>
      <c r="G272" s="231"/>
      <c r="H272" s="231"/>
      <c r="I272" s="231"/>
      <c r="J272" s="231"/>
      <c r="K272" s="231"/>
      <c r="L272" s="237"/>
    </row>
    <row r="273" spans="1:12" x14ac:dyDescent="0.2">
      <c r="A273" s="359"/>
      <c r="B273" s="325"/>
      <c r="C273" s="328"/>
      <c r="D273" s="328"/>
      <c r="E273" s="231"/>
      <c r="F273" s="231"/>
      <c r="G273" s="231"/>
      <c r="H273" s="231"/>
      <c r="I273" s="231"/>
      <c r="J273" s="231"/>
      <c r="K273" s="231"/>
      <c r="L273" s="237"/>
    </row>
    <row r="274" spans="1:12" x14ac:dyDescent="0.2">
      <c r="A274" s="359"/>
      <c r="B274" s="325"/>
      <c r="C274" s="328"/>
      <c r="D274" s="328"/>
      <c r="E274" s="231"/>
      <c r="F274" s="231"/>
      <c r="G274" s="231"/>
      <c r="H274" s="231"/>
      <c r="I274" s="231"/>
      <c r="J274" s="231"/>
      <c r="K274" s="231"/>
      <c r="L274" s="237"/>
    </row>
    <row r="275" spans="1:12" x14ac:dyDescent="0.2">
      <c r="A275" s="359"/>
      <c r="B275" s="325"/>
      <c r="C275" s="328"/>
      <c r="D275" s="328"/>
      <c r="E275" s="231"/>
      <c r="F275" s="231"/>
      <c r="G275" s="231"/>
      <c r="H275" s="231"/>
      <c r="I275" s="231"/>
      <c r="J275" s="231"/>
      <c r="K275" s="231"/>
      <c r="L275" s="237"/>
    </row>
    <row r="276" spans="1:12" x14ac:dyDescent="0.2">
      <c r="A276" s="359"/>
      <c r="B276" s="325"/>
      <c r="C276" s="328"/>
      <c r="D276" s="328"/>
      <c r="E276" s="231"/>
      <c r="F276" s="231"/>
      <c r="G276" s="231"/>
      <c r="H276" s="231"/>
      <c r="I276" s="231"/>
      <c r="J276" s="231"/>
      <c r="K276" s="231"/>
      <c r="L276" s="237"/>
    </row>
    <row r="277" spans="1:12" x14ac:dyDescent="0.2">
      <c r="A277" s="359"/>
      <c r="B277" s="325"/>
      <c r="C277" s="328"/>
      <c r="D277" s="328"/>
      <c r="E277" s="231"/>
      <c r="F277" s="231"/>
      <c r="G277" s="231"/>
      <c r="H277" s="231"/>
      <c r="I277" s="231"/>
      <c r="J277" s="231"/>
      <c r="K277" s="231"/>
      <c r="L277" s="237"/>
    </row>
    <row r="278" spans="1:12" x14ac:dyDescent="0.2">
      <c r="A278" s="359"/>
      <c r="B278" s="325"/>
      <c r="C278" s="328"/>
      <c r="D278" s="328"/>
      <c r="E278" s="231"/>
      <c r="F278" s="231"/>
      <c r="G278" s="231"/>
      <c r="H278" s="231"/>
      <c r="I278" s="231"/>
      <c r="J278" s="231"/>
      <c r="K278" s="231"/>
      <c r="L278" s="237"/>
    </row>
    <row r="279" spans="1:12" x14ac:dyDescent="0.2">
      <c r="A279" s="359"/>
      <c r="B279" s="325"/>
      <c r="C279" s="328"/>
      <c r="D279" s="328"/>
      <c r="E279" s="231"/>
      <c r="F279" s="231"/>
      <c r="G279" s="231"/>
      <c r="H279" s="231"/>
      <c r="I279" s="231"/>
      <c r="J279" s="231"/>
      <c r="K279" s="231"/>
      <c r="L279" s="237"/>
    </row>
    <row r="280" spans="1:12" x14ac:dyDescent="0.2">
      <c r="A280" s="359"/>
      <c r="B280" s="325"/>
      <c r="C280" s="328"/>
      <c r="D280" s="328"/>
      <c r="E280" s="231"/>
      <c r="F280" s="231"/>
      <c r="G280" s="231"/>
      <c r="H280" s="231"/>
      <c r="I280" s="231"/>
      <c r="J280" s="231"/>
      <c r="K280" s="231"/>
      <c r="L280" s="237"/>
    </row>
    <row r="281" spans="1:12" x14ac:dyDescent="0.2">
      <c r="A281" s="359"/>
      <c r="B281" s="325"/>
      <c r="C281" s="328"/>
      <c r="D281" s="328"/>
      <c r="E281" s="231"/>
      <c r="F281" s="231"/>
      <c r="G281" s="231"/>
      <c r="H281" s="231"/>
      <c r="I281" s="231"/>
      <c r="J281" s="231"/>
      <c r="K281" s="231"/>
      <c r="L281" s="237"/>
    </row>
    <row r="282" spans="1:12" x14ac:dyDescent="0.2">
      <c r="A282" s="359"/>
      <c r="B282" s="325"/>
      <c r="C282" s="328"/>
      <c r="D282" s="328"/>
      <c r="E282" s="231"/>
      <c r="F282" s="231"/>
      <c r="G282" s="231"/>
      <c r="H282" s="231"/>
      <c r="I282" s="231"/>
      <c r="J282" s="231"/>
      <c r="K282" s="231"/>
      <c r="L282" s="237"/>
    </row>
    <row r="283" spans="1:12" x14ac:dyDescent="0.2">
      <c r="A283" s="359"/>
      <c r="B283" s="325"/>
      <c r="C283" s="328"/>
      <c r="D283" s="328"/>
      <c r="E283" s="231"/>
      <c r="F283" s="231"/>
      <c r="G283" s="231"/>
      <c r="H283" s="231"/>
      <c r="I283" s="231"/>
      <c r="J283" s="231"/>
      <c r="K283" s="231"/>
      <c r="L283" s="237"/>
    </row>
    <row r="284" spans="1:12" x14ac:dyDescent="0.2">
      <c r="A284" s="359"/>
      <c r="B284" s="325"/>
      <c r="C284" s="328"/>
      <c r="D284" s="328"/>
      <c r="E284" s="231"/>
      <c r="F284" s="231"/>
      <c r="G284" s="231"/>
      <c r="H284" s="231"/>
      <c r="I284" s="231"/>
      <c r="J284" s="231"/>
      <c r="K284" s="231"/>
      <c r="L284" s="237"/>
    </row>
    <row r="285" spans="1:12" x14ac:dyDescent="0.2">
      <c r="A285" s="359"/>
      <c r="B285" s="325"/>
      <c r="C285" s="328"/>
      <c r="D285" s="328"/>
      <c r="E285" s="231"/>
      <c r="F285" s="231"/>
      <c r="G285" s="231"/>
      <c r="H285" s="231"/>
      <c r="I285" s="231"/>
      <c r="J285" s="231"/>
      <c r="K285" s="231"/>
      <c r="L285" s="237"/>
    </row>
    <row r="286" spans="1:12" x14ac:dyDescent="0.2">
      <c r="A286" s="359"/>
      <c r="B286" s="325"/>
      <c r="C286" s="328"/>
      <c r="D286" s="328"/>
      <c r="E286" s="231"/>
      <c r="F286" s="231"/>
      <c r="G286" s="231"/>
      <c r="H286" s="231"/>
      <c r="I286" s="231"/>
      <c r="J286" s="231"/>
      <c r="K286" s="231"/>
      <c r="L286" s="237"/>
    </row>
    <row r="287" spans="1:12" x14ac:dyDescent="0.2">
      <c r="A287" s="359"/>
      <c r="B287" s="325"/>
      <c r="C287" s="328"/>
      <c r="D287" s="328"/>
      <c r="E287" s="231"/>
      <c r="F287" s="231"/>
      <c r="G287" s="231"/>
      <c r="H287" s="231"/>
      <c r="I287" s="231"/>
      <c r="J287" s="231"/>
      <c r="K287" s="231"/>
      <c r="L287" s="237"/>
    </row>
    <row r="288" spans="1:12" x14ac:dyDescent="0.2">
      <c r="A288" s="359"/>
      <c r="B288" s="325"/>
      <c r="C288" s="328"/>
      <c r="D288" s="328"/>
      <c r="E288" s="231"/>
      <c r="F288" s="231"/>
      <c r="G288" s="231"/>
      <c r="H288" s="231"/>
      <c r="I288" s="231"/>
      <c r="J288" s="231"/>
      <c r="K288" s="231"/>
      <c r="L288" s="237"/>
    </row>
    <row r="289" spans="1:40" x14ac:dyDescent="0.2">
      <c r="A289" s="359"/>
      <c r="B289" s="325"/>
      <c r="C289" s="328"/>
      <c r="D289" s="328"/>
      <c r="E289" s="231"/>
      <c r="F289" s="231"/>
      <c r="G289" s="231"/>
      <c r="H289" s="231"/>
      <c r="I289" s="231"/>
      <c r="J289" s="231"/>
      <c r="K289" s="231"/>
      <c r="L289" s="237"/>
    </row>
    <row r="290" spans="1:40" x14ac:dyDescent="0.2">
      <c r="A290" s="359"/>
      <c r="B290" s="325"/>
      <c r="C290" s="328"/>
      <c r="D290" s="328"/>
      <c r="E290" s="231"/>
      <c r="F290" s="231"/>
      <c r="G290" s="231"/>
      <c r="H290" s="231"/>
      <c r="I290" s="231"/>
      <c r="J290" s="231"/>
      <c r="K290" s="231"/>
      <c r="L290" s="237"/>
    </row>
    <row r="291" spans="1:40" ht="13.5" thickBot="1" x14ac:dyDescent="0.25">
      <c r="A291" s="360"/>
      <c r="B291" s="327"/>
      <c r="C291" s="328"/>
      <c r="D291" s="328"/>
      <c r="E291" s="231"/>
      <c r="F291" s="231"/>
      <c r="G291" s="231"/>
      <c r="H291" s="231"/>
      <c r="I291" s="231"/>
      <c r="J291" s="231"/>
      <c r="K291" s="231"/>
      <c r="L291" s="237"/>
    </row>
    <row r="292" spans="1:40" ht="13.5" thickBot="1" x14ac:dyDescent="0.25">
      <c r="A292" s="360"/>
      <c r="B292" s="327"/>
      <c r="C292" s="328"/>
      <c r="D292" s="328"/>
      <c r="E292" s="231"/>
      <c r="F292" s="231"/>
      <c r="G292" s="231"/>
      <c r="H292" s="231"/>
      <c r="I292" s="231"/>
      <c r="J292" s="231"/>
      <c r="K292" s="231"/>
      <c r="L292" s="237"/>
    </row>
    <row r="293" spans="1:40" ht="13.5" thickBot="1" x14ac:dyDescent="0.25">
      <c r="A293" s="312"/>
      <c r="B293" s="313"/>
      <c r="C293" s="313"/>
      <c r="D293" s="313"/>
      <c r="E293" s="247"/>
      <c r="F293" s="247"/>
      <c r="G293" s="247"/>
      <c r="H293" s="247"/>
      <c r="I293" s="247"/>
      <c r="J293" s="247"/>
      <c r="K293" s="247"/>
      <c r="L293" s="248"/>
    </row>
    <row r="294" spans="1:40" ht="14.25" thickTop="1" thickBot="1" x14ac:dyDescent="0.25"/>
    <row r="295" spans="1:40" ht="21" thickTop="1" x14ac:dyDescent="0.2">
      <c r="A295" s="693" t="s">
        <v>91</v>
      </c>
      <c r="B295" s="700"/>
      <c r="C295" s="700"/>
      <c r="D295" s="700"/>
      <c r="E295" s="260"/>
      <c r="F295" s="260"/>
      <c r="G295" s="260"/>
      <c r="H295" s="260"/>
      <c r="I295" s="260"/>
      <c r="J295" s="260"/>
      <c r="K295" s="260"/>
      <c r="L295" s="260"/>
      <c r="M295" s="260"/>
      <c r="N295" s="260"/>
      <c r="O295" s="260"/>
      <c r="P295" s="260"/>
      <c r="Q295" s="260"/>
      <c r="R295" s="260"/>
      <c r="S295" s="260"/>
      <c r="T295" s="260"/>
      <c r="U295" s="260"/>
      <c r="V295" s="260"/>
      <c r="W295" s="260"/>
      <c r="X295" s="260"/>
      <c r="Y295" s="260"/>
      <c r="Z295" s="260"/>
      <c r="AA295" s="260"/>
      <c r="AB295" s="260"/>
      <c r="AC295" s="260"/>
      <c r="AD295" s="260"/>
      <c r="AE295" s="260"/>
      <c r="AF295" s="260"/>
      <c r="AG295" s="260"/>
      <c r="AH295" s="260"/>
      <c r="AI295" s="260"/>
      <c r="AJ295" s="260"/>
      <c r="AK295" s="260"/>
      <c r="AL295" s="260"/>
      <c r="AM295" s="260"/>
      <c r="AN295" s="261"/>
    </row>
    <row r="296" spans="1:40" ht="13.5" thickBot="1" x14ac:dyDescent="0.25">
      <c r="A296" s="328"/>
      <c r="B296" s="696" t="s">
        <v>28</v>
      </c>
      <c r="C296" s="697"/>
      <c r="D296" s="697"/>
      <c r="E296" s="697"/>
      <c r="F296" s="697"/>
      <c r="G296" s="697"/>
      <c r="H296" s="697"/>
      <c r="I296" s="697"/>
      <c r="J296" s="697"/>
      <c r="K296" s="328"/>
      <c r="L296" s="328"/>
      <c r="M296" s="328"/>
      <c r="N296" s="328"/>
      <c r="O296" s="328"/>
      <c r="P296" s="328"/>
      <c r="Q296" s="328"/>
      <c r="R296" s="328"/>
      <c r="S296" s="328"/>
      <c r="T296" s="328"/>
      <c r="U296" s="328"/>
      <c r="V296" s="328"/>
      <c r="W296" s="328"/>
      <c r="X296" s="328"/>
      <c r="Y296" s="328"/>
      <c r="Z296" s="328"/>
      <c r="AA296" s="328"/>
      <c r="AB296" s="328"/>
      <c r="AC296" s="328"/>
      <c r="AD296" s="328"/>
      <c r="AE296" s="328"/>
      <c r="AF296" s="328"/>
      <c r="AG296" s="328"/>
      <c r="AH296" s="328"/>
      <c r="AI296" s="328"/>
      <c r="AJ296" s="328"/>
      <c r="AK296" s="328"/>
      <c r="AL296" s="328"/>
      <c r="AM296" s="328"/>
      <c r="AN296" s="237"/>
    </row>
    <row r="297" spans="1:40" ht="14.25" thickTop="1" thickBot="1" x14ac:dyDescent="0.25">
      <c r="A297" s="351" t="s">
        <v>29</v>
      </c>
      <c r="B297" s="301"/>
      <c r="C297" s="301"/>
      <c r="D297" s="301"/>
      <c r="E297" s="301"/>
      <c r="F297" s="301"/>
      <c r="G297" s="301"/>
      <c r="H297" s="301"/>
      <c r="I297" s="301"/>
      <c r="J297" s="302"/>
      <c r="K297" s="301"/>
      <c r="L297" s="301"/>
      <c r="M297" s="301"/>
      <c r="N297" s="301"/>
      <c r="O297" s="301"/>
      <c r="P297" s="301"/>
      <c r="Q297" s="301"/>
      <c r="R297" s="301"/>
      <c r="S297" s="302"/>
      <c r="T297" s="301"/>
      <c r="U297" s="301"/>
      <c r="V297" s="301"/>
      <c r="W297" s="301"/>
      <c r="X297" s="301"/>
      <c r="Y297" s="301"/>
      <c r="Z297" s="301"/>
      <c r="AA297" s="301"/>
      <c r="AB297" s="302"/>
      <c r="AC297" s="301"/>
      <c r="AD297" s="301"/>
      <c r="AE297" s="301"/>
      <c r="AF297" s="301"/>
      <c r="AG297" s="301"/>
      <c r="AH297" s="301"/>
      <c r="AI297" s="301"/>
      <c r="AJ297" s="301"/>
      <c r="AK297" s="301"/>
      <c r="AL297" s="302"/>
      <c r="AM297" s="302">
        <f>AL297+0.001</f>
        <v>1E-3</v>
      </c>
      <c r="AN297" s="237"/>
    </row>
    <row r="298" spans="1:40" ht="13.5" thickTop="1" x14ac:dyDescent="0.2">
      <c r="A298" s="352"/>
      <c r="B298" s="304"/>
      <c r="C298" s="304"/>
      <c r="D298" s="304"/>
      <c r="E298" s="304"/>
      <c r="F298" s="304"/>
      <c r="G298" s="304"/>
      <c r="H298" s="304"/>
      <c r="I298" s="304"/>
      <c r="J298" s="305"/>
      <c r="K298" s="304"/>
      <c r="L298" s="304"/>
      <c r="M298" s="304"/>
      <c r="N298" s="304"/>
      <c r="O298" s="304"/>
      <c r="P298" s="304"/>
      <c r="Q298" s="304"/>
      <c r="R298" s="304"/>
      <c r="S298" s="305"/>
      <c r="T298" s="304"/>
      <c r="U298" s="304"/>
      <c r="V298" s="304"/>
      <c r="W298" s="304"/>
      <c r="X298" s="304"/>
      <c r="Y298" s="304"/>
      <c r="Z298" s="304"/>
      <c r="AA298" s="304"/>
      <c r="AB298" s="305"/>
      <c r="AC298" s="304"/>
      <c r="AD298" s="304"/>
      <c r="AE298" s="304"/>
      <c r="AF298" s="304"/>
      <c r="AG298" s="304"/>
      <c r="AH298" s="304"/>
      <c r="AI298" s="304"/>
      <c r="AJ298" s="304"/>
      <c r="AK298" s="304"/>
      <c r="AL298" s="305"/>
      <c r="AM298" s="305">
        <f>AL298</f>
        <v>0</v>
      </c>
      <c r="AN298" s="237"/>
    </row>
    <row r="299" spans="1:40" x14ac:dyDescent="0.2">
      <c r="A299" s="353"/>
      <c r="B299" s="307"/>
      <c r="C299" s="307"/>
      <c r="D299" s="307"/>
      <c r="E299" s="307"/>
      <c r="F299" s="307"/>
      <c r="G299" s="307"/>
      <c r="H299" s="307"/>
      <c r="I299" s="307"/>
      <c r="J299" s="308"/>
      <c r="K299" s="307"/>
      <c r="L299" s="307"/>
      <c r="M299" s="307"/>
      <c r="N299" s="307"/>
      <c r="O299" s="307"/>
      <c r="P299" s="307"/>
      <c r="Q299" s="307"/>
      <c r="R299" s="307"/>
      <c r="S299" s="308"/>
      <c r="T299" s="307"/>
      <c r="U299" s="307"/>
      <c r="V299" s="307"/>
      <c r="W299" s="307"/>
      <c r="X299" s="307"/>
      <c r="Y299" s="307"/>
      <c r="Z299" s="307"/>
      <c r="AA299" s="307"/>
      <c r="AB299" s="308"/>
      <c r="AC299" s="307"/>
      <c r="AD299" s="307"/>
      <c r="AE299" s="307"/>
      <c r="AF299" s="307"/>
      <c r="AG299" s="307"/>
      <c r="AH299" s="307"/>
      <c r="AI299" s="307"/>
      <c r="AJ299" s="307"/>
      <c r="AK299" s="307"/>
      <c r="AL299" s="308"/>
      <c r="AM299" s="308">
        <f t="shared" ref="AM299:AM334" si="4">AL299</f>
        <v>0</v>
      </c>
      <c r="AN299" s="237"/>
    </row>
    <row r="300" spans="1:40" x14ac:dyDescent="0.2">
      <c r="A300" s="352"/>
      <c r="B300" s="304"/>
      <c r="C300" s="304"/>
      <c r="D300" s="304"/>
      <c r="E300" s="304"/>
      <c r="F300" s="304"/>
      <c r="G300" s="304"/>
      <c r="H300" s="304"/>
      <c r="I300" s="304"/>
      <c r="J300" s="305"/>
      <c r="K300" s="304"/>
      <c r="L300" s="304"/>
      <c r="M300" s="304"/>
      <c r="N300" s="304"/>
      <c r="O300" s="304"/>
      <c r="P300" s="304"/>
      <c r="Q300" s="304"/>
      <c r="R300" s="304"/>
      <c r="S300" s="305"/>
      <c r="T300" s="304"/>
      <c r="U300" s="304"/>
      <c r="V300" s="304"/>
      <c r="W300" s="304"/>
      <c r="X300" s="304"/>
      <c r="Y300" s="304"/>
      <c r="Z300" s="304"/>
      <c r="AA300" s="304"/>
      <c r="AB300" s="305"/>
      <c r="AC300" s="304"/>
      <c r="AD300" s="304"/>
      <c r="AE300" s="304"/>
      <c r="AF300" s="304"/>
      <c r="AG300" s="304"/>
      <c r="AH300" s="304"/>
      <c r="AI300" s="304"/>
      <c r="AJ300" s="304"/>
      <c r="AK300" s="304"/>
      <c r="AL300" s="305"/>
      <c r="AM300" s="305">
        <f t="shared" si="4"/>
        <v>0</v>
      </c>
      <c r="AN300" s="237"/>
    </row>
    <row r="301" spans="1:40" x14ac:dyDescent="0.2">
      <c r="A301" s="352"/>
      <c r="B301" s="304"/>
      <c r="C301" s="304"/>
      <c r="D301" s="304"/>
      <c r="E301" s="304"/>
      <c r="F301" s="304"/>
      <c r="G301" s="304"/>
      <c r="H301" s="304"/>
      <c r="I301" s="304"/>
      <c r="J301" s="305"/>
      <c r="K301" s="304"/>
      <c r="L301" s="304"/>
      <c r="M301" s="304"/>
      <c r="N301" s="304"/>
      <c r="O301" s="304"/>
      <c r="P301" s="304"/>
      <c r="Q301" s="304"/>
      <c r="R301" s="304"/>
      <c r="S301" s="305"/>
      <c r="T301" s="304"/>
      <c r="U301" s="304"/>
      <c r="V301" s="304"/>
      <c r="W301" s="304"/>
      <c r="X301" s="304"/>
      <c r="Y301" s="304"/>
      <c r="Z301" s="304"/>
      <c r="AA301" s="304"/>
      <c r="AB301" s="305"/>
      <c r="AC301" s="304"/>
      <c r="AD301" s="304"/>
      <c r="AE301" s="304"/>
      <c r="AF301" s="304"/>
      <c r="AG301" s="304"/>
      <c r="AH301" s="304"/>
      <c r="AI301" s="304"/>
      <c r="AJ301" s="304"/>
      <c r="AK301" s="304"/>
      <c r="AL301" s="305"/>
      <c r="AM301" s="305">
        <f t="shared" si="4"/>
        <v>0</v>
      </c>
      <c r="AN301" s="237"/>
    </row>
    <row r="302" spans="1:40" x14ac:dyDescent="0.2">
      <c r="A302" s="352"/>
      <c r="B302" s="304"/>
      <c r="C302" s="304"/>
      <c r="D302" s="304"/>
      <c r="E302" s="304"/>
      <c r="F302" s="304"/>
      <c r="G302" s="304"/>
      <c r="H302" s="304"/>
      <c r="I302" s="304"/>
      <c r="J302" s="305"/>
      <c r="K302" s="304"/>
      <c r="L302" s="304"/>
      <c r="M302" s="304"/>
      <c r="N302" s="304"/>
      <c r="O302" s="304"/>
      <c r="P302" s="304"/>
      <c r="Q302" s="304"/>
      <c r="R302" s="304"/>
      <c r="S302" s="305"/>
      <c r="T302" s="304"/>
      <c r="U302" s="304"/>
      <c r="V302" s="304"/>
      <c r="W302" s="304"/>
      <c r="X302" s="304"/>
      <c r="Y302" s="304"/>
      <c r="Z302" s="304"/>
      <c r="AA302" s="304"/>
      <c r="AB302" s="305"/>
      <c r="AC302" s="304"/>
      <c r="AD302" s="304"/>
      <c r="AE302" s="304"/>
      <c r="AF302" s="304"/>
      <c r="AG302" s="304"/>
      <c r="AH302" s="304"/>
      <c r="AI302" s="304"/>
      <c r="AJ302" s="304"/>
      <c r="AK302" s="304"/>
      <c r="AL302" s="305"/>
      <c r="AM302" s="305">
        <f t="shared" si="4"/>
        <v>0</v>
      </c>
      <c r="AN302" s="237"/>
    </row>
    <row r="303" spans="1:40" x14ac:dyDescent="0.2">
      <c r="A303" s="352"/>
      <c r="B303" s="304"/>
      <c r="C303" s="304"/>
      <c r="D303" s="304"/>
      <c r="E303" s="304"/>
      <c r="F303" s="304"/>
      <c r="G303" s="304"/>
      <c r="H303" s="304"/>
      <c r="I303" s="304"/>
      <c r="J303" s="305"/>
      <c r="K303" s="304"/>
      <c r="L303" s="304"/>
      <c r="M303" s="304"/>
      <c r="N303" s="304"/>
      <c r="O303" s="304"/>
      <c r="P303" s="304"/>
      <c r="Q303" s="304"/>
      <c r="R303" s="304"/>
      <c r="S303" s="305"/>
      <c r="T303" s="304"/>
      <c r="U303" s="304"/>
      <c r="V303" s="304"/>
      <c r="W303" s="304"/>
      <c r="X303" s="304"/>
      <c r="Y303" s="304"/>
      <c r="Z303" s="304"/>
      <c r="AA303" s="304"/>
      <c r="AB303" s="305"/>
      <c r="AC303" s="304"/>
      <c r="AD303" s="304"/>
      <c r="AE303" s="304"/>
      <c r="AF303" s="304"/>
      <c r="AG303" s="304"/>
      <c r="AH303" s="304"/>
      <c r="AI303" s="304"/>
      <c r="AJ303" s="304"/>
      <c r="AK303" s="304"/>
      <c r="AL303" s="305"/>
      <c r="AM303" s="305">
        <f t="shared" si="4"/>
        <v>0</v>
      </c>
      <c r="AN303" s="237"/>
    </row>
    <row r="304" spans="1:40" x14ac:dyDescent="0.2">
      <c r="A304" s="353"/>
      <c r="B304" s="307"/>
      <c r="C304" s="307"/>
      <c r="D304" s="307"/>
      <c r="E304" s="307"/>
      <c r="F304" s="307"/>
      <c r="G304" s="307"/>
      <c r="H304" s="307"/>
      <c r="I304" s="307"/>
      <c r="J304" s="308"/>
      <c r="K304" s="307"/>
      <c r="L304" s="307"/>
      <c r="M304" s="307"/>
      <c r="N304" s="307"/>
      <c r="O304" s="307"/>
      <c r="P304" s="307"/>
      <c r="Q304" s="307"/>
      <c r="R304" s="307"/>
      <c r="S304" s="308"/>
      <c r="T304" s="307"/>
      <c r="U304" s="307"/>
      <c r="V304" s="307"/>
      <c r="W304" s="307"/>
      <c r="X304" s="307"/>
      <c r="Y304" s="307"/>
      <c r="Z304" s="307"/>
      <c r="AA304" s="307"/>
      <c r="AB304" s="308"/>
      <c r="AC304" s="307"/>
      <c r="AD304" s="307"/>
      <c r="AE304" s="307"/>
      <c r="AF304" s="307"/>
      <c r="AG304" s="307"/>
      <c r="AH304" s="307"/>
      <c r="AI304" s="307"/>
      <c r="AJ304" s="307"/>
      <c r="AK304" s="307"/>
      <c r="AL304" s="308"/>
      <c r="AM304" s="308">
        <f t="shared" si="4"/>
        <v>0</v>
      </c>
      <c r="AN304" s="237"/>
    </row>
    <row r="305" spans="1:40" x14ac:dyDescent="0.2">
      <c r="A305" s="352"/>
      <c r="B305" s="304"/>
      <c r="C305" s="304"/>
      <c r="D305" s="304"/>
      <c r="E305" s="304"/>
      <c r="F305" s="304"/>
      <c r="G305" s="304"/>
      <c r="H305" s="304"/>
      <c r="I305" s="304"/>
      <c r="J305" s="305"/>
      <c r="K305" s="304"/>
      <c r="L305" s="304"/>
      <c r="M305" s="304"/>
      <c r="N305" s="304"/>
      <c r="O305" s="304"/>
      <c r="P305" s="304"/>
      <c r="Q305" s="304"/>
      <c r="R305" s="304"/>
      <c r="S305" s="305"/>
      <c r="T305" s="304"/>
      <c r="U305" s="304"/>
      <c r="V305" s="304"/>
      <c r="W305" s="304"/>
      <c r="X305" s="304"/>
      <c r="Y305" s="304"/>
      <c r="Z305" s="304"/>
      <c r="AA305" s="304"/>
      <c r="AB305" s="305"/>
      <c r="AC305" s="304"/>
      <c r="AD305" s="304"/>
      <c r="AE305" s="304"/>
      <c r="AF305" s="304"/>
      <c r="AG305" s="304"/>
      <c r="AH305" s="304"/>
      <c r="AI305" s="304"/>
      <c r="AJ305" s="304"/>
      <c r="AK305" s="304"/>
      <c r="AL305" s="305"/>
      <c r="AM305" s="305">
        <f t="shared" si="4"/>
        <v>0</v>
      </c>
      <c r="AN305" s="237"/>
    </row>
    <row r="306" spans="1:40" x14ac:dyDescent="0.2">
      <c r="A306" s="352"/>
      <c r="B306" s="304"/>
      <c r="C306" s="304"/>
      <c r="D306" s="304"/>
      <c r="E306" s="304"/>
      <c r="F306" s="304"/>
      <c r="G306" s="304"/>
      <c r="H306" s="304"/>
      <c r="I306" s="304"/>
      <c r="J306" s="305"/>
      <c r="K306" s="304"/>
      <c r="L306" s="304"/>
      <c r="M306" s="304"/>
      <c r="N306" s="304"/>
      <c r="O306" s="304"/>
      <c r="P306" s="304"/>
      <c r="Q306" s="304"/>
      <c r="R306" s="304"/>
      <c r="S306" s="305"/>
      <c r="T306" s="304"/>
      <c r="U306" s="304"/>
      <c r="V306" s="304"/>
      <c r="W306" s="304"/>
      <c r="X306" s="304"/>
      <c r="Y306" s="304"/>
      <c r="Z306" s="304"/>
      <c r="AA306" s="304"/>
      <c r="AB306" s="305"/>
      <c r="AC306" s="304"/>
      <c r="AD306" s="304"/>
      <c r="AE306" s="304"/>
      <c r="AF306" s="304"/>
      <c r="AG306" s="304"/>
      <c r="AH306" s="304"/>
      <c r="AI306" s="304"/>
      <c r="AJ306" s="304"/>
      <c r="AK306" s="304"/>
      <c r="AL306" s="305"/>
      <c r="AM306" s="305">
        <f t="shared" si="4"/>
        <v>0</v>
      </c>
      <c r="AN306" s="237"/>
    </row>
    <row r="307" spans="1:40" x14ac:dyDescent="0.2">
      <c r="A307" s="352"/>
      <c r="B307" s="304"/>
      <c r="C307" s="304"/>
      <c r="D307" s="304"/>
      <c r="E307" s="304"/>
      <c r="F307" s="304"/>
      <c r="G307" s="304"/>
      <c r="H307" s="304"/>
      <c r="I307" s="304"/>
      <c r="J307" s="305"/>
      <c r="K307" s="304"/>
      <c r="L307" s="304"/>
      <c r="M307" s="304"/>
      <c r="N307" s="304"/>
      <c r="O307" s="304"/>
      <c r="P307" s="304"/>
      <c r="Q307" s="304"/>
      <c r="R307" s="304"/>
      <c r="S307" s="305"/>
      <c r="T307" s="304"/>
      <c r="U307" s="304"/>
      <c r="V307" s="304"/>
      <c r="W307" s="304"/>
      <c r="X307" s="304"/>
      <c r="Y307" s="304"/>
      <c r="Z307" s="304"/>
      <c r="AA307" s="304"/>
      <c r="AB307" s="305"/>
      <c r="AC307" s="304"/>
      <c r="AD307" s="304"/>
      <c r="AE307" s="304"/>
      <c r="AF307" s="304"/>
      <c r="AG307" s="304"/>
      <c r="AH307" s="304"/>
      <c r="AI307" s="304"/>
      <c r="AJ307" s="304"/>
      <c r="AK307" s="304"/>
      <c r="AL307" s="305"/>
      <c r="AM307" s="305">
        <f t="shared" si="4"/>
        <v>0</v>
      </c>
      <c r="AN307" s="237"/>
    </row>
    <row r="308" spans="1:40" x14ac:dyDescent="0.2">
      <c r="A308" s="352"/>
      <c r="B308" s="304"/>
      <c r="C308" s="304"/>
      <c r="D308" s="304"/>
      <c r="E308" s="304"/>
      <c r="F308" s="304"/>
      <c r="G308" s="304"/>
      <c r="H308" s="304"/>
      <c r="I308" s="304"/>
      <c r="J308" s="305"/>
      <c r="K308" s="304"/>
      <c r="L308" s="304"/>
      <c r="M308" s="304"/>
      <c r="N308" s="304"/>
      <c r="O308" s="304"/>
      <c r="P308" s="304"/>
      <c r="Q308" s="304"/>
      <c r="R308" s="304"/>
      <c r="S308" s="305"/>
      <c r="T308" s="304"/>
      <c r="U308" s="304"/>
      <c r="V308" s="304"/>
      <c r="W308" s="304"/>
      <c r="X308" s="304"/>
      <c r="Y308" s="304"/>
      <c r="Z308" s="304"/>
      <c r="AA308" s="304"/>
      <c r="AB308" s="305"/>
      <c r="AC308" s="304"/>
      <c r="AD308" s="304"/>
      <c r="AE308" s="304"/>
      <c r="AF308" s="304"/>
      <c r="AG308" s="304"/>
      <c r="AH308" s="304"/>
      <c r="AI308" s="304"/>
      <c r="AJ308" s="304"/>
      <c r="AK308" s="304"/>
      <c r="AL308" s="305"/>
      <c r="AM308" s="305">
        <f t="shared" si="4"/>
        <v>0</v>
      </c>
      <c r="AN308" s="237"/>
    </row>
    <row r="309" spans="1:40" x14ac:dyDescent="0.2">
      <c r="A309" s="353"/>
      <c r="B309" s="307"/>
      <c r="C309" s="307"/>
      <c r="D309" s="307"/>
      <c r="E309" s="307"/>
      <c r="F309" s="307"/>
      <c r="G309" s="307"/>
      <c r="H309" s="307"/>
      <c r="I309" s="307"/>
      <c r="J309" s="308"/>
      <c r="K309" s="307"/>
      <c r="L309" s="307"/>
      <c r="M309" s="307"/>
      <c r="N309" s="307"/>
      <c r="O309" s="307"/>
      <c r="P309" s="307"/>
      <c r="Q309" s="307"/>
      <c r="R309" s="307"/>
      <c r="S309" s="308"/>
      <c r="T309" s="307"/>
      <c r="U309" s="307"/>
      <c r="V309" s="307"/>
      <c r="W309" s="307"/>
      <c r="X309" s="307"/>
      <c r="Y309" s="307"/>
      <c r="Z309" s="307"/>
      <c r="AA309" s="307"/>
      <c r="AB309" s="308"/>
      <c r="AC309" s="307"/>
      <c r="AD309" s="307"/>
      <c r="AE309" s="307"/>
      <c r="AF309" s="307"/>
      <c r="AG309" s="307"/>
      <c r="AH309" s="307"/>
      <c r="AI309" s="307"/>
      <c r="AJ309" s="307"/>
      <c r="AK309" s="307"/>
      <c r="AL309" s="308"/>
      <c r="AM309" s="308">
        <f t="shared" si="4"/>
        <v>0</v>
      </c>
      <c r="AN309" s="237"/>
    </row>
    <row r="310" spans="1:40" x14ac:dyDescent="0.2">
      <c r="A310" s="352"/>
      <c r="B310" s="304"/>
      <c r="C310" s="304"/>
      <c r="D310" s="304"/>
      <c r="E310" s="304"/>
      <c r="F310" s="304"/>
      <c r="G310" s="304"/>
      <c r="H310" s="304"/>
      <c r="I310" s="304"/>
      <c r="J310" s="305"/>
      <c r="K310" s="304"/>
      <c r="L310" s="304"/>
      <c r="M310" s="304"/>
      <c r="N310" s="304"/>
      <c r="O310" s="304"/>
      <c r="P310" s="304"/>
      <c r="Q310" s="304"/>
      <c r="R310" s="304"/>
      <c r="S310" s="305"/>
      <c r="T310" s="304"/>
      <c r="U310" s="304"/>
      <c r="V310" s="304"/>
      <c r="W310" s="304"/>
      <c r="X310" s="304"/>
      <c r="Y310" s="304"/>
      <c r="Z310" s="304"/>
      <c r="AA310" s="304"/>
      <c r="AB310" s="305"/>
      <c r="AC310" s="304"/>
      <c r="AD310" s="304"/>
      <c r="AE310" s="304"/>
      <c r="AF310" s="304"/>
      <c r="AG310" s="304"/>
      <c r="AH310" s="304"/>
      <c r="AI310" s="304"/>
      <c r="AJ310" s="304"/>
      <c r="AK310" s="304"/>
      <c r="AL310" s="305"/>
      <c r="AM310" s="305">
        <f t="shared" si="4"/>
        <v>0</v>
      </c>
      <c r="AN310" s="237"/>
    </row>
    <row r="311" spans="1:40" x14ac:dyDescent="0.2">
      <c r="A311" s="352"/>
      <c r="B311" s="304"/>
      <c r="C311" s="304"/>
      <c r="D311" s="304"/>
      <c r="E311" s="304"/>
      <c r="F311" s="304"/>
      <c r="G311" s="304"/>
      <c r="H311" s="304"/>
      <c r="I311" s="304"/>
      <c r="J311" s="305"/>
      <c r="K311" s="304"/>
      <c r="L311" s="304"/>
      <c r="M311" s="304"/>
      <c r="N311" s="304"/>
      <c r="O311" s="304"/>
      <c r="P311" s="304"/>
      <c r="Q311" s="304"/>
      <c r="R311" s="304"/>
      <c r="S311" s="305"/>
      <c r="T311" s="304"/>
      <c r="U311" s="304"/>
      <c r="V311" s="304"/>
      <c r="W311" s="304"/>
      <c r="X311" s="304"/>
      <c r="Y311" s="304"/>
      <c r="Z311" s="304"/>
      <c r="AA311" s="304"/>
      <c r="AB311" s="305"/>
      <c r="AC311" s="304"/>
      <c r="AD311" s="304"/>
      <c r="AE311" s="304"/>
      <c r="AF311" s="304"/>
      <c r="AG311" s="304"/>
      <c r="AH311" s="304"/>
      <c r="AI311" s="304"/>
      <c r="AJ311" s="304"/>
      <c r="AK311" s="304"/>
      <c r="AL311" s="305"/>
      <c r="AM311" s="305">
        <f t="shared" si="4"/>
        <v>0</v>
      </c>
      <c r="AN311" s="237"/>
    </row>
    <row r="312" spans="1:40" x14ac:dyDescent="0.2">
      <c r="A312" s="352"/>
      <c r="B312" s="304"/>
      <c r="C312" s="304"/>
      <c r="D312" s="304"/>
      <c r="E312" s="304"/>
      <c r="F312" s="304"/>
      <c r="G312" s="304"/>
      <c r="H312" s="304"/>
      <c r="I312" s="304"/>
      <c r="J312" s="305"/>
      <c r="K312" s="304"/>
      <c r="L312" s="304"/>
      <c r="M312" s="304"/>
      <c r="N312" s="304"/>
      <c r="O312" s="304"/>
      <c r="P312" s="304"/>
      <c r="Q312" s="304"/>
      <c r="R312" s="304"/>
      <c r="S312" s="305"/>
      <c r="T312" s="304"/>
      <c r="U312" s="304"/>
      <c r="V312" s="304"/>
      <c r="W312" s="304"/>
      <c r="X312" s="304"/>
      <c r="Y312" s="304"/>
      <c r="Z312" s="304"/>
      <c r="AA312" s="304"/>
      <c r="AB312" s="305"/>
      <c r="AC312" s="304"/>
      <c r="AD312" s="304"/>
      <c r="AE312" s="304"/>
      <c r="AF312" s="304"/>
      <c r="AG312" s="304"/>
      <c r="AH312" s="304"/>
      <c r="AI312" s="304"/>
      <c r="AJ312" s="304"/>
      <c r="AK312" s="304"/>
      <c r="AL312" s="305"/>
      <c r="AM312" s="305">
        <f t="shared" si="4"/>
        <v>0</v>
      </c>
      <c r="AN312" s="237"/>
    </row>
    <row r="313" spans="1:40" x14ac:dyDescent="0.2">
      <c r="A313" s="352"/>
      <c r="B313" s="304"/>
      <c r="C313" s="304"/>
      <c r="D313" s="304"/>
      <c r="E313" s="304"/>
      <c r="F313" s="304"/>
      <c r="G313" s="304"/>
      <c r="H313" s="304"/>
      <c r="I313" s="304"/>
      <c r="J313" s="305"/>
      <c r="K313" s="304"/>
      <c r="L313" s="304"/>
      <c r="M313" s="304"/>
      <c r="N313" s="304"/>
      <c r="O313" s="304"/>
      <c r="P313" s="304"/>
      <c r="Q313" s="304"/>
      <c r="R313" s="304"/>
      <c r="S313" s="305"/>
      <c r="T313" s="304"/>
      <c r="U313" s="304"/>
      <c r="V313" s="304"/>
      <c r="W313" s="304"/>
      <c r="X313" s="304"/>
      <c r="Y313" s="304"/>
      <c r="Z313" s="304"/>
      <c r="AA313" s="304"/>
      <c r="AB313" s="305"/>
      <c r="AC313" s="304"/>
      <c r="AD313" s="304"/>
      <c r="AE313" s="304"/>
      <c r="AF313" s="304"/>
      <c r="AG313" s="304"/>
      <c r="AH313" s="304"/>
      <c r="AI313" s="304"/>
      <c r="AJ313" s="304"/>
      <c r="AK313" s="304"/>
      <c r="AL313" s="305"/>
      <c r="AM313" s="305">
        <f t="shared" si="4"/>
        <v>0</v>
      </c>
      <c r="AN313" s="237"/>
    </row>
    <row r="314" spans="1:40" x14ac:dyDescent="0.2">
      <c r="A314" s="353"/>
      <c r="B314" s="307"/>
      <c r="C314" s="307"/>
      <c r="D314" s="307"/>
      <c r="E314" s="307"/>
      <c r="F314" s="307"/>
      <c r="G314" s="307"/>
      <c r="H314" s="307"/>
      <c r="I314" s="307"/>
      <c r="J314" s="308"/>
      <c r="K314" s="307"/>
      <c r="L314" s="307"/>
      <c r="M314" s="307"/>
      <c r="N314" s="307"/>
      <c r="O314" s="307"/>
      <c r="P314" s="307"/>
      <c r="Q314" s="307"/>
      <c r="R314" s="307"/>
      <c r="S314" s="308"/>
      <c r="T314" s="307"/>
      <c r="U314" s="307"/>
      <c r="V314" s="307"/>
      <c r="W314" s="307"/>
      <c r="X314" s="307"/>
      <c r="Y314" s="307"/>
      <c r="Z314" s="307"/>
      <c r="AA314" s="307"/>
      <c r="AB314" s="308"/>
      <c r="AC314" s="307"/>
      <c r="AD314" s="307"/>
      <c r="AE314" s="307"/>
      <c r="AF314" s="307"/>
      <c r="AG314" s="307"/>
      <c r="AH314" s="307"/>
      <c r="AI314" s="307"/>
      <c r="AJ314" s="307"/>
      <c r="AK314" s="307"/>
      <c r="AL314" s="308"/>
      <c r="AM314" s="308">
        <f t="shared" si="4"/>
        <v>0</v>
      </c>
      <c r="AN314" s="237"/>
    </row>
    <row r="315" spans="1:40" x14ac:dyDescent="0.2">
      <c r="A315" s="352"/>
      <c r="B315" s="304"/>
      <c r="C315" s="304"/>
      <c r="D315" s="304"/>
      <c r="E315" s="304"/>
      <c r="F315" s="304"/>
      <c r="G315" s="304"/>
      <c r="H315" s="304"/>
      <c r="I315" s="304"/>
      <c r="J315" s="305"/>
      <c r="K315" s="304"/>
      <c r="L315" s="304"/>
      <c r="M315" s="304"/>
      <c r="N315" s="304"/>
      <c r="O315" s="304"/>
      <c r="P315" s="304"/>
      <c r="Q315" s="304"/>
      <c r="R315" s="304"/>
      <c r="S315" s="305"/>
      <c r="T315" s="304"/>
      <c r="U315" s="304"/>
      <c r="V315" s="304"/>
      <c r="W315" s="304"/>
      <c r="X315" s="304"/>
      <c r="Y315" s="304"/>
      <c r="Z315" s="304"/>
      <c r="AA315" s="304"/>
      <c r="AB315" s="305"/>
      <c r="AC315" s="304"/>
      <c r="AD315" s="304"/>
      <c r="AE315" s="304"/>
      <c r="AF315" s="304"/>
      <c r="AG315" s="304"/>
      <c r="AH315" s="304"/>
      <c r="AI315" s="304"/>
      <c r="AJ315" s="304"/>
      <c r="AK315" s="304"/>
      <c r="AL315" s="305"/>
      <c r="AM315" s="305">
        <f t="shared" si="4"/>
        <v>0</v>
      </c>
      <c r="AN315" s="237"/>
    </row>
    <row r="316" spans="1:40" x14ac:dyDescent="0.2">
      <c r="A316" s="352"/>
      <c r="B316" s="304"/>
      <c r="C316" s="304"/>
      <c r="D316" s="304"/>
      <c r="E316" s="304"/>
      <c r="F316" s="304"/>
      <c r="G316" s="304"/>
      <c r="H316" s="304"/>
      <c r="I316" s="304"/>
      <c r="J316" s="305"/>
      <c r="K316" s="304"/>
      <c r="L316" s="304"/>
      <c r="M316" s="304"/>
      <c r="N316" s="304"/>
      <c r="O316" s="304"/>
      <c r="P316" s="304"/>
      <c r="Q316" s="304"/>
      <c r="R316" s="304"/>
      <c r="S316" s="305"/>
      <c r="T316" s="304"/>
      <c r="U316" s="304"/>
      <c r="V316" s="304"/>
      <c r="W316" s="304"/>
      <c r="X316" s="304"/>
      <c r="Y316" s="304"/>
      <c r="Z316" s="304"/>
      <c r="AA316" s="304"/>
      <c r="AB316" s="305"/>
      <c r="AC316" s="304"/>
      <c r="AD316" s="304"/>
      <c r="AE316" s="304"/>
      <c r="AF316" s="304"/>
      <c r="AG316" s="304"/>
      <c r="AH316" s="304"/>
      <c r="AI316" s="304"/>
      <c r="AJ316" s="304"/>
      <c r="AK316" s="304"/>
      <c r="AL316" s="305"/>
      <c r="AM316" s="305">
        <f t="shared" si="4"/>
        <v>0</v>
      </c>
      <c r="AN316" s="237"/>
    </row>
    <row r="317" spans="1:40" x14ac:dyDescent="0.2">
      <c r="A317" s="352"/>
      <c r="B317" s="304"/>
      <c r="C317" s="304"/>
      <c r="D317" s="304"/>
      <c r="E317" s="304"/>
      <c r="F317" s="304"/>
      <c r="G317" s="304"/>
      <c r="H317" s="304"/>
      <c r="I317" s="304"/>
      <c r="J317" s="305"/>
      <c r="K317" s="304"/>
      <c r="L317" s="304"/>
      <c r="M317" s="304"/>
      <c r="N317" s="304"/>
      <c r="O317" s="304"/>
      <c r="P317" s="304"/>
      <c r="Q317" s="304"/>
      <c r="R317" s="304"/>
      <c r="S317" s="305"/>
      <c r="T317" s="304"/>
      <c r="U317" s="304"/>
      <c r="V317" s="304"/>
      <c r="W317" s="304"/>
      <c r="X317" s="304"/>
      <c r="Y317" s="304"/>
      <c r="Z317" s="304"/>
      <c r="AA317" s="304"/>
      <c r="AB317" s="305"/>
      <c r="AC317" s="304"/>
      <c r="AD317" s="304"/>
      <c r="AE317" s="304"/>
      <c r="AF317" s="304"/>
      <c r="AG317" s="304"/>
      <c r="AH317" s="304"/>
      <c r="AI317" s="304"/>
      <c r="AJ317" s="304"/>
      <c r="AK317" s="304"/>
      <c r="AL317" s="305"/>
      <c r="AM317" s="305">
        <f t="shared" si="4"/>
        <v>0</v>
      </c>
      <c r="AN317" s="237"/>
    </row>
    <row r="318" spans="1:40" x14ac:dyDescent="0.2">
      <c r="A318" s="352"/>
      <c r="B318" s="304"/>
      <c r="C318" s="304"/>
      <c r="D318" s="304"/>
      <c r="E318" s="304"/>
      <c r="F318" s="304"/>
      <c r="G318" s="304"/>
      <c r="H318" s="304"/>
      <c r="I318" s="304"/>
      <c r="J318" s="305"/>
      <c r="K318" s="304"/>
      <c r="L318" s="304"/>
      <c r="M318" s="304"/>
      <c r="N318" s="304"/>
      <c r="O318" s="304"/>
      <c r="P318" s="304"/>
      <c r="Q318" s="304"/>
      <c r="R318" s="304"/>
      <c r="S318" s="305"/>
      <c r="T318" s="304"/>
      <c r="U318" s="304"/>
      <c r="V318" s="304"/>
      <c r="W318" s="304"/>
      <c r="X318" s="304"/>
      <c r="Y318" s="304"/>
      <c r="Z318" s="304"/>
      <c r="AA318" s="304"/>
      <c r="AB318" s="305"/>
      <c r="AC318" s="304"/>
      <c r="AD318" s="304"/>
      <c r="AE318" s="304"/>
      <c r="AF318" s="304"/>
      <c r="AG318" s="304"/>
      <c r="AH318" s="304"/>
      <c r="AI318" s="304"/>
      <c r="AJ318" s="304"/>
      <c r="AK318" s="304"/>
      <c r="AL318" s="305"/>
      <c r="AM318" s="305">
        <f t="shared" si="4"/>
        <v>0</v>
      </c>
      <c r="AN318" s="237"/>
    </row>
    <row r="319" spans="1:40" x14ac:dyDescent="0.2">
      <c r="A319" s="353"/>
      <c r="B319" s="307"/>
      <c r="C319" s="307"/>
      <c r="D319" s="307"/>
      <c r="E319" s="307"/>
      <c r="F319" s="307"/>
      <c r="G319" s="307"/>
      <c r="H319" s="307"/>
      <c r="I319" s="307"/>
      <c r="J319" s="308"/>
      <c r="K319" s="307"/>
      <c r="L319" s="307"/>
      <c r="M319" s="307"/>
      <c r="N319" s="307"/>
      <c r="O319" s="307"/>
      <c r="P319" s="307"/>
      <c r="Q319" s="307"/>
      <c r="R319" s="307"/>
      <c r="S319" s="308"/>
      <c r="T319" s="307"/>
      <c r="U319" s="307"/>
      <c r="V319" s="307"/>
      <c r="W319" s="307"/>
      <c r="X319" s="307"/>
      <c r="Y319" s="307"/>
      <c r="Z319" s="307"/>
      <c r="AA319" s="307"/>
      <c r="AB319" s="308"/>
      <c r="AC319" s="307"/>
      <c r="AD319" s="307"/>
      <c r="AE319" s="307"/>
      <c r="AF319" s="307"/>
      <c r="AG319" s="307"/>
      <c r="AH319" s="307"/>
      <c r="AI319" s="307"/>
      <c r="AJ319" s="307"/>
      <c r="AK319" s="307"/>
      <c r="AL319" s="308"/>
      <c r="AM319" s="308">
        <f t="shared" si="4"/>
        <v>0</v>
      </c>
      <c r="AN319" s="237"/>
    </row>
    <row r="320" spans="1:40" x14ac:dyDescent="0.2">
      <c r="A320" s="352"/>
      <c r="B320" s="304"/>
      <c r="C320" s="304"/>
      <c r="D320" s="304"/>
      <c r="E320" s="304"/>
      <c r="F320" s="304"/>
      <c r="G320" s="304"/>
      <c r="H320" s="304"/>
      <c r="I320" s="304"/>
      <c r="J320" s="305"/>
      <c r="K320" s="304"/>
      <c r="L320" s="304"/>
      <c r="M320" s="304"/>
      <c r="N320" s="304"/>
      <c r="O320" s="304"/>
      <c r="P320" s="304"/>
      <c r="Q320" s="304"/>
      <c r="R320" s="304"/>
      <c r="S320" s="305"/>
      <c r="T320" s="304"/>
      <c r="U320" s="304"/>
      <c r="V320" s="304"/>
      <c r="W320" s="304"/>
      <c r="X320" s="304"/>
      <c r="Y320" s="304"/>
      <c r="Z320" s="304"/>
      <c r="AA320" s="304"/>
      <c r="AB320" s="305"/>
      <c r="AC320" s="304"/>
      <c r="AD320" s="304"/>
      <c r="AE320" s="304"/>
      <c r="AF320" s="304"/>
      <c r="AG320" s="304"/>
      <c r="AH320" s="304"/>
      <c r="AI320" s="304"/>
      <c r="AJ320" s="304"/>
      <c r="AK320" s="304"/>
      <c r="AL320" s="305"/>
      <c r="AM320" s="305">
        <f t="shared" si="4"/>
        <v>0</v>
      </c>
      <c r="AN320" s="237"/>
    </row>
    <row r="321" spans="1:40" x14ac:dyDescent="0.2">
      <c r="A321" s="352"/>
      <c r="B321" s="304"/>
      <c r="C321" s="304"/>
      <c r="D321" s="304"/>
      <c r="E321" s="304"/>
      <c r="F321" s="304"/>
      <c r="G321" s="304"/>
      <c r="H321" s="304"/>
      <c r="I321" s="304"/>
      <c r="J321" s="305"/>
      <c r="K321" s="304"/>
      <c r="L321" s="304"/>
      <c r="M321" s="304"/>
      <c r="N321" s="304"/>
      <c r="O321" s="304"/>
      <c r="P321" s="304"/>
      <c r="Q321" s="304"/>
      <c r="R321" s="304"/>
      <c r="S321" s="305"/>
      <c r="T321" s="304"/>
      <c r="U321" s="304"/>
      <c r="V321" s="304"/>
      <c r="W321" s="304"/>
      <c r="X321" s="304"/>
      <c r="Y321" s="304"/>
      <c r="Z321" s="304"/>
      <c r="AA321" s="304"/>
      <c r="AB321" s="305"/>
      <c r="AC321" s="304"/>
      <c r="AD321" s="304"/>
      <c r="AE321" s="304"/>
      <c r="AF321" s="304"/>
      <c r="AG321" s="304"/>
      <c r="AH321" s="304"/>
      <c r="AI321" s="304"/>
      <c r="AJ321" s="304"/>
      <c r="AK321" s="304"/>
      <c r="AL321" s="305"/>
      <c r="AM321" s="305">
        <f t="shared" si="4"/>
        <v>0</v>
      </c>
      <c r="AN321" s="237"/>
    </row>
    <row r="322" spans="1:40" x14ac:dyDescent="0.2">
      <c r="A322" s="352"/>
      <c r="B322" s="304"/>
      <c r="C322" s="304"/>
      <c r="D322" s="304"/>
      <c r="E322" s="304"/>
      <c r="F322" s="304"/>
      <c r="G322" s="304"/>
      <c r="H322" s="304"/>
      <c r="I322" s="304"/>
      <c r="J322" s="305"/>
      <c r="K322" s="304"/>
      <c r="L322" s="304"/>
      <c r="M322" s="304"/>
      <c r="N322" s="304"/>
      <c r="O322" s="304"/>
      <c r="P322" s="304"/>
      <c r="Q322" s="304"/>
      <c r="R322" s="304"/>
      <c r="S322" s="305"/>
      <c r="T322" s="304"/>
      <c r="U322" s="304"/>
      <c r="V322" s="304"/>
      <c r="W322" s="304"/>
      <c r="X322" s="304"/>
      <c r="Y322" s="304"/>
      <c r="Z322" s="304"/>
      <c r="AA322" s="304"/>
      <c r="AB322" s="305"/>
      <c r="AC322" s="304"/>
      <c r="AD322" s="304"/>
      <c r="AE322" s="304"/>
      <c r="AF322" s="304"/>
      <c r="AG322" s="304"/>
      <c r="AH322" s="304"/>
      <c r="AI322" s="304"/>
      <c r="AJ322" s="304"/>
      <c r="AK322" s="304"/>
      <c r="AL322" s="305"/>
      <c r="AM322" s="305">
        <f t="shared" si="4"/>
        <v>0</v>
      </c>
      <c r="AN322" s="237"/>
    </row>
    <row r="323" spans="1:40" x14ac:dyDescent="0.2">
      <c r="A323" s="352"/>
      <c r="B323" s="304"/>
      <c r="C323" s="304"/>
      <c r="D323" s="304"/>
      <c r="E323" s="304"/>
      <c r="F323" s="304"/>
      <c r="G323" s="304"/>
      <c r="H323" s="304"/>
      <c r="I323" s="304"/>
      <c r="J323" s="305"/>
      <c r="K323" s="304"/>
      <c r="L323" s="304"/>
      <c r="M323" s="304"/>
      <c r="N323" s="304"/>
      <c r="O323" s="304"/>
      <c r="P323" s="304"/>
      <c r="Q323" s="304"/>
      <c r="R323" s="304"/>
      <c r="S323" s="305"/>
      <c r="T323" s="304"/>
      <c r="U323" s="304"/>
      <c r="V323" s="304"/>
      <c r="W323" s="304"/>
      <c r="X323" s="304"/>
      <c r="Y323" s="304"/>
      <c r="Z323" s="304"/>
      <c r="AA323" s="304"/>
      <c r="AB323" s="305"/>
      <c r="AC323" s="304"/>
      <c r="AD323" s="304"/>
      <c r="AE323" s="304"/>
      <c r="AF323" s="304"/>
      <c r="AG323" s="304"/>
      <c r="AH323" s="304"/>
      <c r="AI323" s="304"/>
      <c r="AJ323" s="304"/>
      <c r="AK323" s="304"/>
      <c r="AL323" s="305"/>
      <c r="AM323" s="305">
        <f t="shared" si="4"/>
        <v>0</v>
      </c>
      <c r="AN323" s="237"/>
    </row>
    <row r="324" spans="1:40" x14ac:dyDescent="0.2">
      <c r="A324" s="353"/>
      <c r="B324" s="307"/>
      <c r="C324" s="307"/>
      <c r="D324" s="307"/>
      <c r="E324" s="307"/>
      <c r="F324" s="307"/>
      <c r="G324" s="307"/>
      <c r="H324" s="307"/>
      <c r="I324" s="307"/>
      <c r="J324" s="308"/>
      <c r="K324" s="307"/>
      <c r="L324" s="307"/>
      <c r="M324" s="307"/>
      <c r="N324" s="307"/>
      <c r="O324" s="307"/>
      <c r="P324" s="307"/>
      <c r="Q324" s="307"/>
      <c r="R324" s="307"/>
      <c r="S324" s="308"/>
      <c r="T324" s="307"/>
      <c r="U324" s="307"/>
      <c r="V324" s="307"/>
      <c r="W324" s="307"/>
      <c r="X324" s="307"/>
      <c r="Y324" s="307"/>
      <c r="Z324" s="307"/>
      <c r="AA324" s="307"/>
      <c r="AB324" s="308"/>
      <c r="AC324" s="307"/>
      <c r="AD324" s="307"/>
      <c r="AE324" s="307"/>
      <c r="AF324" s="307"/>
      <c r="AG324" s="307"/>
      <c r="AH324" s="307"/>
      <c r="AI324" s="307"/>
      <c r="AJ324" s="307"/>
      <c r="AK324" s="307"/>
      <c r="AL324" s="308"/>
      <c r="AM324" s="308">
        <f t="shared" si="4"/>
        <v>0</v>
      </c>
      <c r="AN324" s="237"/>
    </row>
    <row r="325" spans="1:40" x14ac:dyDescent="0.2">
      <c r="A325" s="352"/>
      <c r="B325" s="304"/>
      <c r="C325" s="304"/>
      <c r="D325" s="304"/>
      <c r="E325" s="304"/>
      <c r="F325" s="304"/>
      <c r="G325" s="304"/>
      <c r="H325" s="304"/>
      <c r="I325" s="304"/>
      <c r="J325" s="305"/>
      <c r="K325" s="304"/>
      <c r="L325" s="304"/>
      <c r="M325" s="304"/>
      <c r="N325" s="304"/>
      <c r="O325" s="304"/>
      <c r="P325" s="304"/>
      <c r="Q325" s="304"/>
      <c r="R325" s="304"/>
      <c r="S325" s="305"/>
      <c r="T325" s="304"/>
      <c r="U325" s="304"/>
      <c r="V325" s="304"/>
      <c r="W325" s="304"/>
      <c r="X325" s="304"/>
      <c r="Y325" s="304"/>
      <c r="Z325" s="304"/>
      <c r="AA325" s="304"/>
      <c r="AB325" s="305"/>
      <c r="AC325" s="304"/>
      <c r="AD325" s="304"/>
      <c r="AE325" s="304"/>
      <c r="AF325" s="304"/>
      <c r="AG325" s="304"/>
      <c r="AH325" s="304"/>
      <c r="AI325" s="304"/>
      <c r="AJ325" s="304"/>
      <c r="AK325" s="304"/>
      <c r="AL325" s="305"/>
      <c r="AM325" s="305">
        <f t="shared" si="4"/>
        <v>0</v>
      </c>
      <c r="AN325" s="237"/>
    </row>
    <row r="326" spans="1:40" x14ac:dyDescent="0.2">
      <c r="A326" s="352"/>
      <c r="B326" s="304"/>
      <c r="C326" s="304"/>
      <c r="D326" s="304"/>
      <c r="E326" s="304"/>
      <c r="F326" s="304"/>
      <c r="G326" s="304"/>
      <c r="H326" s="304"/>
      <c r="I326" s="304"/>
      <c r="J326" s="305"/>
      <c r="K326" s="304"/>
      <c r="L326" s="304"/>
      <c r="M326" s="304"/>
      <c r="N326" s="304"/>
      <c r="O326" s="304"/>
      <c r="P326" s="304"/>
      <c r="Q326" s="304"/>
      <c r="R326" s="304"/>
      <c r="S326" s="305"/>
      <c r="T326" s="304"/>
      <c r="U326" s="304"/>
      <c r="V326" s="304"/>
      <c r="W326" s="304"/>
      <c r="X326" s="304"/>
      <c r="Y326" s="304"/>
      <c r="Z326" s="304"/>
      <c r="AA326" s="304"/>
      <c r="AB326" s="305"/>
      <c r="AC326" s="304"/>
      <c r="AD326" s="304"/>
      <c r="AE326" s="304"/>
      <c r="AF326" s="304"/>
      <c r="AG326" s="304"/>
      <c r="AH326" s="304"/>
      <c r="AI326" s="304"/>
      <c r="AJ326" s="304"/>
      <c r="AK326" s="304"/>
      <c r="AL326" s="305"/>
      <c r="AM326" s="305">
        <f t="shared" si="4"/>
        <v>0</v>
      </c>
      <c r="AN326" s="237"/>
    </row>
    <row r="327" spans="1:40" x14ac:dyDescent="0.2">
      <c r="A327" s="352"/>
      <c r="B327" s="304"/>
      <c r="C327" s="304"/>
      <c r="D327" s="304"/>
      <c r="E327" s="304"/>
      <c r="F327" s="304"/>
      <c r="G327" s="304"/>
      <c r="H327" s="304"/>
      <c r="I327" s="304"/>
      <c r="J327" s="305"/>
      <c r="K327" s="304"/>
      <c r="L327" s="304"/>
      <c r="M327" s="304"/>
      <c r="N327" s="304"/>
      <c r="O327" s="304"/>
      <c r="P327" s="304"/>
      <c r="Q327" s="304"/>
      <c r="R327" s="304"/>
      <c r="S327" s="305"/>
      <c r="T327" s="304"/>
      <c r="U327" s="304"/>
      <c r="V327" s="304"/>
      <c r="W327" s="304"/>
      <c r="X327" s="304"/>
      <c r="Y327" s="304"/>
      <c r="Z327" s="304"/>
      <c r="AA327" s="304"/>
      <c r="AB327" s="305"/>
      <c r="AC327" s="304"/>
      <c r="AD327" s="304"/>
      <c r="AE327" s="304"/>
      <c r="AF327" s="304"/>
      <c r="AG327" s="304"/>
      <c r="AH327" s="304"/>
      <c r="AI327" s="304"/>
      <c r="AJ327" s="304"/>
      <c r="AK327" s="304"/>
      <c r="AL327" s="305"/>
      <c r="AM327" s="305">
        <f t="shared" si="4"/>
        <v>0</v>
      </c>
      <c r="AN327" s="237"/>
    </row>
    <row r="328" spans="1:40" x14ac:dyDescent="0.2">
      <c r="A328" s="352"/>
      <c r="B328" s="304"/>
      <c r="C328" s="304"/>
      <c r="D328" s="304"/>
      <c r="E328" s="304"/>
      <c r="F328" s="304"/>
      <c r="G328" s="304"/>
      <c r="H328" s="304"/>
      <c r="I328" s="304"/>
      <c r="J328" s="305"/>
      <c r="K328" s="304"/>
      <c r="L328" s="304"/>
      <c r="M328" s="304"/>
      <c r="N328" s="304"/>
      <c r="O328" s="304"/>
      <c r="P328" s="304"/>
      <c r="Q328" s="304"/>
      <c r="R328" s="304"/>
      <c r="S328" s="305"/>
      <c r="T328" s="304"/>
      <c r="U328" s="304"/>
      <c r="V328" s="304"/>
      <c r="W328" s="304"/>
      <c r="X328" s="304"/>
      <c r="Y328" s="304"/>
      <c r="Z328" s="304"/>
      <c r="AA328" s="304"/>
      <c r="AB328" s="305"/>
      <c r="AC328" s="304"/>
      <c r="AD328" s="304"/>
      <c r="AE328" s="304"/>
      <c r="AF328" s="304"/>
      <c r="AG328" s="304"/>
      <c r="AH328" s="304"/>
      <c r="AI328" s="304"/>
      <c r="AJ328" s="304"/>
      <c r="AK328" s="304"/>
      <c r="AL328" s="305"/>
      <c r="AM328" s="305">
        <f t="shared" si="4"/>
        <v>0</v>
      </c>
      <c r="AN328" s="237"/>
    </row>
    <row r="329" spans="1:40" x14ac:dyDescent="0.2">
      <c r="A329" s="353"/>
      <c r="B329" s="307"/>
      <c r="C329" s="307"/>
      <c r="D329" s="307"/>
      <c r="E329" s="307"/>
      <c r="F329" s="307"/>
      <c r="G329" s="307"/>
      <c r="H329" s="307"/>
      <c r="I329" s="307"/>
      <c r="J329" s="308"/>
      <c r="K329" s="307"/>
      <c r="L329" s="307"/>
      <c r="M329" s="307"/>
      <c r="N329" s="307"/>
      <c r="O329" s="307"/>
      <c r="P329" s="307"/>
      <c r="Q329" s="307"/>
      <c r="R329" s="307"/>
      <c r="S329" s="308"/>
      <c r="T329" s="307"/>
      <c r="U329" s="307"/>
      <c r="V329" s="307"/>
      <c r="W329" s="307"/>
      <c r="X329" s="307"/>
      <c r="Y329" s="307"/>
      <c r="Z329" s="307"/>
      <c r="AA329" s="307"/>
      <c r="AB329" s="308"/>
      <c r="AC329" s="307"/>
      <c r="AD329" s="307"/>
      <c r="AE329" s="307"/>
      <c r="AF329" s="307"/>
      <c r="AG329" s="307"/>
      <c r="AH329" s="307"/>
      <c r="AI329" s="307"/>
      <c r="AJ329" s="307"/>
      <c r="AK329" s="307"/>
      <c r="AL329" s="308"/>
      <c r="AM329" s="308">
        <f t="shared" si="4"/>
        <v>0</v>
      </c>
      <c r="AN329" s="237"/>
    </row>
    <row r="330" spans="1:40" x14ac:dyDescent="0.2">
      <c r="A330" s="352"/>
      <c r="B330" s="304"/>
      <c r="C330" s="304"/>
      <c r="D330" s="304"/>
      <c r="E330" s="304"/>
      <c r="F330" s="304"/>
      <c r="G330" s="304"/>
      <c r="H330" s="304"/>
      <c r="I330" s="304"/>
      <c r="J330" s="305"/>
      <c r="K330" s="304"/>
      <c r="L330" s="304"/>
      <c r="M330" s="304"/>
      <c r="N330" s="304"/>
      <c r="O330" s="304"/>
      <c r="P330" s="304"/>
      <c r="Q330" s="304"/>
      <c r="R330" s="304"/>
      <c r="S330" s="305"/>
      <c r="T330" s="304"/>
      <c r="U330" s="304"/>
      <c r="V330" s="304"/>
      <c r="W330" s="304"/>
      <c r="X330" s="304"/>
      <c r="Y330" s="304"/>
      <c r="Z330" s="304"/>
      <c r="AA330" s="304"/>
      <c r="AB330" s="305"/>
      <c r="AC330" s="304"/>
      <c r="AD330" s="304"/>
      <c r="AE330" s="304"/>
      <c r="AF330" s="304"/>
      <c r="AG330" s="304"/>
      <c r="AH330" s="304"/>
      <c r="AI330" s="304"/>
      <c r="AJ330" s="304"/>
      <c r="AK330" s="304"/>
      <c r="AL330" s="305"/>
      <c r="AM330" s="305">
        <f t="shared" si="4"/>
        <v>0</v>
      </c>
      <c r="AN330" s="237"/>
    </row>
    <row r="331" spans="1:40" x14ac:dyDescent="0.2">
      <c r="A331" s="352"/>
      <c r="B331" s="304"/>
      <c r="C331" s="304"/>
      <c r="D331" s="304"/>
      <c r="E331" s="304"/>
      <c r="F331" s="304"/>
      <c r="G331" s="304"/>
      <c r="H331" s="304"/>
      <c r="I331" s="304"/>
      <c r="J331" s="305"/>
      <c r="K331" s="304"/>
      <c r="L331" s="304"/>
      <c r="M331" s="304"/>
      <c r="N331" s="304"/>
      <c r="O331" s="304"/>
      <c r="P331" s="304"/>
      <c r="Q331" s="304"/>
      <c r="R331" s="304"/>
      <c r="S331" s="305"/>
      <c r="T331" s="304"/>
      <c r="U331" s="304"/>
      <c r="V331" s="304"/>
      <c r="W331" s="304"/>
      <c r="X331" s="304"/>
      <c r="Y331" s="304"/>
      <c r="Z331" s="304"/>
      <c r="AA331" s="304"/>
      <c r="AB331" s="305"/>
      <c r="AC331" s="304"/>
      <c r="AD331" s="304"/>
      <c r="AE331" s="304"/>
      <c r="AF331" s="304"/>
      <c r="AG331" s="304"/>
      <c r="AH331" s="304"/>
      <c r="AI331" s="304"/>
      <c r="AJ331" s="304"/>
      <c r="AK331" s="304"/>
      <c r="AL331" s="305"/>
      <c r="AM331" s="305">
        <f t="shared" si="4"/>
        <v>0</v>
      </c>
      <c r="AN331" s="237"/>
    </row>
    <row r="332" spans="1:40" x14ac:dyDescent="0.2">
      <c r="A332" s="352"/>
      <c r="B332" s="304"/>
      <c r="C332" s="304"/>
      <c r="D332" s="304"/>
      <c r="E332" s="304"/>
      <c r="F332" s="304"/>
      <c r="G332" s="304"/>
      <c r="H332" s="304"/>
      <c r="I332" s="304"/>
      <c r="J332" s="305"/>
      <c r="K332" s="304"/>
      <c r="L332" s="304"/>
      <c r="M332" s="304"/>
      <c r="N332" s="304"/>
      <c r="O332" s="304"/>
      <c r="P332" s="304"/>
      <c r="Q332" s="304"/>
      <c r="R332" s="304"/>
      <c r="S332" s="305"/>
      <c r="T332" s="304"/>
      <c r="U332" s="304"/>
      <c r="V332" s="304"/>
      <c r="W332" s="304"/>
      <c r="X332" s="304"/>
      <c r="Y332" s="304"/>
      <c r="Z332" s="304"/>
      <c r="AA332" s="304"/>
      <c r="AB332" s="305"/>
      <c r="AC332" s="304"/>
      <c r="AD332" s="304"/>
      <c r="AE332" s="304"/>
      <c r="AF332" s="304"/>
      <c r="AG332" s="304"/>
      <c r="AH332" s="304"/>
      <c r="AI332" s="304"/>
      <c r="AJ332" s="304"/>
      <c r="AK332" s="304"/>
      <c r="AL332" s="305"/>
      <c r="AM332" s="305">
        <f t="shared" si="4"/>
        <v>0</v>
      </c>
      <c r="AN332" s="237"/>
    </row>
    <row r="333" spans="1:40" x14ac:dyDescent="0.2">
      <c r="A333" s="352"/>
      <c r="B333" s="304"/>
      <c r="C333" s="304"/>
      <c r="D333" s="304"/>
      <c r="E333" s="304"/>
      <c r="F333" s="304"/>
      <c r="G333" s="304"/>
      <c r="H333" s="304"/>
      <c r="I333" s="304"/>
      <c r="J333" s="305"/>
      <c r="K333" s="304"/>
      <c r="L333" s="304"/>
      <c r="M333" s="304"/>
      <c r="N333" s="304"/>
      <c r="O333" s="304"/>
      <c r="P333" s="304"/>
      <c r="Q333" s="304"/>
      <c r="R333" s="304"/>
      <c r="S333" s="305"/>
      <c r="T333" s="304"/>
      <c r="U333" s="304"/>
      <c r="V333" s="304"/>
      <c r="W333" s="304"/>
      <c r="X333" s="304"/>
      <c r="Y333" s="304"/>
      <c r="Z333" s="304"/>
      <c r="AA333" s="304"/>
      <c r="AB333" s="305"/>
      <c r="AC333" s="304"/>
      <c r="AD333" s="304"/>
      <c r="AE333" s="304"/>
      <c r="AF333" s="304"/>
      <c r="AG333" s="304"/>
      <c r="AH333" s="304"/>
      <c r="AI333" s="304"/>
      <c r="AJ333" s="304"/>
      <c r="AK333" s="304"/>
      <c r="AL333" s="305"/>
      <c r="AM333" s="305">
        <f t="shared" si="4"/>
        <v>0</v>
      </c>
      <c r="AN333" s="237"/>
    </row>
    <row r="334" spans="1:40" ht="13.5" thickBot="1" x14ac:dyDescent="0.25">
      <c r="A334" s="354"/>
      <c r="B334" s="310"/>
      <c r="C334" s="310"/>
      <c r="D334" s="310"/>
      <c r="E334" s="310"/>
      <c r="F334" s="310"/>
      <c r="G334" s="310"/>
      <c r="H334" s="310"/>
      <c r="I334" s="310"/>
      <c r="J334" s="311"/>
      <c r="K334" s="310"/>
      <c r="L334" s="310"/>
      <c r="M334" s="310"/>
      <c r="N334" s="310"/>
      <c r="O334" s="310"/>
      <c r="P334" s="310"/>
      <c r="Q334" s="310"/>
      <c r="R334" s="310"/>
      <c r="S334" s="311"/>
      <c r="T334" s="310"/>
      <c r="U334" s="310"/>
      <c r="V334" s="310"/>
      <c r="W334" s="310"/>
      <c r="X334" s="310"/>
      <c r="Y334" s="310"/>
      <c r="Z334" s="310"/>
      <c r="AA334" s="310"/>
      <c r="AB334" s="311"/>
      <c r="AC334" s="310"/>
      <c r="AD334" s="310"/>
      <c r="AE334" s="310"/>
      <c r="AF334" s="310"/>
      <c r="AG334" s="310"/>
      <c r="AH334" s="310"/>
      <c r="AI334" s="310"/>
      <c r="AJ334" s="310"/>
      <c r="AK334" s="310"/>
      <c r="AL334" s="311"/>
      <c r="AM334" s="311">
        <f t="shared" si="4"/>
        <v>0</v>
      </c>
      <c r="AN334" s="237"/>
    </row>
    <row r="335" spans="1:40" ht="14.25" thickTop="1" thickBot="1" x14ac:dyDescent="0.25">
      <c r="A335" s="354">
        <f>A334+0.001</f>
        <v>1E-3</v>
      </c>
      <c r="B335" s="310">
        <f>B334</f>
        <v>0</v>
      </c>
      <c r="C335" s="310">
        <f t="shared" ref="C335:AL335" si="5">C334</f>
        <v>0</v>
      </c>
      <c r="D335" s="310">
        <f t="shared" si="5"/>
        <v>0</v>
      </c>
      <c r="E335" s="310">
        <f t="shared" si="5"/>
        <v>0</v>
      </c>
      <c r="F335" s="310">
        <f t="shared" si="5"/>
        <v>0</v>
      </c>
      <c r="G335" s="310">
        <f t="shared" si="5"/>
        <v>0</v>
      </c>
      <c r="H335" s="310">
        <f t="shared" si="5"/>
        <v>0</v>
      </c>
      <c r="I335" s="310">
        <f t="shared" si="5"/>
        <v>0</v>
      </c>
      <c r="J335" s="311">
        <f t="shared" si="5"/>
        <v>0</v>
      </c>
      <c r="K335" s="310">
        <f t="shared" si="5"/>
        <v>0</v>
      </c>
      <c r="L335" s="310">
        <f t="shared" si="5"/>
        <v>0</v>
      </c>
      <c r="M335" s="310">
        <f t="shared" si="5"/>
        <v>0</v>
      </c>
      <c r="N335" s="310">
        <f t="shared" si="5"/>
        <v>0</v>
      </c>
      <c r="O335" s="310">
        <f t="shared" si="5"/>
        <v>0</v>
      </c>
      <c r="P335" s="310">
        <f t="shared" si="5"/>
        <v>0</v>
      </c>
      <c r="Q335" s="310">
        <f t="shared" si="5"/>
        <v>0</v>
      </c>
      <c r="R335" s="310">
        <f t="shared" si="5"/>
        <v>0</v>
      </c>
      <c r="S335" s="311">
        <f t="shared" si="5"/>
        <v>0</v>
      </c>
      <c r="T335" s="310">
        <f t="shared" si="5"/>
        <v>0</v>
      </c>
      <c r="U335" s="310">
        <f t="shared" si="5"/>
        <v>0</v>
      </c>
      <c r="V335" s="310">
        <f t="shared" si="5"/>
        <v>0</v>
      </c>
      <c r="W335" s="310">
        <f t="shared" si="5"/>
        <v>0</v>
      </c>
      <c r="X335" s="310">
        <f t="shared" si="5"/>
        <v>0</v>
      </c>
      <c r="Y335" s="310">
        <f t="shared" si="5"/>
        <v>0</v>
      </c>
      <c r="Z335" s="310">
        <f t="shared" si="5"/>
        <v>0</v>
      </c>
      <c r="AA335" s="310">
        <f t="shared" si="5"/>
        <v>0</v>
      </c>
      <c r="AB335" s="311">
        <f t="shared" si="5"/>
        <v>0</v>
      </c>
      <c r="AC335" s="310">
        <f t="shared" si="5"/>
        <v>0</v>
      </c>
      <c r="AD335" s="310">
        <f t="shared" si="5"/>
        <v>0</v>
      </c>
      <c r="AE335" s="310">
        <f t="shared" si="5"/>
        <v>0</v>
      </c>
      <c r="AF335" s="310">
        <f t="shared" si="5"/>
        <v>0</v>
      </c>
      <c r="AG335" s="310">
        <f t="shared" si="5"/>
        <v>0</v>
      </c>
      <c r="AH335" s="310">
        <f t="shared" si="5"/>
        <v>0</v>
      </c>
      <c r="AI335" s="310">
        <f t="shared" si="5"/>
        <v>0</v>
      </c>
      <c r="AJ335" s="310">
        <f t="shared" si="5"/>
        <v>0</v>
      </c>
      <c r="AK335" s="310">
        <f t="shared" si="5"/>
        <v>0</v>
      </c>
      <c r="AL335" s="311">
        <f t="shared" si="5"/>
        <v>0</v>
      </c>
      <c r="AM335" s="311">
        <f>AL334</f>
        <v>0</v>
      </c>
      <c r="AN335" s="237"/>
    </row>
    <row r="336" spans="1:40" ht="14.25" thickTop="1" thickBot="1" x14ac:dyDescent="0.25">
      <c r="A336" s="312"/>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c r="AA336" s="313"/>
      <c r="AB336" s="313"/>
      <c r="AC336" s="313"/>
      <c r="AD336" s="313"/>
      <c r="AE336" s="313"/>
      <c r="AF336" s="313"/>
      <c r="AG336" s="313"/>
      <c r="AH336" s="313"/>
      <c r="AI336" s="313"/>
      <c r="AJ336" s="313"/>
      <c r="AK336" s="313"/>
      <c r="AL336" s="313"/>
      <c r="AM336" s="313"/>
      <c r="AN336" s="314"/>
    </row>
    <row r="337" ht="13.5" thickTop="1" x14ac:dyDescent="0.2"/>
  </sheetData>
  <mergeCells count="10">
    <mergeCell ref="A3:D3"/>
    <mergeCell ref="B296:J296"/>
    <mergeCell ref="A27:D27"/>
    <mergeCell ref="A84:D84"/>
    <mergeCell ref="B85:J85"/>
    <mergeCell ref="A128:F128"/>
    <mergeCell ref="A234:D234"/>
    <mergeCell ref="A295:D295"/>
    <mergeCell ref="A19:D19"/>
    <mergeCell ref="A15:D15"/>
  </mergeCells>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Data Entry</vt:lpstr>
      <vt:lpstr>Print Form</vt:lpstr>
      <vt:lpstr>Error Messages</vt:lpstr>
      <vt:lpstr>Data Calculations</vt:lpstr>
      <vt:lpstr>Parameters</vt:lpstr>
      <vt:lpstr>Table References</vt:lpstr>
      <vt:lpstr>CL6 6MV</vt:lpstr>
      <vt:lpstr>6MV</vt:lpstr>
      <vt:lpstr>10MV</vt:lpstr>
      <vt:lpstr>15MV</vt:lpstr>
      <vt:lpstr>'10MV'!CL21C_15MV_Enhanced_Dynamic_Wedge_Factors</vt:lpstr>
      <vt:lpstr>CL21C_15MV_Enhanced_Dynamic_Wedge_Factors</vt:lpstr>
      <vt:lpstr>'10MV'!CL21C_15MV_Peak_Scatter_Factor</vt:lpstr>
      <vt:lpstr>CL21C_15MV_Peak_Scatter_Factor</vt:lpstr>
      <vt:lpstr>'10MV'!CL21C_15MV_RDF</vt:lpstr>
      <vt:lpstr>CL21C_15MV_RDF</vt:lpstr>
      <vt:lpstr>'10MV'!CL21C_15MV_ROF</vt:lpstr>
      <vt:lpstr>CL21C_15MV_ROF</vt:lpstr>
      <vt:lpstr>CL21C_6MV_Enhanced_Dynamic_Wedge_Factors</vt:lpstr>
      <vt:lpstr>CL21C_6MV_Peak_Scatter_Factor</vt:lpstr>
      <vt:lpstr>CL21C_6MV_RDF</vt:lpstr>
      <vt:lpstr>CL21C_6MV_ROF</vt:lpstr>
      <vt:lpstr>CL6_6MV_Enhanced_Dynamic_Wedge_Factors</vt:lpstr>
      <vt:lpstr>CL6_6MV_Peak_Scatter_Factor</vt:lpstr>
      <vt:lpstr>CL6_6MV_RDF</vt:lpstr>
      <vt:lpstr>CL6_6MV_ROF</vt:lpstr>
      <vt:lpstr>'Data Entry'!Print_Area</vt:lpstr>
      <vt:lpstr>'Error Messages'!Print_Area</vt:lpstr>
      <vt:lpstr>'Print Form'!Print_Area</vt:lpstr>
    </vt:vector>
  </TitlesOfParts>
  <Company>KRCC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 Calc Spreadsheet</dc:title>
  <dc:subject>Physics Calc</dc:subject>
  <dc:creator>Greg Salomons</dc:creator>
  <dc:description>Version 2.11</dc:description>
  <cp:lastModifiedBy>Salomons, Greg</cp:lastModifiedBy>
  <cp:lastPrinted>2015-10-01T03:06:11Z</cp:lastPrinted>
  <dcterms:created xsi:type="dcterms:W3CDTF">2003-11-06T17:40:41Z</dcterms:created>
  <dcterms:modified xsi:type="dcterms:W3CDTF">2017-10-04T17:04:22Z</dcterms:modified>
</cp:coreProperties>
</file>