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475" yWindow="5490" windowWidth="27030" windowHeight="9885" firstSheet="5" activeTab="11"/>
  </bookViews>
  <sheets>
    <sheet name="Pelvis Anatomy General" sheetId="1" r:id="rId1"/>
    <sheet name="Pelvis Anatomy Male" sheetId="2" r:id="rId2"/>
    <sheet name="Pelvis Anatomy Female" sheetId="3" r:id="rId3"/>
    <sheet name="Pelvis Nodes" sheetId="4" r:id="rId4"/>
    <sheet name="Rectum" sheetId="5" r:id="rId5"/>
    <sheet name="Bladder Single Phase" sheetId="6" r:id="rId6"/>
    <sheet name="Bladder Two Phase" sheetId="7" r:id="rId7"/>
    <sheet name="Gyne" sheetId="8" r:id="rId8"/>
    <sheet name="Prostate" sheetId="9" r:id="rId9"/>
    <sheet name="Prostate 2Ph VMAT" sheetId="12" r:id="rId10"/>
    <sheet name="Prostate SIB 70 in 28" sheetId="13" r:id="rId11"/>
    <sheet name="Prostate SIB 68 in 25" sheetId="14" r:id="rId12"/>
    <sheet name="VMAT ANUS" sheetId="10" r:id="rId13"/>
    <sheet name="Gyne VMAT" sheetId="11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U35" i="14" l="1"/>
  <c r="T35" i="14"/>
  <c r="S35" i="14"/>
  <c r="R35" i="14"/>
  <c r="Q35" i="14"/>
  <c r="P35" i="14"/>
  <c r="O35" i="14"/>
  <c r="N35" i="14"/>
  <c r="M35" i="14"/>
  <c r="L35" i="14"/>
  <c r="K35" i="14"/>
  <c r="J35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U9" i="14"/>
  <c r="T9" i="14"/>
  <c r="S9" i="14"/>
  <c r="R9" i="14"/>
  <c r="Q9" i="14"/>
  <c r="P9" i="14"/>
  <c r="O9" i="14"/>
  <c r="N9" i="14"/>
  <c r="M9" i="14"/>
  <c r="L9" i="14"/>
  <c r="K9" i="14"/>
  <c r="J9" i="14"/>
  <c r="U8" i="14"/>
  <c r="T8" i="14"/>
  <c r="S8" i="14"/>
  <c r="R8" i="14"/>
  <c r="Q8" i="14"/>
  <c r="P8" i="14"/>
  <c r="O8" i="14"/>
  <c r="N8" i="14"/>
  <c r="M8" i="14"/>
  <c r="L8" i="14"/>
  <c r="K8" i="14"/>
  <c r="J8" i="14"/>
  <c r="U7" i="14"/>
  <c r="T7" i="14"/>
  <c r="S7" i="14"/>
  <c r="R7" i="14"/>
  <c r="Q7" i="14"/>
  <c r="P7" i="14"/>
  <c r="O7" i="14"/>
  <c r="N7" i="14"/>
  <c r="M7" i="14"/>
  <c r="L7" i="14"/>
  <c r="K7" i="14"/>
  <c r="J7" i="14"/>
  <c r="U6" i="14"/>
  <c r="T6" i="14"/>
  <c r="S6" i="14"/>
  <c r="R6" i="14"/>
  <c r="Q6" i="14"/>
  <c r="P6" i="14"/>
  <c r="O6" i="14"/>
  <c r="N6" i="14"/>
  <c r="M6" i="14"/>
  <c r="L6" i="14"/>
  <c r="K6" i="14"/>
  <c r="J6" i="14"/>
  <c r="U5" i="14"/>
  <c r="T5" i="14"/>
  <c r="S5" i="14"/>
  <c r="R5" i="14"/>
  <c r="Q5" i="14"/>
  <c r="P5" i="14"/>
  <c r="O5" i="14"/>
  <c r="N5" i="14"/>
  <c r="M5" i="14"/>
  <c r="L5" i="14"/>
  <c r="K5" i="14"/>
  <c r="J5" i="14"/>
  <c r="U4" i="14"/>
  <c r="T4" i="14"/>
  <c r="S4" i="14"/>
  <c r="R4" i="14"/>
  <c r="Q4" i="14"/>
  <c r="P4" i="14"/>
  <c r="O4" i="14"/>
  <c r="N4" i="14"/>
  <c r="M4" i="14"/>
  <c r="L4" i="14"/>
  <c r="K4" i="14"/>
  <c r="J4" i="14"/>
  <c r="U3" i="14"/>
  <c r="T3" i="14"/>
  <c r="S3" i="14"/>
  <c r="R3" i="14"/>
  <c r="Q3" i="14"/>
  <c r="P3" i="14"/>
  <c r="O3" i="14"/>
  <c r="N3" i="14"/>
  <c r="M3" i="14"/>
  <c r="L3" i="14"/>
  <c r="K3" i="14"/>
  <c r="J3" i="14"/>
  <c r="U35" i="13"/>
  <c r="T35" i="13"/>
  <c r="S35" i="13"/>
  <c r="R35" i="13"/>
  <c r="Q35" i="13"/>
  <c r="P35" i="13"/>
  <c r="O35" i="13"/>
  <c r="N35" i="13"/>
  <c r="M35" i="13"/>
  <c r="L35" i="13"/>
  <c r="K35" i="13"/>
  <c r="J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U9" i="13"/>
  <c r="T9" i="13"/>
  <c r="S9" i="13"/>
  <c r="R9" i="13"/>
  <c r="Q9" i="13"/>
  <c r="P9" i="13"/>
  <c r="O9" i="13"/>
  <c r="N9" i="13"/>
  <c r="M9" i="13"/>
  <c r="L9" i="13"/>
  <c r="K9" i="13"/>
  <c r="J9" i="13"/>
  <c r="U8" i="13"/>
  <c r="T8" i="13"/>
  <c r="S8" i="13"/>
  <c r="R8" i="13"/>
  <c r="Q8" i="13"/>
  <c r="P8" i="13"/>
  <c r="O8" i="13"/>
  <c r="N8" i="13"/>
  <c r="M8" i="13"/>
  <c r="L8" i="13"/>
  <c r="K8" i="13"/>
  <c r="J8" i="13"/>
  <c r="U7" i="13"/>
  <c r="T7" i="13"/>
  <c r="S7" i="13"/>
  <c r="R7" i="13"/>
  <c r="Q7" i="13"/>
  <c r="P7" i="13"/>
  <c r="O7" i="13"/>
  <c r="N7" i="13"/>
  <c r="M7" i="13"/>
  <c r="L7" i="13"/>
  <c r="K7" i="13"/>
  <c r="J7" i="13"/>
  <c r="U6" i="13"/>
  <c r="T6" i="13"/>
  <c r="S6" i="13"/>
  <c r="R6" i="13"/>
  <c r="Q6" i="13"/>
  <c r="P6" i="13"/>
  <c r="O6" i="13"/>
  <c r="N6" i="13"/>
  <c r="M6" i="13"/>
  <c r="L6" i="13"/>
  <c r="K6" i="13"/>
  <c r="J6" i="13"/>
  <c r="U5" i="13"/>
  <c r="T5" i="13"/>
  <c r="S5" i="13"/>
  <c r="R5" i="13"/>
  <c r="Q5" i="13"/>
  <c r="P5" i="13"/>
  <c r="O5" i="13"/>
  <c r="N5" i="13"/>
  <c r="M5" i="13"/>
  <c r="L5" i="13"/>
  <c r="K5" i="13"/>
  <c r="J5" i="13"/>
  <c r="U4" i="13"/>
  <c r="T4" i="13"/>
  <c r="S4" i="13"/>
  <c r="R4" i="13"/>
  <c r="Q4" i="13"/>
  <c r="P4" i="13"/>
  <c r="O4" i="13"/>
  <c r="N4" i="13"/>
  <c r="M4" i="13"/>
  <c r="L4" i="13"/>
  <c r="K4" i="13"/>
  <c r="J4" i="13"/>
  <c r="U3" i="13" l="1"/>
  <c r="T3" i="13"/>
  <c r="S3" i="13"/>
  <c r="R3" i="13"/>
  <c r="Q3" i="13"/>
  <c r="P3" i="13"/>
  <c r="O3" i="13"/>
  <c r="N3" i="13"/>
  <c r="M3" i="13"/>
  <c r="L3" i="13"/>
  <c r="K3" i="13"/>
  <c r="J3" i="13" l="1"/>
  <c r="K22" i="12"/>
  <c r="L22" i="12"/>
  <c r="M22" i="12"/>
  <c r="N22" i="12"/>
  <c r="P22" i="12"/>
  <c r="Q22" i="12"/>
  <c r="R22" i="12"/>
  <c r="S22" i="12"/>
  <c r="T22" i="12"/>
  <c r="U22" i="12"/>
  <c r="K23" i="12"/>
  <c r="L23" i="12"/>
  <c r="M23" i="12"/>
  <c r="N23" i="12"/>
  <c r="P23" i="12"/>
  <c r="Q23" i="12"/>
  <c r="R23" i="12"/>
  <c r="S23" i="12"/>
  <c r="T23" i="12"/>
  <c r="U23" i="12"/>
  <c r="K24" i="12"/>
  <c r="L24" i="12"/>
  <c r="M24" i="12"/>
  <c r="N24" i="12"/>
  <c r="P24" i="12"/>
  <c r="Q24" i="12"/>
  <c r="R24" i="12"/>
  <c r="S24" i="12"/>
  <c r="T24" i="12"/>
  <c r="U24" i="12"/>
  <c r="K25" i="12"/>
  <c r="L25" i="12"/>
  <c r="M25" i="12"/>
  <c r="N25" i="12"/>
  <c r="O25" i="12"/>
  <c r="P25" i="12"/>
  <c r="Q25" i="12"/>
  <c r="R25" i="12"/>
  <c r="S25" i="12"/>
  <c r="T25" i="12"/>
  <c r="U25" i="12"/>
  <c r="K26" i="12"/>
  <c r="L26" i="12"/>
  <c r="M26" i="12"/>
  <c r="N26" i="12"/>
  <c r="P26" i="12"/>
  <c r="Q26" i="12"/>
  <c r="R26" i="12"/>
  <c r="S26" i="12"/>
  <c r="T26" i="12"/>
  <c r="U26" i="12"/>
  <c r="K27" i="12"/>
  <c r="L27" i="12"/>
  <c r="M27" i="12"/>
  <c r="N27" i="12"/>
  <c r="P27" i="12"/>
  <c r="Q27" i="12"/>
  <c r="R27" i="12"/>
  <c r="S27" i="12"/>
  <c r="T27" i="12"/>
  <c r="U27" i="12"/>
  <c r="K28" i="12"/>
  <c r="L28" i="12"/>
  <c r="M28" i="12"/>
  <c r="N28" i="12"/>
  <c r="P28" i="12"/>
  <c r="Q28" i="12"/>
  <c r="R28" i="12"/>
  <c r="S28" i="12"/>
  <c r="T28" i="12"/>
  <c r="U28" i="12"/>
  <c r="K29" i="12"/>
  <c r="L29" i="12"/>
  <c r="M29" i="12"/>
  <c r="N29" i="12"/>
  <c r="P29" i="12"/>
  <c r="Q29" i="12"/>
  <c r="R29" i="12"/>
  <c r="S29" i="12"/>
  <c r="T29" i="12"/>
  <c r="U29" i="12"/>
  <c r="K30" i="12"/>
  <c r="L30" i="12"/>
  <c r="M30" i="12"/>
  <c r="N30" i="12"/>
  <c r="P30" i="12"/>
  <c r="Q30" i="12"/>
  <c r="R30" i="12"/>
  <c r="S30" i="12"/>
  <c r="T30" i="12"/>
  <c r="U30" i="12"/>
  <c r="K31" i="12"/>
  <c r="L31" i="12"/>
  <c r="M31" i="12"/>
  <c r="N31" i="12"/>
  <c r="P31" i="12"/>
  <c r="Q31" i="12"/>
  <c r="R31" i="12"/>
  <c r="S31" i="12"/>
  <c r="T31" i="12"/>
  <c r="U31" i="12"/>
  <c r="U38" i="11" l="1"/>
  <c r="T38" i="11"/>
  <c r="S38" i="11"/>
  <c r="R38" i="11"/>
  <c r="Q38" i="11"/>
  <c r="P38" i="11"/>
  <c r="N38" i="11"/>
  <c r="M38" i="11"/>
  <c r="L38" i="11"/>
  <c r="K38" i="11"/>
  <c r="U37" i="11"/>
  <c r="T37" i="11"/>
  <c r="S37" i="11"/>
  <c r="R37" i="11"/>
  <c r="Q37" i="11"/>
  <c r="P37" i="11"/>
  <c r="N37" i="11"/>
  <c r="M37" i="11"/>
  <c r="L37" i="11"/>
  <c r="K37" i="11"/>
  <c r="U36" i="11"/>
  <c r="T36" i="11"/>
  <c r="S36" i="11"/>
  <c r="R36" i="11"/>
  <c r="Q36" i="11"/>
  <c r="P36" i="11"/>
  <c r="N36" i="11"/>
  <c r="M36" i="11"/>
  <c r="L36" i="11"/>
  <c r="K36" i="11"/>
  <c r="U35" i="11"/>
  <c r="T35" i="11"/>
  <c r="S35" i="11"/>
  <c r="R35" i="11"/>
  <c r="Q35" i="11"/>
  <c r="P35" i="11"/>
  <c r="N35" i="11"/>
  <c r="M35" i="11"/>
  <c r="L35" i="11"/>
  <c r="K35" i="11"/>
  <c r="U34" i="11"/>
  <c r="T34" i="11"/>
  <c r="S34" i="11"/>
  <c r="R34" i="11"/>
  <c r="Q34" i="11"/>
  <c r="P34" i="11"/>
  <c r="N34" i="11"/>
  <c r="M34" i="11"/>
  <c r="L34" i="11"/>
  <c r="K34" i="11"/>
  <c r="U33" i="11"/>
  <c r="T33" i="11"/>
  <c r="S33" i="11"/>
  <c r="R33" i="11"/>
  <c r="Q33" i="11"/>
  <c r="P33" i="11"/>
  <c r="N33" i="11"/>
  <c r="M33" i="11"/>
  <c r="L33" i="11"/>
  <c r="K33" i="11"/>
  <c r="U32" i="11"/>
  <c r="T32" i="11"/>
  <c r="S32" i="11"/>
  <c r="R32" i="11"/>
  <c r="Q32" i="11"/>
  <c r="P32" i="11"/>
  <c r="O32" i="11"/>
  <c r="N32" i="11"/>
  <c r="M32" i="11"/>
  <c r="L32" i="11"/>
  <c r="K32" i="11"/>
  <c r="U31" i="11"/>
  <c r="T31" i="11"/>
  <c r="S31" i="11"/>
  <c r="R31" i="11"/>
  <c r="Q31" i="11"/>
  <c r="P31" i="11"/>
  <c r="N31" i="11"/>
  <c r="M31" i="11"/>
  <c r="L31" i="11"/>
  <c r="K31" i="11"/>
  <c r="U30" i="11"/>
  <c r="T30" i="11"/>
  <c r="S30" i="11"/>
  <c r="R30" i="11"/>
  <c r="Q30" i="11"/>
  <c r="P30" i="11"/>
  <c r="N30" i="11"/>
  <c r="M30" i="11"/>
  <c r="L30" i="11"/>
  <c r="K30" i="11"/>
  <c r="U29" i="11"/>
  <c r="T29" i="11"/>
  <c r="S29" i="11"/>
  <c r="R29" i="11"/>
  <c r="Q29" i="11"/>
  <c r="P29" i="11"/>
  <c r="N29" i="11"/>
  <c r="M29" i="11"/>
  <c r="L29" i="11"/>
  <c r="K29" i="11"/>
  <c r="U28" i="11"/>
  <c r="T28" i="11"/>
  <c r="S28" i="11"/>
  <c r="R28" i="11"/>
  <c r="Q28" i="11"/>
  <c r="P28" i="11"/>
  <c r="N28" i="11"/>
  <c r="M28" i="11"/>
  <c r="L28" i="11"/>
  <c r="K28" i="11"/>
  <c r="U27" i="11"/>
  <c r="T27" i="11"/>
  <c r="S27" i="11"/>
  <c r="R27" i="11"/>
  <c r="Q27" i="11"/>
  <c r="P27" i="11"/>
  <c r="N27" i="11"/>
  <c r="M27" i="11"/>
  <c r="L27" i="11"/>
  <c r="K27" i="11"/>
  <c r="U26" i="11"/>
  <c r="T26" i="11"/>
  <c r="S26" i="11"/>
  <c r="R26" i="11"/>
  <c r="Q26" i="11"/>
  <c r="P26" i="11"/>
  <c r="O26" i="11"/>
  <c r="N26" i="11"/>
  <c r="M26" i="11"/>
  <c r="L26" i="11"/>
  <c r="K26" i="11"/>
  <c r="U25" i="11"/>
  <c r="T25" i="11"/>
  <c r="S25" i="11"/>
  <c r="R25" i="11"/>
  <c r="Q25" i="11"/>
  <c r="P25" i="11"/>
  <c r="O25" i="11"/>
  <c r="N25" i="11"/>
  <c r="M25" i="11"/>
  <c r="L25" i="11"/>
  <c r="K25" i="11"/>
  <c r="U24" i="11"/>
  <c r="T24" i="11"/>
  <c r="S24" i="11"/>
  <c r="R24" i="11"/>
  <c r="Q24" i="11"/>
  <c r="P24" i="11"/>
  <c r="O24" i="11"/>
  <c r="N24" i="11"/>
  <c r="M24" i="11"/>
  <c r="L24" i="11"/>
  <c r="K24" i="11"/>
  <c r="U23" i="11"/>
  <c r="T23" i="11"/>
  <c r="S23" i="11"/>
  <c r="R23" i="11"/>
  <c r="Q23" i="11"/>
  <c r="P23" i="11"/>
  <c r="O23" i="11"/>
  <c r="N23" i="11"/>
  <c r="M23" i="11"/>
  <c r="L23" i="11"/>
  <c r="K23" i="11"/>
  <c r="U22" i="11"/>
  <c r="T22" i="11"/>
  <c r="S22" i="11"/>
  <c r="R22" i="11"/>
  <c r="Q22" i="11"/>
  <c r="P22" i="11"/>
  <c r="O22" i="11"/>
  <c r="N22" i="11"/>
  <c r="M22" i="11"/>
  <c r="L22" i="11"/>
  <c r="K22" i="11"/>
  <c r="U21" i="11"/>
  <c r="T21" i="11"/>
  <c r="S21" i="11"/>
  <c r="R21" i="11"/>
  <c r="Q21" i="11"/>
  <c r="P21" i="11"/>
  <c r="O21" i="11"/>
  <c r="N21" i="11"/>
  <c r="M21" i="11"/>
  <c r="L21" i="11"/>
  <c r="K21" i="11"/>
  <c r="U20" i="11"/>
  <c r="T20" i="11"/>
  <c r="S20" i="11"/>
  <c r="R20" i="11"/>
  <c r="Q20" i="11"/>
  <c r="P20" i="11"/>
  <c r="O20" i="11"/>
  <c r="N20" i="11"/>
  <c r="M20" i="11"/>
  <c r="L20" i="11"/>
  <c r="K20" i="11"/>
  <c r="U19" i="11"/>
  <c r="T19" i="11"/>
  <c r="S19" i="11"/>
  <c r="R19" i="11"/>
  <c r="Q19" i="11"/>
  <c r="P19" i="11"/>
  <c r="O19" i="11"/>
  <c r="N19" i="11"/>
  <c r="M19" i="11"/>
  <c r="L19" i="11"/>
  <c r="K19" i="11"/>
  <c r="U18" i="11"/>
  <c r="T18" i="11"/>
  <c r="S18" i="11"/>
  <c r="R18" i="11"/>
  <c r="Q18" i="11"/>
  <c r="P18" i="11"/>
  <c r="O18" i="11"/>
  <c r="N18" i="11"/>
  <c r="M18" i="11"/>
  <c r="L18" i="11"/>
  <c r="K18" i="11"/>
  <c r="U17" i="11"/>
  <c r="T17" i="11"/>
  <c r="S17" i="11"/>
  <c r="R17" i="11"/>
  <c r="Q17" i="11"/>
  <c r="P17" i="11"/>
  <c r="N17" i="11"/>
  <c r="M17" i="11"/>
  <c r="L17" i="11"/>
  <c r="K17" i="11"/>
  <c r="U16" i="11"/>
  <c r="T16" i="11"/>
  <c r="S16" i="11"/>
  <c r="R16" i="11"/>
  <c r="Q16" i="11"/>
  <c r="P16" i="11"/>
  <c r="N16" i="11"/>
  <c r="M16" i="11"/>
  <c r="L16" i="11"/>
  <c r="K16" i="11"/>
  <c r="U15" i="11"/>
  <c r="T15" i="11"/>
  <c r="S15" i="11"/>
  <c r="R15" i="11"/>
  <c r="Q15" i="11"/>
  <c r="P15" i="11"/>
  <c r="O15" i="11"/>
  <c r="N15" i="11"/>
  <c r="M15" i="11"/>
  <c r="L15" i="11"/>
  <c r="K15" i="11"/>
  <c r="U14" i="11"/>
  <c r="T14" i="11"/>
  <c r="S14" i="11"/>
  <c r="R14" i="11"/>
  <c r="Q14" i="11"/>
  <c r="P14" i="11"/>
  <c r="N14" i="11"/>
  <c r="M14" i="11"/>
  <c r="L14" i="11"/>
  <c r="K14" i="11"/>
  <c r="U13" i="11"/>
  <c r="T13" i="11"/>
  <c r="S13" i="11"/>
  <c r="R13" i="11"/>
  <c r="Q13" i="11"/>
  <c r="P13" i="11"/>
  <c r="N13" i="11"/>
  <c r="M13" i="11"/>
  <c r="L13" i="11"/>
  <c r="K13" i="11"/>
  <c r="U12" i="11"/>
  <c r="T12" i="11"/>
  <c r="S12" i="11"/>
  <c r="R12" i="11"/>
  <c r="Q12" i="11"/>
  <c r="P12" i="11"/>
  <c r="N12" i="11"/>
  <c r="M12" i="11"/>
  <c r="L12" i="11"/>
  <c r="K12" i="11"/>
  <c r="U11" i="11"/>
  <c r="T11" i="11"/>
  <c r="S11" i="11"/>
  <c r="R11" i="11"/>
  <c r="Q11" i="11"/>
  <c r="P11" i="11"/>
  <c r="N11" i="11"/>
  <c r="M11" i="11"/>
  <c r="L11" i="11"/>
  <c r="K11" i="11"/>
  <c r="U10" i="11"/>
  <c r="T10" i="11"/>
  <c r="S10" i="11"/>
  <c r="R10" i="11"/>
  <c r="Q10" i="11"/>
  <c r="P10" i="11"/>
  <c r="O10" i="11"/>
  <c r="N10" i="11"/>
  <c r="M10" i="11"/>
  <c r="L10" i="11"/>
  <c r="K10" i="11"/>
  <c r="U9" i="11"/>
  <c r="T9" i="11"/>
  <c r="S9" i="11"/>
  <c r="R9" i="11"/>
  <c r="Q9" i="11"/>
  <c r="P9" i="11"/>
  <c r="N9" i="11"/>
  <c r="M9" i="11"/>
  <c r="L9" i="11"/>
  <c r="K9" i="11"/>
  <c r="U8" i="11"/>
  <c r="T8" i="11"/>
  <c r="S8" i="11"/>
  <c r="R8" i="11"/>
  <c r="Q8" i="11"/>
  <c r="P8" i="11"/>
  <c r="O8" i="11"/>
  <c r="N8" i="11"/>
  <c r="M8" i="11"/>
  <c r="L8" i="11"/>
  <c r="K8" i="11"/>
  <c r="U7" i="11"/>
  <c r="T7" i="11"/>
  <c r="S7" i="11"/>
  <c r="R7" i="11"/>
  <c r="Q7" i="11"/>
  <c r="P7" i="11"/>
  <c r="N7" i="11"/>
  <c r="M7" i="11"/>
  <c r="L7" i="11"/>
  <c r="K7" i="11"/>
  <c r="U6" i="11"/>
  <c r="T6" i="11"/>
  <c r="S6" i="11"/>
  <c r="R6" i="11"/>
  <c r="Q6" i="11"/>
  <c r="P6" i="11"/>
  <c r="N6" i="11"/>
  <c r="M6" i="11"/>
  <c r="L6" i="11"/>
  <c r="K6" i="11"/>
  <c r="U5" i="11"/>
  <c r="T5" i="11"/>
  <c r="S5" i="11"/>
  <c r="R5" i="11"/>
  <c r="Q5" i="11"/>
  <c r="P5" i="11"/>
  <c r="N5" i="11"/>
  <c r="M5" i="11"/>
  <c r="L5" i="11"/>
  <c r="K5" i="11"/>
  <c r="U4" i="11"/>
  <c r="T4" i="11"/>
  <c r="S4" i="11"/>
  <c r="R4" i="11"/>
  <c r="Q4" i="11"/>
  <c r="P4" i="11"/>
  <c r="O4" i="11"/>
  <c r="N4" i="11"/>
  <c r="M4" i="11"/>
  <c r="L4" i="11"/>
  <c r="K4" i="11"/>
  <c r="U3" i="11"/>
  <c r="T3" i="11"/>
  <c r="S3" i="11"/>
  <c r="R3" i="11"/>
  <c r="Q3" i="11"/>
  <c r="P3" i="11"/>
  <c r="N3" i="11"/>
  <c r="M3" i="11"/>
  <c r="L3" i="11"/>
  <c r="K3" i="11"/>
  <c r="U24" i="10"/>
  <c r="T24" i="10"/>
  <c r="S24" i="10"/>
  <c r="R24" i="10"/>
  <c r="Q24" i="10"/>
  <c r="P24" i="10"/>
  <c r="N24" i="10"/>
  <c r="M24" i="10"/>
  <c r="L24" i="10"/>
  <c r="K24" i="10"/>
  <c r="U23" i="10"/>
  <c r="T23" i="10"/>
  <c r="S23" i="10"/>
  <c r="R23" i="10"/>
  <c r="Q23" i="10"/>
  <c r="P23" i="10"/>
  <c r="N23" i="10"/>
  <c r="M23" i="10"/>
  <c r="L23" i="10"/>
  <c r="K23" i="10"/>
  <c r="U22" i="10"/>
  <c r="T22" i="10"/>
  <c r="S22" i="10"/>
  <c r="R22" i="10"/>
  <c r="Q22" i="10"/>
  <c r="P22" i="10"/>
  <c r="N22" i="10"/>
  <c r="M22" i="10"/>
  <c r="L22" i="10"/>
  <c r="K22" i="10"/>
  <c r="U21" i="10"/>
  <c r="T21" i="10"/>
  <c r="S21" i="10"/>
  <c r="R21" i="10"/>
  <c r="Q21" i="10"/>
  <c r="P21" i="10"/>
  <c r="N21" i="10"/>
  <c r="M21" i="10"/>
  <c r="L21" i="10"/>
  <c r="K21" i="10"/>
  <c r="U20" i="10"/>
  <c r="T20" i="10"/>
  <c r="S20" i="10"/>
  <c r="R20" i="10"/>
  <c r="Q20" i="10"/>
  <c r="P20" i="10"/>
  <c r="O20" i="10"/>
  <c r="N20" i="10"/>
  <c r="M20" i="10"/>
  <c r="L20" i="10"/>
  <c r="K20" i="10"/>
  <c r="U19" i="10"/>
  <c r="T19" i="10"/>
  <c r="S19" i="10"/>
  <c r="R19" i="10"/>
  <c r="Q19" i="10"/>
  <c r="P19" i="10"/>
  <c r="O19" i="10"/>
  <c r="N19" i="10"/>
  <c r="M19" i="10"/>
  <c r="L19" i="10"/>
  <c r="K19" i="10"/>
  <c r="U18" i="10"/>
  <c r="T18" i="10"/>
  <c r="S18" i="10"/>
  <c r="R18" i="10"/>
  <c r="Q18" i="10"/>
  <c r="P18" i="10"/>
  <c r="O18" i="10"/>
  <c r="N18" i="10"/>
  <c r="M18" i="10"/>
  <c r="L18" i="10"/>
  <c r="K18" i="10"/>
  <c r="U17" i="10"/>
  <c r="T17" i="10"/>
  <c r="S17" i="10"/>
  <c r="R17" i="10"/>
  <c r="Q17" i="10"/>
  <c r="P17" i="10"/>
  <c r="N17" i="10"/>
  <c r="M17" i="10"/>
  <c r="L17" i="10"/>
  <c r="K17" i="10"/>
  <c r="U16" i="10"/>
  <c r="T16" i="10"/>
  <c r="S16" i="10"/>
  <c r="R16" i="10"/>
  <c r="Q16" i="10"/>
  <c r="P16" i="10"/>
  <c r="N16" i="10"/>
  <c r="M16" i="10"/>
  <c r="L16" i="10"/>
  <c r="K16" i="10"/>
  <c r="U15" i="10"/>
  <c r="T15" i="10"/>
  <c r="S15" i="10"/>
  <c r="R15" i="10"/>
  <c r="Q15" i="10"/>
  <c r="P15" i="10"/>
  <c r="N15" i="10"/>
  <c r="M15" i="10"/>
  <c r="L15" i="10"/>
  <c r="K15" i="10"/>
  <c r="U14" i="10"/>
  <c r="T14" i="10"/>
  <c r="S14" i="10"/>
  <c r="R14" i="10"/>
  <c r="Q14" i="10"/>
  <c r="P14" i="10"/>
  <c r="O14" i="10"/>
  <c r="N14" i="10"/>
  <c r="M14" i="10"/>
  <c r="L14" i="10"/>
  <c r="K14" i="10"/>
  <c r="U13" i="10"/>
  <c r="T13" i="10"/>
  <c r="S13" i="10"/>
  <c r="R13" i="10"/>
  <c r="Q13" i="10"/>
  <c r="P13" i="10"/>
  <c r="O13" i="10"/>
  <c r="N13" i="10"/>
  <c r="M13" i="10"/>
  <c r="L13" i="10"/>
  <c r="K13" i="10"/>
  <c r="U12" i="10"/>
  <c r="T12" i="10"/>
  <c r="S12" i="10"/>
  <c r="R12" i="10"/>
  <c r="Q12" i="10"/>
  <c r="P12" i="10"/>
  <c r="O12" i="10"/>
  <c r="N12" i="10"/>
  <c r="M12" i="10"/>
  <c r="L12" i="10"/>
  <c r="K12" i="10"/>
  <c r="U11" i="10"/>
  <c r="T11" i="10"/>
  <c r="S11" i="10"/>
  <c r="R11" i="10"/>
  <c r="Q11" i="10"/>
  <c r="P11" i="10"/>
  <c r="N11" i="10"/>
  <c r="M11" i="10"/>
  <c r="L11" i="10"/>
  <c r="K11" i="10"/>
  <c r="U10" i="10"/>
  <c r="T10" i="10"/>
  <c r="S10" i="10"/>
  <c r="R10" i="10"/>
  <c r="Q10" i="10"/>
  <c r="P10" i="10"/>
  <c r="O10" i="10"/>
  <c r="N10" i="10"/>
  <c r="M10" i="10"/>
  <c r="L10" i="10"/>
  <c r="K10" i="10"/>
  <c r="U9" i="10"/>
  <c r="T9" i="10"/>
  <c r="S9" i="10"/>
  <c r="R9" i="10"/>
  <c r="Q9" i="10"/>
  <c r="P9" i="10"/>
  <c r="N9" i="10"/>
  <c r="M9" i="10"/>
  <c r="L9" i="10"/>
  <c r="K9" i="10"/>
  <c r="U8" i="10"/>
  <c r="T8" i="10"/>
  <c r="S8" i="10"/>
  <c r="R8" i="10"/>
  <c r="Q8" i="10"/>
  <c r="P8" i="10"/>
  <c r="O8" i="10"/>
  <c r="N8" i="10"/>
  <c r="M8" i="10"/>
  <c r="L8" i="10"/>
  <c r="K8" i="10"/>
  <c r="U7" i="10"/>
  <c r="T7" i="10"/>
  <c r="S7" i="10"/>
  <c r="R7" i="10"/>
  <c r="Q7" i="10"/>
  <c r="P7" i="10"/>
  <c r="N7" i="10"/>
  <c r="M7" i="10"/>
  <c r="L7" i="10"/>
  <c r="K7" i="10"/>
  <c r="U6" i="10"/>
  <c r="T6" i="10"/>
  <c r="S6" i="10"/>
  <c r="R6" i="10"/>
  <c r="Q6" i="10"/>
  <c r="P6" i="10"/>
  <c r="N6" i="10"/>
  <c r="M6" i="10"/>
  <c r="L6" i="10"/>
  <c r="K6" i="10"/>
  <c r="U5" i="10"/>
  <c r="T5" i="10"/>
  <c r="S5" i="10"/>
  <c r="R5" i="10"/>
  <c r="Q5" i="10"/>
  <c r="P5" i="10"/>
  <c r="N5" i="10"/>
  <c r="M5" i="10"/>
  <c r="L5" i="10"/>
  <c r="K5" i="10"/>
  <c r="U4" i="10"/>
  <c r="T4" i="10"/>
  <c r="S4" i="10"/>
  <c r="R4" i="10"/>
  <c r="Q4" i="10"/>
  <c r="P4" i="10"/>
  <c r="O4" i="10"/>
  <c r="N4" i="10"/>
  <c r="M4" i="10"/>
  <c r="L4" i="10"/>
  <c r="K4" i="10"/>
  <c r="U3" i="10"/>
  <c r="T3" i="10"/>
  <c r="S3" i="10"/>
  <c r="R3" i="10"/>
  <c r="Q3" i="10"/>
  <c r="P3" i="10"/>
  <c r="O3" i="10"/>
  <c r="N3" i="10"/>
  <c r="M3" i="10"/>
  <c r="L3" i="10"/>
  <c r="K3" i="10"/>
  <c r="U32" i="12"/>
  <c r="T32" i="12"/>
  <c r="S32" i="12"/>
  <c r="R32" i="12"/>
  <c r="Q32" i="12"/>
  <c r="P32" i="12"/>
  <c r="N32" i="12"/>
  <c r="M32" i="12"/>
  <c r="L32" i="12"/>
  <c r="K32" i="12"/>
  <c r="U21" i="12"/>
  <c r="T21" i="12"/>
  <c r="S21" i="12"/>
  <c r="R21" i="12"/>
  <c r="Q21" i="12"/>
  <c r="P21" i="12"/>
  <c r="N21" i="12"/>
  <c r="M21" i="12"/>
  <c r="L21" i="12"/>
  <c r="K21" i="12"/>
  <c r="U20" i="12"/>
  <c r="T20" i="12"/>
  <c r="S20" i="12"/>
  <c r="R20" i="12"/>
  <c r="Q20" i="12"/>
  <c r="P20" i="12"/>
  <c r="N20" i="12"/>
  <c r="M20" i="12"/>
  <c r="L20" i="12"/>
  <c r="K20" i="12"/>
  <c r="U19" i="12"/>
  <c r="T19" i="12"/>
  <c r="S19" i="12"/>
  <c r="R19" i="12"/>
  <c r="Q19" i="12"/>
  <c r="P19" i="12"/>
  <c r="O19" i="12"/>
  <c r="N19" i="12"/>
  <c r="M19" i="12"/>
  <c r="L19" i="12"/>
  <c r="K19" i="12"/>
  <c r="U18" i="12"/>
  <c r="T18" i="12"/>
  <c r="S18" i="12"/>
  <c r="R18" i="12"/>
  <c r="Q18" i="12"/>
  <c r="P18" i="12"/>
  <c r="N18" i="12"/>
  <c r="M18" i="12"/>
  <c r="L18" i="12"/>
  <c r="K18" i="12"/>
  <c r="U17" i="12"/>
  <c r="T17" i="12"/>
  <c r="S17" i="12"/>
  <c r="R17" i="12"/>
  <c r="Q17" i="12"/>
  <c r="P17" i="12"/>
  <c r="O17" i="12"/>
  <c r="N17" i="12"/>
  <c r="M17" i="12"/>
  <c r="L17" i="12"/>
  <c r="K17" i="12"/>
  <c r="U16" i="12"/>
  <c r="T16" i="12"/>
  <c r="S16" i="12"/>
  <c r="R16" i="12"/>
  <c r="Q16" i="12"/>
  <c r="P16" i="12"/>
  <c r="O16" i="12"/>
  <c r="N16" i="12"/>
  <c r="M16" i="12"/>
  <c r="L16" i="12"/>
  <c r="K16" i="12"/>
  <c r="U15" i="12"/>
  <c r="T15" i="12"/>
  <c r="S15" i="12"/>
  <c r="R15" i="12"/>
  <c r="Q15" i="12"/>
  <c r="P15" i="12"/>
  <c r="O15" i="12"/>
  <c r="N15" i="12"/>
  <c r="M15" i="12"/>
  <c r="L15" i="12"/>
  <c r="K15" i="12"/>
  <c r="U14" i="12"/>
  <c r="T14" i="12"/>
  <c r="S14" i="12"/>
  <c r="R14" i="12"/>
  <c r="Q14" i="12"/>
  <c r="P14" i="12"/>
  <c r="O14" i="12"/>
  <c r="N14" i="12"/>
  <c r="M14" i="12"/>
  <c r="L14" i="12"/>
  <c r="K14" i="12"/>
  <c r="U13" i="12"/>
  <c r="T13" i="12"/>
  <c r="S13" i="12"/>
  <c r="R13" i="12"/>
  <c r="Q13" i="12"/>
  <c r="P13" i="12"/>
  <c r="O13" i="12"/>
  <c r="N13" i="12"/>
  <c r="M13" i="12"/>
  <c r="L13" i="12"/>
  <c r="K13" i="12"/>
  <c r="U12" i="12"/>
  <c r="T12" i="12"/>
  <c r="S12" i="12"/>
  <c r="R12" i="12"/>
  <c r="Q12" i="12"/>
  <c r="P12" i="12"/>
  <c r="N12" i="12"/>
  <c r="M12" i="12"/>
  <c r="L12" i="12"/>
  <c r="K12" i="12"/>
  <c r="U11" i="12"/>
  <c r="T11" i="12"/>
  <c r="S11" i="12"/>
  <c r="R11" i="12"/>
  <c r="Q11" i="12"/>
  <c r="P11" i="12"/>
  <c r="N11" i="12"/>
  <c r="M11" i="12"/>
  <c r="L11" i="12"/>
  <c r="K11" i="12"/>
  <c r="U10" i="12"/>
  <c r="T10" i="12"/>
  <c r="S10" i="12"/>
  <c r="R10" i="12"/>
  <c r="Q10" i="12"/>
  <c r="P10" i="12"/>
  <c r="O10" i="12"/>
  <c r="N10" i="12"/>
  <c r="M10" i="12"/>
  <c r="L10" i="12"/>
  <c r="K10" i="12"/>
  <c r="U9" i="12"/>
  <c r="T9" i="12"/>
  <c r="S9" i="12"/>
  <c r="R9" i="12"/>
  <c r="Q9" i="12"/>
  <c r="P9" i="12"/>
  <c r="N9" i="12"/>
  <c r="M9" i="12"/>
  <c r="L9" i="12"/>
  <c r="K9" i="12"/>
  <c r="U8" i="12"/>
  <c r="T8" i="12"/>
  <c r="S8" i="12"/>
  <c r="R8" i="12"/>
  <c r="Q8" i="12"/>
  <c r="P8" i="12"/>
  <c r="O8" i="12"/>
  <c r="N8" i="12"/>
  <c r="M8" i="12"/>
  <c r="L8" i="12"/>
  <c r="K8" i="12"/>
  <c r="U7" i="12"/>
  <c r="T7" i="12"/>
  <c r="S7" i="12"/>
  <c r="R7" i="12"/>
  <c r="Q7" i="12"/>
  <c r="P7" i="12"/>
  <c r="N7" i="12"/>
  <c r="M7" i="12"/>
  <c r="L7" i="12"/>
  <c r="K7" i="12"/>
  <c r="U6" i="12"/>
  <c r="T6" i="12"/>
  <c r="S6" i="12"/>
  <c r="R6" i="12"/>
  <c r="Q6" i="12"/>
  <c r="P6" i="12"/>
  <c r="O6" i="12"/>
  <c r="N6" i="12"/>
  <c r="M6" i="12"/>
  <c r="L6" i="12"/>
  <c r="K6" i="12"/>
  <c r="U5" i="12"/>
  <c r="T5" i="12"/>
  <c r="S5" i="12"/>
  <c r="R5" i="12"/>
  <c r="Q5" i="12"/>
  <c r="P5" i="12"/>
  <c r="O5" i="12"/>
  <c r="N5" i="12"/>
  <c r="M5" i="12"/>
  <c r="L5" i="12"/>
  <c r="K5" i="12"/>
  <c r="U4" i="12"/>
  <c r="T4" i="12"/>
  <c r="S4" i="12"/>
  <c r="R4" i="12"/>
  <c r="Q4" i="12"/>
  <c r="P4" i="12"/>
  <c r="O4" i="12"/>
  <c r="N4" i="12"/>
  <c r="M4" i="12"/>
  <c r="L4" i="12"/>
  <c r="K4" i="12"/>
  <c r="U3" i="12"/>
  <c r="T3" i="12"/>
  <c r="S3" i="12"/>
  <c r="R3" i="12"/>
  <c r="Q3" i="12"/>
  <c r="P3" i="12"/>
  <c r="O3" i="12"/>
  <c r="N3" i="12"/>
  <c r="M3" i="12"/>
  <c r="L3" i="12"/>
  <c r="K3" i="12"/>
  <c r="U27" i="9"/>
  <c r="T27" i="9"/>
  <c r="S27" i="9"/>
  <c r="R27" i="9"/>
  <c r="Q27" i="9"/>
  <c r="P27" i="9"/>
  <c r="N27" i="9"/>
  <c r="M27" i="9"/>
  <c r="L27" i="9"/>
  <c r="K27" i="9"/>
  <c r="U26" i="9"/>
  <c r="T26" i="9"/>
  <c r="S26" i="9"/>
  <c r="R26" i="9"/>
  <c r="Q26" i="9"/>
  <c r="P26" i="9"/>
  <c r="N26" i="9"/>
  <c r="M26" i="9"/>
  <c r="L26" i="9"/>
  <c r="K26" i="9"/>
  <c r="U25" i="9"/>
  <c r="T25" i="9"/>
  <c r="S25" i="9"/>
  <c r="R25" i="9"/>
  <c r="Q25" i="9"/>
  <c r="P25" i="9"/>
  <c r="N25" i="9"/>
  <c r="M25" i="9"/>
  <c r="L25" i="9"/>
  <c r="K25" i="9"/>
  <c r="U24" i="9"/>
  <c r="T24" i="9"/>
  <c r="S24" i="9"/>
  <c r="R24" i="9"/>
  <c r="Q24" i="9"/>
  <c r="P24" i="9"/>
  <c r="N24" i="9"/>
  <c r="M24" i="9"/>
  <c r="L24" i="9"/>
  <c r="K24" i="9"/>
  <c r="U23" i="9"/>
  <c r="T23" i="9"/>
  <c r="S23" i="9"/>
  <c r="R23" i="9"/>
  <c r="Q23" i="9"/>
  <c r="P23" i="9"/>
  <c r="O23" i="9"/>
  <c r="N23" i="9"/>
  <c r="M23" i="9"/>
  <c r="L23" i="9"/>
  <c r="K23" i="9"/>
  <c r="U22" i="9"/>
  <c r="T22" i="9"/>
  <c r="S22" i="9"/>
  <c r="R22" i="9"/>
  <c r="Q22" i="9"/>
  <c r="P22" i="9"/>
  <c r="O22" i="9"/>
  <c r="N22" i="9"/>
  <c r="M22" i="9"/>
  <c r="L22" i="9"/>
  <c r="K22" i="9"/>
  <c r="U21" i="9"/>
  <c r="T21" i="9"/>
  <c r="S21" i="9"/>
  <c r="R21" i="9"/>
  <c r="Q21" i="9"/>
  <c r="P21" i="9"/>
  <c r="O21" i="9"/>
  <c r="N21" i="9"/>
  <c r="M21" i="9"/>
  <c r="L21" i="9"/>
  <c r="K21" i="9"/>
  <c r="U20" i="9"/>
  <c r="T20" i="9"/>
  <c r="S20" i="9"/>
  <c r="R20" i="9"/>
  <c r="Q20" i="9"/>
  <c r="P20" i="9"/>
  <c r="O20" i="9"/>
  <c r="N20" i="9"/>
  <c r="M20" i="9"/>
  <c r="L20" i="9"/>
  <c r="K20" i="9"/>
  <c r="U19" i="9"/>
  <c r="T19" i="9"/>
  <c r="S19" i="9"/>
  <c r="R19" i="9"/>
  <c r="Q19" i="9"/>
  <c r="P19" i="9"/>
  <c r="N19" i="9"/>
  <c r="M19" i="9"/>
  <c r="L19" i="9"/>
  <c r="K19" i="9"/>
  <c r="U18" i="9"/>
  <c r="T18" i="9"/>
  <c r="S18" i="9"/>
  <c r="R18" i="9"/>
  <c r="Q18" i="9"/>
  <c r="P18" i="9"/>
  <c r="O18" i="9"/>
  <c r="N18" i="9"/>
  <c r="M18" i="9"/>
  <c r="L18" i="9"/>
  <c r="K18" i="9"/>
  <c r="U17" i="9"/>
  <c r="T17" i="9"/>
  <c r="S17" i="9"/>
  <c r="R17" i="9"/>
  <c r="Q17" i="9"/>
  <c r="P17" i="9"/>
  <c r="O17" i="9"/>
  <c r="N17" i="9"/>
  <c r="M17" i="9"/>
  <c r="L17" i="9"/>
  <c r="K17" i="9"/>
  <c r="U16" i="9"/>
  <c r="T16" i="9"/>
  <c r="S16" i="9"/>
  <c r="R16" i="9"/>
  <c r="Q16" i="9"/>
  <c r="P16" i="9"/>
  <c r="N16" i="9"/>
  <c r="M16" i="9"/>
  <c r="L16" i="9"/>
  <c r="K16" i="9"/>
  <c r="U15" i="9"/>
  <c r="T15" i="9"/>
  <c r="S15" i="9"/>
  <c r="R15" i="9"/>
  <c r="Q15" i="9"/>
  <c r="P15" i="9"/>
  <c r="N15" i="9"/>
  <c r="M15" i="9"/>
  <c r="L15" i="9"/>
  <c r="K15" i="9"/>
  <c r="U14" i="9"/>
  <c r="T14" i="9"/>
  <c r="S14" i="9"/>
  <c r="R14" i="9"/>
  <c r="Q14" i="9"/>
  <c r="P14" i="9"/>
  <c r="N14" i="9"/>
  <c r="M14" i="9"/>
  <c r="L14" i="9"/>
  <c r="K14" i="9"/>
  <c r="U13" i="9"/>
  <c r="T13" i="9"/>
  <c r="S13" i="9"/>
  <c r="R13" i="9"/>
  <c r="Q13" i="9"/>
  <c r="P13" i="9"/>
  <c r="N13" i="9"/>
  <c r="M13" i="9"/>
  <c r="L13" i="9"/>
  <c r="K13" i="9"/>
  <c r="U12" i="9"/>
  <c r="T12" i="9"/>
  <c r="S12" i="9"/>
  <c r="R12" i="9"/>
  <c r="Q12" i="9"/>
  <c r="P12" i="9"/>
  <c r="N12" i="9"/>
  <c r="M12" i="9"/>
  <c r="L12" i="9"/>
  <c r="K12" i="9"/>
  <c r="U11" i="9"/>
  <c r="T11" i="9"/>
  <c r="S11" i="9"/>
  <c r="R11" i="9"/>
  <c r="Q11" i="9"/>
  <c r="P11" i="9"/>
  <c r="N11" i="9"/>
  <c r="M11" i="9"/>
  <c r="L11" i="9"/>
  <c r="K11" i="9"/>
  <c r="U10" i="9"/>
  <c r="T10" i="9"/>
  <c r="S10" i="9"/>
  <c r="R10" i="9"/>
  <c r="Q10" i="9"/>
  <c r="P10" i="9"/>
  <c r="O10" i="9"/>
  <c r="N10" i="9"/>
  <c r="M10" i="9"/>
  <c r="L10" i="9"/>
  <c r="K10" i="9"/>
  <c r="U9" i="9"/>
  <c r="T9" i="9"/>
  <c r="S9" i="9"/>
  <c r="R9" i="9"/>
  <c r="Q9" i="9"/>
  <c r="P9" i="9"/>
  <c r="N9" i="9"/>
  <c r="M9" i="9"/>
  <c r="L9" i="9"/>
  <c r="K9" i="9"/>
  <c r="U8" i="9"/>
  <c r="T8" i="9"/>
  <c r="S8" i="9"/>
  <c r="R8" i="9"/>
  <c r="Q8" i="9"/>
  <c r="P8" i="9"/>
  <c r="O8" i="9"/>
  <c r="N8" i="9"/>
  <c r="M8" i="9"/>
  <c r="L8" i="9"/>
  <c r="K8" i="9"/>
  <c r="U7" i="9"/>
  <c r="T7" i="9"/>
  <c r="S7" i="9"/>
  <c r="R7" i="9"/>
  <c r="Q7" i="9"/>
  <c r="P7" i="9"/>
  <c r="N7" i="9"/>
  <c r="M7" i="9"/>
  <c r="L7" i="9"/>
  <c r="K7" i="9"/>
  <c r="U6" i="9"/>
  <c r="T6" i="9"/>
  <c r="S6" i="9"/>
  <c r="R6" i="9"/>
  <c r="Q6" i="9"/>
  <c r="P6" i="9"/>
  <c r="O6" i="9"/>
  <c r="N6" i="9"/>
  <c r="M6" i="9"/>
  <c r="L6" i="9"/>
  <c r="K6" i="9"/>
  <c r="U5" i="9"/>
  <c r="T5" i="9"/>
  <c r="S5" i="9"/>
  <c r="R5" i="9"/>
  <c r="Q5" i="9"/>
  <c r="P5" i="9"/>
  <c r="O5" i="9"/>
  <c r="N5" i="9"/>
  <c r="M5" i="9"/>
  <c r="L5" i="9"/>
  <c r="K5" i="9"/>
  <c r="U4" i="9"/>
  <c r="T4" i="9"/>
  <c r="S4" i="9"/>
  <c r="R4" i="9"/>
  <c r="Q4" i="9"/>
  <c r="P4" i="9"/>
  <c r="O4" i="9"/>
  <c r="N4" i="9"/>
  <c r="M4" i="9"/>
  <c r="L4" i="9"/>
  <c r="K4" i="9"/>
  <c r="U3" i="9"/>
  <c r="T3" i="9"/>
  <c r="S3" i="9"/>
  <c r="R3" i="9"/>
  <c r="Q3" i="9"/>
  <c r="P3" i="9"/>
  <c r="O3" i="9"/>
  <c r="N3" i="9"/>
  <c r="M3" i="9"/>
  <c r="L3" i="9"/>
  <c r="K3" i="9"/>
  <c r="U21" i="8"/>
  <c r="T21" i="8"/>
  <c r="S21" i="8"/>
  <c r="R21" i="8"/>
  <c r="Q21" i="8"/>
  <c r="P21" i="8"/>
  <c r="N21" i="8"/>
  <c r="M21" i="8"/>
  <c r="L21" i="8"/>
  <c r="K21" i="8"/>
  <c r="U20" i="8"/>
  <c r="T20" i="8"/>
  <c r="S20" i="8"/>
  <c r="R20" i="8"/>
  <c r="Q20" i="8"/>
  <c r="P20" i="8"/>
  <c r="N20" i="8"/>
  <c r="M20" i="8"/>
  <c r="L20" i="8"/>
  <c r="K20" i="8"/>
  <c r="U19" i="8"/>
  <c r="T19" i="8"/>
  <c r="S19" i="8"/>
  <c r="R19" i="8"/>
  <c r="Q19" i="8"/>
  <c r="P19" i="8"/>
  <c r="N19" i="8"/>
  <c r="M19" i="8"/>
  <c r="L19" i="8"/>
  <c r="K19" i="8"/>
  <c r="U18" i="8"/>
  <c r="T18" i="8"/>
  <c r="S18" i="8"/>
  <c r="R18" i="8"/>
  <c r="Q18" i="8"/>
  <c r="P18" i="8"/>
  <c r="N18" i="8"/>
  <c r="M18" i="8"/>
  <c r="L18" i="8"/>
  <c r="K18" i="8"/>
  <c r="U17" i="8"/>
  <c r="T17" i="8"/>
  <c r="S17" i="8"/>
  <c r="R17" i="8"/>
  <c r="Q17" i="8"/>
  <c r="P17" i="8"/>
  <c r="N17" i="8"/>
  <c r="M17" i="8"/>
  <c r="L17" i="8"/>
  <c r="K17" i="8"/>
  <c r="U16" i="8"/>
  <c r="T16" i="8"/>
  <c r="S16" i="8"/>
  <c r="R16" i="8"/>
  <c r="Q16" i="8"/>
  <c r="P16" i="8"/>
  <c r="O16" i="8"/>
  <c r="N16" i="8"/>
  <c r="M16" i="8"/>
  <c r="L16" i="8"/>
  <c r="K16" i="8"/>
  <c r="U15" i="8"/>
  <c r="T15" i="8"/>
  <c r="S15" i="8"/>
  <c r="R15" i="8"/>
  <c r="Q15" i="8"/>
  <c r="P15" i="8"/>
  <c r="O15" i="8"/>
  <c r="N15" i="8"/>
  <c r="M15" i="8"/>
  <c r="L15" i="8"/>
  <c r="K15" i="8"/>
  <c r="U14" i="8"/>
  <c r="T14" i="8"/>
  <c r="S14" i="8"/>
  <c r="R14" i="8"/>
  <c r="Q14" i="8"/>
  <c r="P14" i="8"/>
  <c r="O14" i="8"/>
  <c r="N14" i="8"/>
  <c r="M14" i="8"/>
  <c r="L14" i="8"/>
  <c r="K14" i="8"/>
  <c r="U13" i="8"/>
  <c r="T13" i="8"/>
  <c r="S13" i="8"/>
  <c r="R13" i="8"/>
  <c r="Q13" i="8"/>
  <c r="P13" i="8"/>
  <c r="O13" i="8"/>
  <c r="N13" i="8"/>
  <c r="M13" i="8"/>
  <c r="L13" i="8"/>
  <c r="K13" i="8"/>
  <c r="U12" i="8"/>
  <c r="T12" i="8"/>
  <c r="S12" i="8"/>
  <c r="R12" i="8"/>
  <c r="Q12" i="8"/>
  <c r="P12" i="8"/>
  <c r="O12" i="8"/>
  <c r="N12" i="8"/>
  <c r="M12" i="8"/>
  <c r="L12" i="8"/>
  <c r="K12" i="8"/>
  <c r="U11" i="8"/>
  <c r="T11" i="8"/>
  <c r="S11" i="8"/>
  <c r="R11" i="8"/>
  <c r="Q11" i="8"/>
  <c r="P11" i="8"/>
  <c r="N11" i="8"/>
  <c r="M11" i="8"/>
  <c r="L11" i="8"/>
  <c r="K11" i="8"/>
  <c r="U10" i="8"/>
  <c r="T10" i="8"/>
  <c r="S10" i="8"/>
  <c r="R10" i="8"/>
  <c r="Q10" i="8"/>
  <c r="P10" i="8"/>
  <c r="N10" i="8"/>
  <c r="M10" i="8"/>
  <c r="L10" i="8"/>
  <c r="K10" i="8"/>
  <c r="U9" i="8"/>
  <c r="T9" i="8"/>
  <c r="S9" i="8"/>
  <c r="R9" i="8"/>
  <c r="Q9" i="8"/>
  <c r="P9" i="8"/>
  <c r="O9" i="8"/>
  <c r="N9" i="8"/>
  <c r="M9" i="8"/>
  <c r="L9" i="8"/>
  <c r="K9" i="8"/>
  <c r="U8" i="8"/>
  <c r="T8" i="8"/>
  <c r="S8" i="8"/>
  <c r="R8" i="8"/>
  <c r="Q8" i="8"/>
  <c r="P8" i="8"/>
  <c r="N8" i="8"/>
  <c r="M8" i="8"/>
  <c r="L8" i="8"/>
  <c r="K8" i="8"/>
  <c r="U7" i="8"/>
  <c r="T7" i="8"/>
  <c r="S7" i="8"/>
  <c r="R7" i="8"/>
  <c r="Q7" i="8"/>
  <c r="P7" i="8"/>
  <c r="N7" i="8"/>
  <c r="M7" i="8"/>
  <c r="L7" i="8"/>
  <c r="K7" i="8"/>
  <c r="U6" i="8"/>
  <c r="T6" i="8"/>
  <c r="S6" i="8"/>
  <c r="R6" i="8"/>
  <c r="Q6" i="8"/>
  <c r="P6" i="8"/>
  <c r="N6" i="8"/>
  <c r="M6" i="8"/>
  <c r="L6" i="8"/>
  <c r="K6" i="8"/>
  <c r="U5" i="8"/>
  <c r="T5" i="8"/>
  <c r="S5" i="8"/>
  <c r="R5" i="8"/>
  <c r="Q5" i="8"/>
  <c r="P5" i="8"/>
  <c r="N5" i="8"/>
  <c r="M5" i="8"/>
  <c r="L5" i="8"/>
  <c r="K5" i="8"/>
  <c r="U4" i="8"/>
  <c r="T4" i="8"/>
  <c r="S4" i="8"/>
  <c r="R4" i="8"/>
  <c r="Q4" i="8"/>
  <c r="P4" i="8"/>
  <c r="O4" i="8"/>
  <c r="N4" i="8"/>
  <c r="M4" i="8"/>
  <c r="L4" i="8"/>
  <c r="K4" i="8"/>
  <c r="U3" i="8"/>
  <c r="T3" i="8"/>
  <c r="S3" i="8"/>
  <c r="R3" i="8"/>
  <c r="Q3" i="8"/>
  <c r="P3" i="8"/>
  <c r="O3" i="8"/>
  <c r="N3" i="8"/>
  <c r="M3" i="8"/>
  <c r="L3" i="8"/>
  <c r="K3" i="8"/>
  <c r="U28" i="7"/>
  <c r="T28" i="7"/>
  <c r="S28" i="7"/>
  <c r="R28" i="7"/>
  <c r="Q28" i="7"/>
  <c r="P28" i="7"/>
  <c r="N28" i="7"/>
  <c r="M28" i="7"/>
  <c r="L28" i="7"/>
  <c r="K28" i="7"/>
  <c r="U27" i="7"/>
  <c r="T27" i="7"/>
  <c r="S27" i="7"/>
  <c r="R27" i="7"/>
  <c r="Q27" i="7"/>
  <c r="P27" i="7"/>
  <c r="N27" i="7"/>
  <c r="M27" i="7"/>
  <c r="L27" i="7"/>
  <c r="K27" i="7"/>
  <c r="U26" i="7"/>
  <c r="T26" i="7"/>
  <c r="S26" i="7"/>
  <c r="R26" i="7"/>
  <c r="Q26" i="7"/>
  <c r="P26" i="7"/>
  <c r="N26" i="7"/>
  <c r="M26" i="7"/>
  <c r="L26" i="7"/>
  <c r="K26" i="7"/>
  <c r="U25" i="7"/>
  <c r="T25" i="7"/>
  <c r="S25" i="7"/>
  <c r="R25" i="7"/>
  <c r="Q25" i="7"/>
  <c r="P25" i="7"/>
  <c r="N25" i="7"/>
  <c r="M25" i="7"/>
  <c r="L25" i="7"/>
  <c r="K25" i="7"/>
  <c r="U24" i="7"/>
  <c r="T24" i="7"/>
  <c r="S24" i="7"/>
  <c r="R24" i="7"/>
  <c r="Q24" i="7"/>
  <c r="P24" i="7"/>
  <c r="N24" i="7"/>
  <c r="M24" i="7"/>
  <c r="L24" i="7"/>
  <c r="K24" i="7"/>
  <c r="U23" i="7"/>
  <c r="T23" i="7"/>
  <c r="S23" i="7"/>
  <c r="R23" i="7"/>
  <c r="Q23" i="7"/>
  <c r="P23" i="7"/>
  <c r="N23" i="7"/>
  <c r="M23" i="7"/>
  <c r="L23" i="7"/>
  <c r="K23" i="7"/>
  <c r="U22" i="7"/>
  <c r="T22" i="7"/>
  <c r="S22" i="7"/>
  <c r="R22" i="7"/>
  <c r="Q22" i="7"/>
  <c r="P22" i="7"/>
  <c r="O22" i="7"/>
  <c r="N22" i="7"/>
  <c r="M22" i="7"/>
  <c r="L22" i="7"/>
  <c r="K22" i="7"/>
  <c r="U21" i="7"/>
  <c r="T21" i="7"/>
  <c r="S21" i="7"/>
  <c r="R21" i="7"/>
  <c r="Q21" i="7"/>
  <c r="P21" i="7"/>
  <c r="N21" i="7"/>
  <c r="M21" i="7"/>
  <c r="L21" i="7"/>
  <c r="K21" i="7"/>
  <c r="U20" i="7"/>
  <c r="T20" i="7"/>
  <c r="S20" i="7"/>
  <c r="R20" i="7"/>
  <c r="Q20" i="7"/>
  <c r="P20" i="7"/>
  <c r="O20" i="7"/>
  <c r="N20" i="7"/>
  <c r="M20" i="7"/>
  <c r="L20" i="7"/>
  <c r="K20" i="7"/>
  <c r="U19" i="7"/>
  <c r="T19" i="7"/>
  <c r="S19" i="7"/>
  <c r="R19" i="7"/>
  <c r="Q19" i="7"/>
  <c r="P19" i="7"/>
  <c r="O19" i="7"/>
  <c r="N19" i="7"/>
  <c r="M19" i="7"/>
  <c r="L19" i="7"/>
  <c r="K19" i="7"/>
  <c r="U18" i="7"/>
  <c r="T18" i="7"/>
  <c r="S18" i="7"/>
  <c r="R18" i="7"/>
  <c r="Q18" i="7"/>
  <c r="P18" i="7"/>
  <c r="N18" i="7"/>
  <c r="M18" i="7"/>
  <c r="L18" i="7"/>
  <c r="K18" i="7"/>
  <c r="U17" i="7"/>
  <c r="T17" i="7"/>
  <c r="S17" i="7"/>
  <c r="R17" i="7"/>
  <c r="Q17" i="7"/>
  <c r="P17" i="7"/>
  <c r="N17" i="7"/>
  <c r="M17" i="7"/>
  <c r="L17" i="7"/>
  <c r="K17" i="7"/>
  <c r="U16" i="7"/>
  <c r="T16" i="7"/>
  <c r="S16" i="7"/>
  <c r="R16" i="7"/>
  <c r="Q16" i="7"/>
  <c r="P16" i="7"/>
  <c r="O16" i="7"/>
  <c r="N16" i="7"/>
  <c r="M16" i="7"/>
  <c r="L16" i="7"/>
  <c r="K16" i="7"/>
  <c r="U15" i="7"/>
  <c r="T15" i="7"/>
  <c r="S15" i="7"/>
  <c r="R15" i="7"/>
  <c r="Q15" i="7"/>
  <c r="P15" i="7"/>
  <c r="O15" i="7"/>
  <c r="N15" i="7"/>
  <c r="M15" i="7"/>
  <c r="L15" i="7"/>
  <c r="K15" i="7"/>
  <c r="U14" i="7"/>
  <c r="T14" i="7"/>
  <c r="S14" i="7"/>
  <c r="R14" i="7"/>
  <c r="Q14" i="7"/>
  <c r="P14" i="7"/>
  <c r="O14" i="7"/>
  <c r="N14" i="7"/>
  <c r="M14" i="7"/>
  <c r="L14" i="7"/>
  <c r="K14" i="7"/>
  <c r="U13" i="7"/>
  <c r="T13" i="7"/>
  <c r="S13" i="7"/>
  <c r="R13" i="7"/>
  <c r="Q13" i="7"/>
  <c r="P13" i="7"/>
  <c r="O13" i="7"/>
  <c r="N13" i="7"/>
  <c r="M13" i="7"/>
  <c r="L13" i="7"/>
  <c r="K13" i="7"/>
  <c r="U12" i="7"/>
  <c r="T12" i="7"/>
  <c r="S12" i="7"/>
  <c r="R12" i="7"/>
  <c r="Q12" i="7"/>
  <c r="P12" i="7"/>
  <c r="O12" i="7"/>
  <c r="N12" i="7"/>
  <c r="M12" i="7"/>
  <c r="L12" i="7"/>
  <c r="K12" i="7"/>
  <c r="U11" i="7"/>
  <c r="T11" i="7"/>
  <c r="S11" i="7"/>
  <c r="R11" i="7"/>
  <c r="Q11" i="7"/>
  <c r="P11" i="7"/>
  <c r="O11" i="7"/>
  <c r="N11" i="7"/>
  <c r="M11" i="7"/>
  <c r="L11" i="7"/>
  <c r="K11" i="7"/>
  <c r="U10" i="7"/>
  <c r="T10" i="7"/>
  <c r="S10" i="7"/>
  <c r="R10" i="7"/>
  <c r="Q10" i="7"/>
  <c r="P10" i="7"/>
  <c r="N10" i="7"/>
  <c r="M10" i="7"/>
  <c r="L10" i="7"/>
  <c r="K10" i="7"/>
  <c r="U9" i="7"/>
  <c r="T9" i="7"/>
  <c r="S9" i="7"/>
  <c r="R9" i="7"/>
  <c r="Q9" i="7"/>
  <c r="P9" i="7"/>
  <c r="N9" i="7"/>
  <c r="M9" i="7"/>
  <c r="L9" i="7"/>
  <c r="K9" i="7"/>
  <c r="U8" i="7"/>
  <c r="T8" i="7"/>
  <c r="S8" i="7"/>
  <c r="R8" i="7"/>
  <c r="Q8" i="7"/>
  <c r="P8" i="7"/>
  <c r="N8" i="7"/>
  <c r="M8" i="7"/>
  <c r="L8" i="7"/>
  <c r="K8" i="7"/>
  <c r="U7" i="7"/>
  <c r="T7" i="7"/>
  <c r="S7" i="7"/>
  <c r="R7" i="7"/>
  <c r="Q7" i="7"/>
  <c r="P7" i="7"/>
  <c r="N7" i="7"/>
  <c r="M7" i="7"/>
  <c r="L7" i="7"/>
  <c r="K7" i="7"/>
  <c r="U6" i="7"/>
  <c r="T6" i="7"/>
  <c r="S6" i="7"/>
  <c r="R6" i="7"/>
  <c r="Q6" i="7"/>
  <c r="P6" i="7"/>
  <c r="O6" i="7"/>
  <c r="N6" i="7"/>
  <c r="M6" i="7"/>
  <c r="L6" i="7"/>
  <c r="K6" i="7"/>
  <c r="U5" i="7"/>
  <c r="T5" i="7"/>
  <c r="S5" i="7"/>
  <c r="R5" i="7"/>
  <c r="Q5" i="7"/>
  <c r="P5" i="7"/>
  <c r="N5" i="7"/>
  <c r="M5" i="7"/>
  <c r="L5" i="7"/>
  <c r="K5" i="7"/>
  <c r="U4" i="7"/>
  <c r="T4" i="7"/>
  <c r="S4" i="7"/>
  <c r="R4" i="7"/>
  <c r="Q4" i="7"/>
  <c r="P4" i="7"/>
  <c r="O4" i="7"/>
  <c r="N4" i="7"/>
  <c r="M4" i="7"/>
  <c r="L4" i="7"/>
  <c r="K4" i="7"/>
  <c r="U3" i="7"/>
  <c r="T3" i="7"/>
  <c r="S3" i="7"/>
  <c r="R3" i="7"/>
  <c r="Q3" i="7"/>
  <c r="P3" i="7"/>
  <c r="O3" i="7"/>
  <c r="N3" i="7"/>
  <c r="M3" i="7"/>
  <c r="L3" i="7"/>
  <c r="K3" i="7"/>
  <c r="U23" i="6"/>
  <c r="T23" i="6"/>
  <c r="S23" i="6"/>
  <c r="R23" i="6"/>
  <c r="Q23" i="6"/>
  <c r="P23" i="6"/>
  <c r="N23" i="6"/>
  <c r="M23" i="6"/>
  <c r="L23" i="6"/>
  <c r="K23" i="6"/>
  <c r="U22" i="6"/>
  <c r="T22" i="6"/>
  <c r="S22" i="6"/>
  <c r="R22" i="6"/>
  <c r="Q22" i="6"/>
  <c r="P22" i="6"/>
  <c r="N22" i="6"/>
  <c r="M22" i="6"/>
  <c r="L22" i="6"/>
  <c r="K22" i="6"/>
  <c r="U21" i="6"/>
  <c r="T21" i="6"/>
  <c r="S21" i="6"/>
  <c r="R21" i="6"/>
  <c r="Q21" i="6"/>
  <c r="P21" i="6"/>
  <c r="N21" i="6"/>
  <c r="M21" i="6"/>
  <c r="L21" i="6"/>
  <c r="K21" i="6"/>
  <c r="U20" i="6"/>
  <c r="T20" i="6"/>
  <c r="S20" i="6"/>
  <c r="R20" i="6"/>
  <c r="Q20" i="6"/>
  <c r="P20" i="6"/>
  <c r="N20" i="6"/>
  <c r="M20" i="6"/>
  <c r="L20" i="6"/>
  <c r="K20" i="6"/>
  <c r="U19" i="6"/>
  <c r="T19" i="6"/>
  <c r="S19" i="6"/>
  <c r="R19" i="6"/>
  <c r="Q19" i="6"/>
  <c r="P19" i="6"/>
  <c r="N19" i="6"/>
  <c r="M19" i="6"/>
  <c r="L19" i="6"/>
  <c r="K19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P17" i="6"/>
  <c r="N17" i="6"/>
  <c r="M17" i="6"/>
  <c r="L17" i="6"/>
  <c r="K17" i="6"/>
  <c r="U16" i="6"/>
  <c r="T16" i="6"/>
  <c r="S16" i="6"/>
  <c r="R16" i="6"/>
  <c r="Q16" i="6"/>
  <c r="P16" i="6"/>
  <c r="O16" i="6"/>
  <c r="N16" i="6"/>
  <c r="M16" i="6"/>
  <c r="L16" i="6"/>
  <c r="K16" i="6"/>
  <c r="U15" i="6"/>
  <c r="T15" i="6"/>
  <c r="S15" i="6"/>
  <c r="R15" i="6"/>
  <c r="Q15" i="6"/>
  <c r="P15" i="6"/>
  <c r="O15" i="6"/>
  <c r="N15" i="6"/>
  <c r="M15" i="6"/>
  <c r="L15" i="6"/>
  <c r="K15" i="6"/>
  <c r="U14" i="6"/>
  <c r="T14" i="6"/>
  <c r="S14" i="6"/>
  <c r="R14" i="6"/>
  <c r="Q14" i="6"/>
  <c r="P14" i="6"/>
  <c r="N14" i="6"/>
  <c r="M14" i="6"/>
  <c r="L14" i="6"/>
  <c r="K14" i="6"/>
  <c r="U13" i="6"/>
  <c r="T13" i="6"/>
  <c r="S13" i="6"/>
  <c r="R13" i="6"/>
  <c r="Q13" i="6"/>
  <c r="P13" i="6"/>
  <c r="N13" i="6"/>
  <c r="M13" i="6"/>
  <c r="L13" i="6"/>
  <c r="K13" i="6"/>
  <c r="U12" i="6"/>
  <c r="T12" i="6"/>
  <c r="S12" i="6"/>
  <c r="R12" i="6"/>
  <c r="Q12" i="6"/>
  <c r="P12" i="6"/>
  <c r="O12" i="6"/>
  <c r="N12" i="6"/>
  <c r="M12" i="6"/>
  <c r="L12" i="6"/>
  <c r="K12" i="6"/>
  <c r="U11" i="6"/>
  <c r="T11" i="6"/>
  <c r="S11" i="6"/>
  <c r="R11" i="6"/>
  <c r="Q11" i="6"/>
  <c r="P11" i="6"/>
  <c r="O11" i="6"/>
  <c r="N11" i="6"/>
  <c r="M11" i="6"/>
  <c r="L11" i="6"/>
  <c r="K11" i="6"/>
  <c r="U10" i="6"/>
  <c r="T10" i="6"/>
  <c r="S10" i="6"/>
  <c r="R10" i="6"/>
  <c r="Q10" i="6"/>
  <c r="P10" i="6"/>
  <c r="N10" i="6"/>
  <c r="M10" i="6"/>
  <c r="L10" i="6"/>
  <c r="K10" i="6"/>
  <c r="U9" i="6"/>
  <c r="T9" i="6"/>
  <c r="S9" i="6"/>
  <c r="R9" i="6"/>
  <c r="Q9" i="6"/>
  <c r="P9" i="6"/>
  <c r="N9" i="6"/>
  <c r="M9" i="6"/>
  <c r="L9" i="6"/>
  <c r="K9" i="6"/>
  <c r="U8" i="6"/>
  <c r="T8" i="6"/>
  <c r="S8" i="6"/>
  <c r="R8" i="6"/>
  <c r="Q8" i="6"/>
  <c r="P8" i="6"/>
  <c r="N8" i="6"/>
  <c r="M8" i="6"/>
  <c r="L8" i="6"/>
  <c r="K8" i="6"/>
  <c r="U7" i="6"/>
  <c r="T7" i="6"/>
  <c r="S7" i="6"/>
  <c r="R7" i="6"/>
  <c r="Q7" i="6"/>
  <c r="P7" i="6"/>
  <c r="N7" i="6"/>
  <c r="M7" i="6"/>
  <c r="L7" i="6"/>
  <c r="K7" i="6"/>
  <c r="U6" i="6"/>
  <c r="T6" i="6"/>
  <c r="S6" i="6"/>
  <c r="R6" i="6"/>
  <c r="Q6" i="6"/>
  <c r="P6" i="6"/>
  <c r="O6" i="6"/>
  <c r="N6" i="6"/>
  <c r="M6" i="6"/>
  <c r="L6" i="6"/>
  <c r="K6" i="6"/>
  <c r="U5" i="6"/>
  <c r="T5" i="6"/>
  <c r="S5" i="6"/>
  <c r="R5" i="6"/>
  <c r="Q5" i="6"/>
  <c r="P5" i="6"/>
  <c r="N5" i="6"/>
  <c r="M5" i="6"/>
  <c r="L5" i="6"/>
  <c r="K5" i="6"/>
  <c r="U4" i="6"/>
  <c r="T4" i="6"/>
  <c r="S4" i="6"/>
  <c r="R4" i="6"/>
  <c r="Q4" i="6"/>
  <c r="P4" i="6"/>
  <c r="O4" i="6"/>
  <c r="N4" i="6"/>
  <c r="M4" i="6"/>
  <c r="L4" i="6"/>
  <c r="K4" i="6"/>
  <c r="U3" i="6"/>
  <c r="T3" i="6"/>
  <c r="S3" i="6"/>
  <c r="R3" i="6"/>
  <c r="Q3" i="6"/>
  <c r="P3" i="6"/>
  <c r="O3" i="6"/>
  <c r="N3" i="6"/>
  <c r="M3" i="6"/>
  <c r="L3" i="6"/>
  <c r="K3" i="6"/>
  <c r="U21" i="5"/>
  <c r="T21" i="5"/>
  <c r="S21" i="5"/>
  <c r="R21" i="5"/>
  <c r="Q21" i="5"/>
  <c r="P21" i="5"/>
  <c r="N21" i="5"/>
  <c r="M21" i="5"/>
  <c r="L21" i="5"/>
  <c r="K21" i="5"/>
  <c r="U20" i="5"/>
  <c r="T20" i="5"/>
  <c r="S20" i="5"/>
  <c r="R20" i="5"/>
  <c r="Q20" i="5"/>
  <c r="P20" i="5"/>
  <c r="N20" i="5"/>
  <c r="M20" i="5"/>
  <c r="L20" i="5"/>
  <c r="K20" i="5"/>
  <c r="U19" i="5"/>
  <c r="T19" i="5"/>
  <c r="S19" i="5"/>
  <c r="R19" i="5"/>
  <c r="Q19" i="5"/>
  <c r="P19" i="5"/>
  <c r="N19" i="5"/>
  <c r="M19" i="5"/>
  <c r="L19" i="5"/>
  <c r="K19" i="5"/>
  <c r="U18" i="5"/>
  <c r="T18" i="5"/>
  <c r="S18" i="5"/>
  <c r="R18" i="5"/>
  <c r="Q18" i="5"/>
  <c r="P18" i="5"/>
  <c r="O18" i="5"/>
  <c r="N18" i="5"/>
  <c r="M18" i="5"/>
  <c r="L18" i="5"/>
  <c r="K18" i="5"/>
  <c r="U17" i="5"/>
  <c r="T17" i="5"/>
  <c r="S17" i="5"/>
  <c r="R17" i="5"/>
  <c r="Q17" i="5"/>
  <c r="P17" i="5"/>
  <c r="O17" i="5"/>
  <c r="N17" i="5"/>
  <c r="M17" i="5"/>
  <c r="L17" i="5"/>
  <c r="K17" i="5"/>
  <c r="U16" i="5"/>
  <c r="T16" i="5"/>
  <c r="S16" i="5"/>
  <c r="R16" i="5"/>
  <c r="Q16" i="5"/>
  <c r="P16" i="5"/>
  <c r="O16" i="5"/>
  <c r="N16" i="5"/>
  <c r="M16" i="5"/>
  <c r="L16" i="5"/>
  <c r="K16" i="5"/>
  <c r="U15" i="5"/>
  <c r="T15" i="5"/>
  <c r="S15" i="5"/>
  <c r="R15" i="5"/>
  <c r="Q15" i="5"/>
  <c r="P15" i="5"/>
  <c r="O15" i="5"/>
  <c r="N15" i="5"/>
  <c r="M15" i="5"/>
  <c r="L15" i="5"/>
  <c r="K15" i="5"/>
  <c r="U14" i="5"/>
  <c r="T14" i="5"/>
  <c r="S14" i="5"/>
  <c r="R14" i="5"/>
  <c r="Q14" i="5"/>
  <c r="P14" i="5"/>
  <c r="N14" i="5"/>
  <c r="M14" i="5"/>
  <c r="L14" i="5"/>
  <c r="K14" i="5"/>
  <c r="U13" i="5"/>
  <c r="T13" i="5"/>
  <c r="S13" i="5"/>
  <c r="R13" i="5"/>
  <c r="Q13" i="5"/>
  <c r="P13" i="5"/>
  <c r="N13" i="5"/>
  <c r="M13" i="5"/>
  <c r="L13" i="5"/>
  <c r="K13" i="5"/>
  <c r="U12" i="5"/>
  <c r="T12" i="5"/>
  <c r="S12" i="5"/>
  <c r="R12" i="5"/>
  <c r="Q12" i="5"/>
  <c r="P12" i="5"/>
  <c r="O12" i="5"/>
  <c r="N12" i="5"/>
  <c r="M12" i="5"/>
  <c r="L12" i="5"/>
  <c r="K12" i="5"/>
  <c r="U11" i="5"/>
  <c r="T11" i="5"/>
  <c r="S11" i="5"/>
  <c r="R11" i="5"/>
  <c r="Q11" i="5"/>
  <c r="P11" i="5"/>
  <c r="O11" i="5"/>
  <c r="N11" i="5"/>
  <c r="M11" i="5"/>
  <c r="L11" i="5"/>
  <c r="K11" i="5"/>
  <c r="U10" i="5"/>
  <c r="T10" i="5"/>
  <c r="S10" i="5"/>
  <c r="R10" i="5"/>
  <c r="Q10" i="5"/>
  <c r="P10" i="5"/>
  <c r="N10" i="5"/>
  <c r="M10" i="5"/>
  <c r="L10" i="5"/>
  <c r="K10" i="5"/>
  <c r="U9" i="5"/>
  <c r="T9" i="5"/>
  <c r="S9" i="5"/>
  <c r="R9" i="5"/>
  <c r="Q9" i="5"/>
  <c r="P9" i="5"/>
  <c r="N9" i="5"/>
  <c r="M9" i="5"/>
  <c r="L9" i="5"/>
  <c r="K9" i="5"/>
  <c r="U8" i="5"/>
  <c r="T8" i="5"/>
  <c r="S8" i="5"/>
  <c r="R8" i="5"/>
  <c r="Q8" i="5"/>
  <c r="P8" i="5"/>
  <c r="N8" i="5"/>
  <c r="M8" i="5"/>
  <c r="L8" i="5"/>
  <c r="K8" i="5"/>
  <c r="U7" i="5"/>
  <c r="T7" i="5"/>
  <c r="S7" i="5"/>
  <c r="R7" i="5"/>
  <c r="Q7" i="5"/>
  <c r="P7" i="5"/>
  <c r="N7" i="5"/>
  <c r="M7" i="5"/>
  <c r="L7" i="5"/>
  <c r="K7" i="5"/>
  <c r="U6" i="5"/>
  <c r="T6" i="5"/>
  <c r="S6" i="5"/>
  <c r="R6" i="5"/>
  <c r="Q6" i="5"/>
  <c r="P6" i="5"/>
  <c r="O6" i="5"/>
  <c r="N6" i="5"/>
  <c r="M6" i="5"/>
  <c r="L6" i="5"/>
  <c r="K6" i="5"/>
  <c r="U5" i="5"/>
  <c r="T5" i="5"/>
  <c r="S5" i="5"/>
  <c r="R5" i="5"/>
  <c r="Q5" i="5"/>
  <c r="P5" i="5"/>
  <c r="N5" i="5"/>
  <c r="M5" i="5"/>
  <c r="L5" i="5"/>
  <c r="K5" i="5"/>
  <c r="U4" i="5"/>
  <c r="T4" i="5"/>
  <c r="S4" i="5"/>
  <c r="R4" i="5"/>
  <c r="Q4" i="5"/>
  <c r="P4" i="5"/>
  <c r="O4" i="5"/>
  <c r="N4" i="5"/>
  <c r="M4" i="5"/>
  <c r="L4" i="5"/>
  <c r="K4" i="5"/>
  <c r="U3" i="5"/>
  <c r="T3" i="5"/>
  <c r="S3" i="5"/>
  <c r="R3" i="5"/>
  <c r="Q3" i="5"/>
  <c r="P3" i="5"/>
  <c r="O3" i="5"/>
  <c r="N3" i="5"/>
  <c r="M3" i="5"/>
  <c r="L3" i="5"/>
  <c r="K3" i="5"/>
  <c r="S13" i="4"/>
  <c r="R13" i="4"/>
  <c r="Q13" i="4"/>
  <c r="P13" i="4"/>
  <c r="O13" i="4"/>
  <c r="N13" i="4"/>
  <c r="M13" i="4"/>
  <c r="L13" i="4"/>
  <c r="K13" i="4"/>
  <c r="J13" i="4"/>
  <c r="I13" i="4"/>
  <c r="S12" i="4"/>
  <c r="R12" i="4"/>
  <c r="Q12" i="4"/>
  <c r="P12" i="4"/>
  <c r="O12" i="4"/>
  <c r="N12" i="4"/>
  <c r="M12" i="4"/>
  <c r="L12" i="4"/>
  <c r="K12" i="4"/>
  <c r="J12" i="4"/>
  <c r="I12" i="4"/>
  <c r="S11" i="4"/>
  <c r="R11" i="4"/>
  <c r="Q11" i="4"/>
  <c r="P11" i="4"/>
  <c r="O11" i="4"/>
  <c r="N11" i="4"/>
  <c r="M11" i="4"/>
  <c r="L11" i="4"/>
  <c r="K11" i="4"/>
  <c r="J11" i="4"/>
  <c r="I11" i="4"/>
  <c r="S10" i="4"/>
  <c r="R10" i="4"/>
  <c r="Q10" i="4"/>
  <c r="P10" i="4"/>
  <c r="O10" i="4"/>
  <c r="N10" i="4"/>
  <c r="M10" i="4"/>
  <c r="L10" i="4"/>
  <c r="K10" i="4"/>
  <c r="J10" i="4"/>
  <c r="I10" i="4"/>
  <c r="S9" i="4"/>
  <c r="R9" i="4"/>
  <c r="Q9" i="4"/>
  <c r="P9" i="4"/>
  <c r="O9" i="4"/>
  <c r="N9" i="4"/>
  <c r="M9" i="4"/>
  <c r="L9" i="4"/>
  <c r="K9" i="4"/>
  <c r="J9" i="4"/>
  <c r="I9" i="4"/>
  <c r="S8" i="4"/>
  <c r="R8" i="4"/>
  <c r="Q8" i="4"/>
  <c r="P8" i="4"/>
  <c r="O8" i="4"/>
  <c r="N8" i="4"/>
  <c r="M8" i="4"/>
  <c r="L8" i="4"/>
  <c r="K8" i="4"/>
  <c r="J8" i="4"/>
  <c r="I8" i="4"/>
  <c r="S7" i="4"/>
  <c r="R7" i="4"/>
  <c r="Q7" i="4"/>
  <c r="P7" i="4"/>
  <c r="O7" i="4"/>
  <c r="N7" i="4"/>
  <c r="M7" i="4"/>
  <c r="L7" i="4"/>
  <c r="K7" i="4"/>
  <c r="J7" i="4"/>
  <c r="I7" i="4"/>
  <c r="S6" i="4"/>
  <c r="R6" i="4"/>
  <c r="Q6" i="4"/>
  <c r="P6" i="4"/>
  <c r="O6" i="4"/>
  <c r="N6" i="4"/>
  <c r="M6" i="4"/>
  <c r="L6" i="4"/>
  <c r="K6" i="4"/>
  <c r="J6" i="4"/>
  <c r="I6" i="4"/>
  <c r="S5" i="4"/>
  <c r="R5" i="4"/>
  <c r="Q5" i="4"/>
  <c r="P5" i="4"/>
  <c r="O5" i="4"/>
  <c r="N5" i="4"/>
  <c r="M5" i="4"/>
  <c r="L5" i="4"/>
  <c r="K5" i="4"/>
  <c r="J5" i="4"/>
  <c r="I5" i="4"/>
  <c r="S4" i="4"/>
  <c r="R4" i="4"/>
  <c r="Q4" i="4"/>
  <c r="P4" i="4"/>
  <c r="O4" i="4"/>
  <c r="N4" i="4"/>
  <c r="M4" i="4"/>
  <c r="L4" i="4"/>
  <c r="K4" i="4"/>
  <c r="J4" i="4"/>
  <c r="I4" i="4"/>
  <c r="S3" i="4"/>
  <c r="R3" i="4"/>
  <c r="Q3" i="4"/>
  <c r="P3" i="4"/>
  <c r="O3" i="4"/>
  <c r="N3" i="4"/>
  <c r="M3" i="4"/>
  <c r="L3" i="4"/>
  <c r="K3" i="4"/>
  <c r="J3" i="4"/>
  <c r="I3" i="4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L3" i="3"/>
  <c r="K3" i="3"/>
  <c r="J3" i="3"/>
  <c r="I3" i="3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L15" i="1"/>
  <c r="K15" i="1"/>
  <c r="J15" i="1"/>
  <c r="I15" i="1"/>
  <c r="S14" i="1"/>
  <c r="R14" i="1"/>
  <c r="Q14" i="1"/>
  <c r="P14" i="1"/>
  <c r="O14" i="1"/>
  <c r="N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L6" i="1"/>
  <c r="K6" i="1"/>
  <c r="J6" i="1"/>
  <c r="I6" i="1"/>
  <c r="S5" i="1"/>
  <c r="R5" i="1"/>
  <c r="Q5" i="1"/>
  <c r="P5" i="1"/>
  <c r="O5" i="1"/>
  <c r="N5" i="1"/>
  <c r="L5" i="1"/>
  <c r="K5" i="1"/>
  <c r="J5" i="1"/>
  <c r="I5" i="1"/>
  <c r="S4" i="1"/>
  <c r="R4" i="1"/>
  <c r="Q4" i="1"/>
  <c r="P4" i="1"/>
  <c r="O4" i="1"/>
  <c r="N4" i="1"/>
  <c r="L4" i="1"/>
  <c r="K4" i="1"/>
  <c r="J4" i="1"/>
  <c r="I4" i="1"/>
  <c r="S3" i="1"/>
  <c r="R3" i="1"/>
  <c r="Q3" i="1"/>
  <c r="P3" i="1"/>
  <c r="O3" i="1"/>
  <c r="N3" i="1"/>
  <c r="L3" i="1"/>
  <c r="K3" i="1"/>
  <c r="J3" i="1"/>
  <c r="I3" i="1"/>
  <c r="O27" i="12" l="1"/>
  <c r="J27" i="12"/>
  <c r="J8" i="7" l="1"/>
  <c r="J23" i="12"/>
  <c r="J9" i="10"/>
  <c r="J21" i="10"/>
  <c r="J30" i="11"/>
  <c r="J5" i="11" l="1"/>
  <c r="H11" i="4"/>
  <c r="H10" i="4"/>
  <c r="H9" i="4"/>
  <c r="H8" i="4"/>
  <c r="O29" i="12"/>
  <c r="H3" i="2"/>
  <c r="H4" i="2"/>
  <c r="H5" i="2"/>
  <c r="H6" i="2"/>
  <c r="H7" i="2"/>
  <c r="H7" i="3"/>
  <c r="H6" i="3"/>
  <c r="H5" i="3"/>
  <c r="H4" i="3"/>
  <c r="H21" i="1"/>
  <c r="H19" i="1"/>
  <c r="H10" i="1"/>
  <c r="H16" i="1"/>
  <c r="H17" i="1"/>
  <c r="H6" i="4"/>
  <c r="H11" i="1"/>
  <c r="H7" i="4"/>
  <c r="H9" i="1"/>
  <c r="J15" i="11"/>
  <c r="H5" i="4"/>
  <c r="J25" i="11"/>
  <c r="J24" i="11"/>
  <c r="J33" i="11"/>
  <c r="J18" i="10"/>
  <c r="J29" i="12"/>
  <c r="J14" i="11"/>
  <c r="O5" i="11"/>
  <c r="O14" i="11"/>
  <c r="O33" i="11"/>
  <c r="J9" i="11" l="1"/>
  <c r="J20" i="12"/>
  <c r="J7" i="10"/>
  <c r="J7" i="7"/>
  <c r="J5" i="7"/>
  <c r="J5" i="8"/>
  <c r="J13" i="11"/>
  <c r="J5" i="10"/>
  <c r="J5" i="5"/>
  <c r="J5" i="6"/>
  <c r="J8" i="5"/>
  <c r="J8" i="6"/>
  <c r="J16" i="9"/>
  <c r="J24" i="12"/>
  <c r="J28" i="11"/>
  <c r="J29" i="11"/>
  <c r="J19" i="9"/>
  <c r="J6" i="12"/>
  <c r="J6" i="9"/>
  <c r="J12" i="6"/>
  <c r="J16" i="7"/>
  <c r="J4" i="6"/>
  <c r="J4" i="9"/>
  <c r="J10" i="11"/>
  <c r="J4" i="8"/>
  <c r="J4" i="12"/>
  <c r="J4" i="10"/>
  <c r="J4" i="7"/>
  <c r="J4" i="5"/>
  <c r="J21" i="12"/>
  <c r="J6" i="8"/>
  <c r="J7" i="11"/>
  <c r="J13" i="9"/>
  <c r="J7" i="5"/>
  <c r="J7" i="6"/>
  <c r="J3" i="6"/>
  <c r="J3" i="10"/>
  <c r="J3" i="8"/>
  <c r="J4" i="11"/>
  <c r="J3" i="12"/>
  <c r="J3" i="9"/>
  <c r="J3" i="7"/>
  <c r="J3" i="5"/>
  <c r="J21" i="8"/>
  <c r="J21" i="6"/>
  <c r="J23" i="10"/>
  <c r="J27" i="7"/>
  <c r="J27" i="9"/>
  <c r="J37" i="11"/>
  <c r="J30" i="12"/>
  <c r="J36" i="11"/>
  <c r="J24" i="10"/>
  <c r="J19" i="8"/>
  <c r="J32" i="12"/>
  <c r="J20" i="8"/>
  <c r="J26" i="7"/>
  <c r="J38" i="11"/>
  <c r="J26" i="9"/>
  <c r="J19" i="5"/>
  <c r="J25" i="7"/>
  <c r="J25" i="9"/>
  <c r="J23" i="6"/>
  <c r="J31" i="12"/>
  <c r="J21" i="5"/>
  <c r="J20" i="5"/>
  <c r="J22" i="6"/>
  <c r="J22" i="10"/>
  <c r="J6" i="5"/>
  <c r="J6" i="7"/>
  <c r="J17" i="9"/>
  <c r="J6" i="6"/>
  <c r="J19" i="12"/>
  <c r="J5" i="12"/>
  <c r="J5" i="9"/>
  <c r="J11" i="6"/>
  <c r="J15" i="7"/>
  <c r="J15" i="5"/>
  <c r="J14" i="12"/>
  <c r="H3" i="4"/>
  <c r="J11" i="7"/>
  <c r="J20" i="9"/>
  <c r="J20" i="11"/>
  <c r="J12" i="8"/>
  <c r="J3" i="11"/>
  <c r="J7" i="8"/>
  <c r="J7" i="12"/>
  <c r="J9" i="5"/>
  <c r="J17" i="7"/>
  <c r="J13" i="6"/>
  <c r="J7" i="9"/>
  <c r="H3" i="1"/>
  <c r="J17" i="10"/>
  <c r="J10" i="8"/>
  <c r="J11" i="9"/>
  <c r="J11" i="12"/>
  <c r="J13" i="5"/>
  <c r="J23" i="7"/>
  <c r="H5" i="1"/>
  <c r="J12" i="11"/>
  <c r="J15" i="10"/>
  <c r="J19" i="6"/>
  <c r="J16" i="11"/>
  <c r="J17" i="8"/>
  <c r="J9" i="9"/>
  <c r="H4" i="1"/>
  <c r="J8" i="8"/>
  <c r="J17" i="6"/>
  <c r="J10" i="5"/>
  <c r="J9" i="12"/>
  <c r="J31" i="11"/>
  <c r="J21" i="7"/>
  <c r="J13" i="12"/>
  <c r="H7" i="1"/>
  <c r="J15" i="6"/>
  <c r="J9" i="8"/>
  <c r="J12" i="5"/>
  <c r="J13" i="10"/>
  <c r="J19" i="7"/>
  <c r="J32" i="11"/>
  <c r="J6" i="10"/>
  <c r="J22" i="12"/>
  <c r="H18" i="1"/>
  <c r="H8" i="2"/>
  <c r="J12" i="10"/>
  <c r="H8" i="3"/>
  <c r="J20" i="10"/>
  <c r="H13" i="1"/>
  <c r="J22" i="7"/>
  <c r="J10" i="9"/>
  <c r="J10" i="12"/>
  <c r="J18" i="6"/>
  <c r="J26" i="11"/>
  <c r="J11" i="5"/>
  <c r="H20" i="1"/>
  <c r="J9" i="6"/>
  <c r="J28" i="12"/>
  <c r="J9" i="7"/>
  <c r="J14" i="9"/>
  <c r="J13" i="7"/>
  <c r="J22" i="9"/>
  <c r="H12" i="4"/>
  <c r="J17" i="5"/>
  <c r="J16" i="12"/>
  <c r="J18" i="11"/>
  <c r="J14" i="8"/>
  <c r="J13" i="8"/>
  <c r="J12" i="7"/>
  <c r="H4" i="4"/>
  <c r="J21" i="11"/>
  <c r="J16" i="5"/>
  <c r="J21" i="9"/>
  <c r="J15" i="12"/>
  <c r="J14" i="5"/>
  <c r="J20" i="6"/>
  <c r="J24" i="7"/>
  <c r="J12" i="9"/>
  <c r="H6" i="1"/>
  <c r="J12" i="12"/>
  <c r="J11" i="8"/>
  <c r="J16" i="10"/>
  <c r="J11" i="11"/>
  <c r="J18" i="8"/>
  <c r="J17" i="11"/>
  <c r="J18" i="12"/>
  <c r="J24" i="9"/>
  <c r="J27" i="11"/>
  <c r="J28" i="7"/>
  <c r="H15" i="1"/>
  <c r="J35" i="11"/>
  <c r="J34" i="11"/>
  <c r="H3" i="3"/>
  <c r="J8" i="11"/>
  <c r="J18" i="9"/>
  <c r="J25" i="12"/>
  <c r="J8" i="10"/>
  <c r="J10" i="10"/>
  <c r="J14" i="10"/>
  <c r="J16" i="6"/>
  <c r="H8" i="1"/>
  <c r="J20" i="7"/>
  <c r="J16" i="8"/>
  <c r="J22" i="11"/>
  <c r="H12" i="1"/>
  <c r="J19" i="10"/>
  <c r="J23" i="11"/>
  <c r="J8" i="9"/>
  <c r="J8" i="12"/>
  <c r="J11" i="10"/>
  <c r="J10" i="6"/>
  <c r="J15" i="9"/>
  <c r="J10" i="7"/>
  <c r="J26" i="12"/>
  <c r="J23" i="9"/>
  <c r="J15" i="8"/>
  <c r="J14" i="7"/>
  <c r="J18" i="5"/>
  <c r="H13" i="4"/>
  <c r="J19" i="11"/>
  <c r="J17" i="12"/>
  <c r="J14" i="6"/>
  <c r="J6" i="11"/>
  <c r="J18" i="7"/>
  <c r="H14" i="1"/>
  <c r="O20" i="12"/>
  <c r="O7" i="10"/>
  <c r="O9" i="11"/>
  <c r="O7" i="7"/>
  <c r="O16" i="10"/>
  <c r="O24" i="7"/>
  <c r="M6" i="1"/>
  <c r="O12" i="9"/>
  <c r="O20" i="6"/>
  <c r="O12" i="12"/>
  <c r="O14" i="5"/>
  <c r="O11" i="11"/>
  <c r="O11" i="8"/>
  <c r="O17" i="11"/>
  <c r="O18" i="8"/>
  <c r="O8" i="8"/>
  <c r="O10" i="5"/>
  <c r="O31" i="11"/>
  <c r="O21" i="7"/>
  <c r="O9" i="9"/>
  <c r="O17" i="6"/>
  <c r="M4" i="1"/>
  <c r="O9" i="12"/>
  <c r="O7" i="6"/>
  <c r="O13" i="9"/>
  <c r="O7" i="5"/>
  <c r="O9" i="6"/>
  <c r="O9" i="7"/>
  <c r="O28" i="12"/>
  <c r="O14" i="9"/>
  <c r="O30" i="12"/>
  <c r="O38" i="11"/>
  <c r="O24" i="10"/>
  <c r="O32" i="12"/>
  <c r="O25" i="9"/>
  <c r="O26" i="7"/>
  <c r="O21" i="6"/>
  <c r="O37" i="11"/>
  <c r="O26" i="9"/>
  <c r="O19" i="8"/>
  <c r="O25" i="7"/>
  <c r="O21" i="5"/>
  <c r="O31" i="12"/>
  <c r="O36" i="11"/>
  <c r="O22" i="10"/>
  <c r="O27" i="9"/>
  <c r="O20" i="8"/>
  <c r="O23" i="6"/>
  <c r="O20" i="5"/>
  <c r="O23" i="10"/>
  <c r="O21" i="8"/>
  <c r="O27" i="7"/>
  <c r="O22" i="6"/>
  <c r="O19" i="5"/>
  <c r="O8" i="5"/>
  <c r="O8" i="6"/>
  <c r="O16" i="9"/>
  <c r="O23" i="12"/>
  <c r="O8" i="7"/>
  <c r="O30" i="11"/>
  <c r="O21" i="10"/>
  <c r="O9" i="10"/>
  <c r="O5" i="6"/>
  <c r="O5" i="10"/>
  <c r="O5" i="7"/>
  <c r="O13" i="11"/>
  <c r="O5" i="8"/>
  <c r="O5" i="5"/>
  <c r="O24" i="12"/>
  <c r="O28" i="11"/>
  <c r="O6" i="8"/>
  <c r="O21" i="12"/>
  <c r="O7" i="11"/>
  <c r="O29" i="11"/>
  <c r="O19" i="9"/>
  <c r="O13" i="6"/>
  <c r="O17" i="10"/>
  <c r="O7" i="8"/>
  <c r="O9" i="5"/>
  <c r="O7" i="9"/>
  <c r="O3" i="11"/>
  <c r="O7" i="12"/>
  <c r="O17" i="7"/>
  <c r="M3" i="1"/>
  <c r="O6" i="11"/>
  <c r="M14" i="1"/>
  <c r="O18" i="7"/>
  <c r="O14" i="6"/>
  <c r="O12" i="11"/>
  <c r="O10" i="8"/>
  <c r="O15" i="10"/>
  <c r="O23" i="7"/>
  <c r="M5" i="1"/>
  <c r="O11" i="9"/>
  <c r="O19" i="6"/>
  <c r="O11" i="12"/>
  <c r="O13" i="5"/>
  <c r="O17" i="8"/>
  <c r="O16" i="11"/>
  <c r="O28" i="7"/>
  <c r="O24" i="9"/>
  <c r="O18" i="12"/>
  <c r="O27" i="11"/>
  <c r="M15" i="1"/>
  <c r="O34" i="11"/>
  <c r="O35" i="11"/>
  <c r="M3" i="3"/>
  <c r="O6" i="10"/>
  <c r="O22" i="12"/>
  <c r="O26" i="12"/>
  <c r="O15" i="9"/>
  <c r="O10" i="7"/>
  <c r="O10" i="6"/>
  <c r="O11" i="10"/>
</calcChain>
</file>

<file path=xl/sharedStrings.xml><?xml version="1.0" encoding="utf-8"?>
<sst xmlns="http://schemas.openxmlformats.org/spreadsheetml/2006/main" count="1571" uniqueCount="322">
  <si>
    <t>Sacral plexus</t>
  </si>
  <si>
    <t>Mesentary surrounding Rectum</t>
  </si>
  <si>
    <t>MesoRectum</t>
  </si>
  <si>
    <t>Wall of Bladder</t>
  </si>
  <si>
    <t>Bladder wall</t>
  </si>
  <si>
    <t>Male or Female External Genitailia</t>
  </si>
  <si>
    <t>Genitalia</t>
  </si>
  <si>
    <t>Right Hip</t>
  </si>
  <si>
    <t>Hip R</t>
  </si>
  <si>
    <t>Left Hip</t>
  </si>
  <si>
    <t>Hip L</t>
  </si>
  <si>
    <t>Presacral space</t>
  </si>
  <si>
    <t>Intestinal Space</t>
  </si>
  <si>
    <t>Bowel</t>
  </si>
  <si>
    <t>iliac crest R</t>
  </si>
  <si>
    <t>iliac crest L</t>
  </si>
  <si>
    <t>Sacrum</t>
  </si>
  <si>
    <t>Pubic Symphysis</t>
  </si>
  <si>
    <t>Sigmoidal Colon</t>
  </si>
  <si>
    <t>Sigmoid</t>
  </si>
  <si>
    <t>Reviewed</t>
  </si>
  <si>
    <t>ApprovalStatus</t>
  </si>
  <si>
    <t>Large intestine</t>
  </si>
  <si>
    <t>Large Bowel</t>
  </si>
  <si>
    <t>gsal</t>
  </si>
  <si>
    <t>Small intestine</t>
  </si>
  <si>
    <t>Small Bowel</t>
  </si>
  <si>
    <t>TreatmentSite</t>
  </si>
  <si>
    <t>Head of left femur</t>
  </si>
  <si>
    <t>Femoral Head L</t>
  </si>
  <si>
    <t>Diagnosis</t>
  </si>
  <si>
    <t>Head of right femur</t>
  </si>
  <si>
    <t>Femoral Head R</t>
  </si>
  <si>
    <t>Organs of the Pelvis Gender Neutral</t>
  </si>
  <si>
    <t>Description</t>
  </si>
  <si>
    <t>Rectum</t>
  </si>
  <si>
    <t>Structure</t>
  </si>
  <si>
    <t>Urinary bladder</t>
  </si>
  <si>
    <t>Bladder</t>
  </si>
  <si>
    <t>Pelvis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</si>
  <si>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</si>
  <si>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</si>
  <si>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</si>
  <si>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</si>
  <si>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</si>
  <si>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</si>
  <si>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</si>
  <si>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</si>
  <si>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</si>
  <si>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</si>
  <si>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</si>
  <si>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</si>
  <si>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</si>
  <si>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</si>
  <si>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</si>
  <si>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</si>
  <si>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</si>
  <si>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</si>
  <si>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</si>
  <si>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</si>
  <si>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</si>
  <si>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</si>
  <si>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Pelvis Anatomy General</t>
  </si>
  <si>
    <t>Urethra</t>
  </si>
  <si>
    <t>Penile  bulb</t>
  </si>
  <si>
    <t>Prostate</t>
  </si>
  <si>
    <t>Organs of the Male Pelvis</t>
  </si>
  <si>
    <t>Right seminal vesicle</t>
  </si>
  <si>
    <t>Seminal Ves R</t>
  </si>
  <si>
    <t>Left seminal vesicle</t>
  </si>
  <si>
    <t>Seminal Ves L</t>
  </si>
  <si>
    <t>Pelvis Male</t>
  </si>
  <si>
    <t>Pelvis Anatomy Male</t>
  </si>
  <si>
    <t>Ovary R</t>
  </si>
  <si>
    <t>Ovary L</t>
  </si>
  <si>
    <t>Uterus</t>
  </si>
  <si>
    <t>Organs of the Female Pelvis</t>
  </si>
  <si>
    <t>Cervix</t>
  </si>
  <si>
    <t>Vagina</t>
  </si>
  <si>
    <t>Pelvis Female</t>
  </si>
  <si>
    <t>Pelvis Anatomy Female</t>
  </si>
  <si>
    <t>Left external iliac lymphatic chain</t>
  </si>
  <si>
    <t>Node ext iliac R</t>
  </si>
  <si>
    <t>Right external iliac lymphatic chain</t>
  </si>
  <si>
    <t>Node ext iliac L</t>
  </si>
  <si>
    <t>External iliac lymphatic chain</t>
  </si>
  <si>
    <t>Node ext iliac</t>
  </si>
  <si>
    <t>Left common iliac lymphatic chain</t>
  </si>
  <si>
    <t>Node com iliac R</t>
  </si>
  <si>
    <t>Right common iliac lymphatic chain</t>
  </si>
  <si>
    <t>Node com iliac L</t>
  </si>
  <si>
    <t>Common iliac lymphatic chain</t>
  </si>
  <si>
    <t>Node com iliac</t>
  </si>
  <si>
    <t>Internal iliac nodes</t>
  </si>
  <si>
    <t>Node Int iliac</t>
  </si>
  <si>
    <t>Obturator Nodes</t>
  </si>
  <si>
    <t>Node Obturator</t>
  </si>
  <si>
    <t>Sacral Nodes</t>
  </si>
  <si>
    <t>Node Sacral</t>
  </si>
  <si>
    <t>Nodes of the Pelvis</t>
  </si>
  <si>
    <t>Right internal iliac lymphatic chain</t>
  </si>
  <si>
    <t>Node Int iliac R</t>
  </si>
  <si>
    <t>Left internal iliac nodes</t>
  </si>
  <si>
    <t>Node Int iliac L</t>
  </si>
  <si>
    <t>Pelvis Nodes</t>
  </si>
  <si>
    <t>RO Helper Structure</t>
  </si>
  <si>
    <t>Z3</t>
  </si>
  <si>
    <t>RO Helper</t>
  </si>
  <si>
    <t>Z2</t>
  </si>
  <si>
    <t>Z1</t>
  </si>
  <si>
    <t>Left Vessels as surogate for Nodes</t>
  </si>
  <si>
    <t>Right Vessels as surogate for Nodes</t>
  </si>
  <si>
    <t>Planning Target Volume</t>
  </si>
  <si>
    <t>PTV</t>
  </si>
  <si>
    <t>Clinical Target Volume</t>
  </si>
  <si>
    <t>CTV</t>
  </si>
  <si>
    <t>.Rectum</t>
  </si>
  <si>
    <t>Enlarged Lymph Node</t>
  </si>
  <si>
    <t>Node</t>
  </si>
  <si>
    <t>GTVn</t>
  </si>
  <si>
    <t>Gross Target Volume</t>
  </si>
  <si>
    <t>GTV</t>
  </si>
  <si>
    <t>Rectum 3D CRT</t>
  </si>
  <si>
    <t>ICD-10</t>
  </si>
  <si>
    <t>C20.0</t>
  </si>
  <si>
    <t>Dose Prescription Volume</t>
  </si>
  <si>
    <t>DPV</t>
  </si>
  <si>
    <t>Body</t>
  </si>
  <si>
    <t>VolumeCodeTable</t>
  </si>
  <si>
    <t>VolumeCode</t>
  </si>
  <si>
    <t>Rectum for optimizer</t>
  </si>
  <si>
    <t>opt Rectum</t>
  </si>
  <si>
    <t>Rectum opt</t>
  </si>
  <si>
    <t>Mesetary surrounding intestines</t>
  </si>
  <si>
    <t>BowelBag</t>
  </si>
  <si>
    <t>Rectal Avoidance Structure Low Dose</t>
  </si>
  <si>
    <t>Avoid b Rectum</t>
  </si>
  <si>
    <t>Avoid b</t>
  </si>
  <si>
    <t>Rectal Avoidance Structure High Dose</t>
  </si>
  <si>
    <t>Avoid a Rectum</t>
  </si>
  <si>
    <t>Avoid a</t>
  </si>
  <si>
    <t>PTV 5250 cGy for optimizer</t>
  </si>
  <si>
    <t>opt PTV 5250</t>
  </si>
  <si>
    <t>PTV opt</t>
  </si>
  <si>
    <t>PTV 5250 cGy for DVH</t>
  </si>
  <si>
    <t>eval PTV 5250</t>
  </si>
  <si>
    <t>PTV eval</t>
  </si>
  <si>
    <t>PTV 5250 cGy</t>
  </si>
  <si>
    <t>PTV 5250</t>
  </si>
  <si>
    <t>CTV 5250 cGy</t>
  </si>
  <si>
    <t>CTV 5250</t>
  </si>
  <si>
    <t>.Bladder</t>
  </si>
  <si>
    <t>Bladder Single Phase for VMAT</t>
  </si>
  <si>
    <t>C67.9</t>
  </si>
  <si>
    <t>Bladder 1 Phase</t>
  </si>
  <si>
    <t>Bladder Single Phase</t>
  </si>
  <si>
    <t>PTV 66 Gy for optimizer</t>
  </si>
  <si>
    <t>opt PTV 66</t>
  </si>
  <si>
    <t>PTV 66 Gy for DVH</t>
  </si>
  <si>
    <t>eval PTV</t>
  </si>
  <si>
    <t>PTV high risk 66 Gy</t>
  </si>
  <si>
    <t>PTV 66</t>
  </si>
  <si>
    <t>PTV high</t>
  </si>
  <si>
    <t>CTV high risk 66 Gy</t>
  </si>
  <si>
    <t>CTV 66</t>
  </si>
  <si>
    <t>CTV high</t>
  </si>
  <si>
    <t>Bladder Two Phase for VMAT</t>
  </si>
  <si>
    <t>Bladder Two Phase</t>
  </si>
  <si>
    <t>Right kidney</t>
  </si>
  <si>
    <t>Kidney R</t>
  </si>
  <si>
    <t>Left kidney</t>
  </si>
  <si>
    <t>Kidney L</t>
  </si>
  <si>
    <t>Parietal lumbar lymph nodes</t>
  </si>
  <si>
    <t>Node Para-Aortic</t>
  </si>
  <si>
    <t>FemoralHead L</t>
  </si>
  <si>
    <t>FemoralHead R</t>
  </si>
  <si>
    <t>.Gyn</t>
  </si>
  <si>
    <t>CTV Vagina</t>
  </si>
  <si>
    <t>CTV int</t>
  </si>
  <si>
    <t>Gyne Standard</t>
  </si>
  <si>
    <t>C57.9</t>
  </si>
  <si>
    <t>Gyne</t>
  </si>
  <si>
    <t>PTV Nodes</t>
  </si>
  <si>
    <t>PTVn</t>
  </si>
  <si>
    <t>CTV Nodes</t>
  </si>
  <si>
    <t>CTVn</t>
  </si>
  <si>
    <t>GTV Nodes</t>
  </si>
  <si>
    <t>PTV High Risk</t>
  </si>
  <si>
    <t>PTV High Risk for optimizer</t>
  </si>
  <si>
    <t>opt PTV</t>
  </si>
  <si>
    <t>PTV High Risk for DVH</t>
  </si>
  <si>
    <t>CTV High Risk</t>
  </si>
  <si>
    <t>Bladder sub PTVs for optimizer</t>
  </si>
  <si>
    <t>opt Bladder</t>
  </si>
  <si>
    <t>Bladder opt</t>
  </si>
  <si>
    <t>.Prostate</t>
  </si>
  <si>
    <t>Prostate all prescriptions</t>
  </si>
  <si>
    <t>C61.1</t>
  </si>
  <si>
    <t>PTV excluding bladder</t>
  </si>
  <si>
    <t>PTV-Bladder</t>
  </si>
  <si>
    <t>Right iliac crest</t>
  </si>
  <si>
    <t xml:space="preserve">Left iliac crest </t>
  </si>
  <si>
    <t>Body contour excluding bellyboard</t>
  </si>
  <si>
    <t>Body-Board</t>
  </si>
  <si>
    <t>Normal Tissue</t>
  </si>
  <si>
    <t>Left Femoral Head</t>
  </si>
  <si>
    <t>Right Femoral Head</t>
  </si>
  <si>
    <t>large bowel</t>
  </si>
  <si>
    <t>External Genitalia</t>
  </si>
  <si>
    <t>PTV high risk for optimizer</t>
  </si>
  <si>
    <t>opt PTV 54</t>
  </si>
  <si>
    <t>PTV low risk for optimizer</t>
  </si>
  <si>
    <t>opt PTV 36</t>
  </si>
  <si>
    <t>PTV low</t>
  </si>
  <si>
    <t>PTV high risk</t>
  </si>
  <si>
    <t>PTV 54</t>
  </si>
  <si>
    <t>PTV low risk</t>
  </si>
  <si>
    <t>PTV 36</t>
  </si>
  <si>
    <t>CTV 54</t>
  </si>
  <si>
    <t>.Anus</t>
  </si>
  <si>
    <t>CTV 36</t>
  </si>
  <si>
    <t>CTV low</t>
  </si>
  <si>
    <t>Anus</t>
  </si>
  <si>
    <t>C21.0</t>
  </si>
  <si>
    <t>VMAT ANUS</t>
  </si>
  <si>
    <t>opt Bone Marrow Space</t>
  </si>
  <si>
    <t>opt Bone Marrow</t>
  </si>
  <si>
    <t>Bone Marrow opt</t>
  </si>
  <si>
    <t>Bone Marrow Space</t>
  </si>
  <si>
    <t>Bone Marrow</t>
  </si>
  <si>
    <t>opt Bowel Space</t>
  </si>
  <si>
    <t>Bowel opt</t>
  </si>
  <si>
    <t>Kidney Both</t>
  </si>
  <si>
    <t>Kidney B</t>
  </si>
  <si>
    <t>Combined PTV</t>
  </si>
  <si>
    <t>PTV 45</t>
  </si>
  <si>
    <t>PTV int</t>
  </si>
  <si>
    <t>Vaginal PTV</t>
  </si>
  <si>
    <t>PTVp</t>
  </si>
  <si>
    <t>Nodal PTV</t>
  </si>
  <si>
    <t>Vaginal ITV</t>
  </si>
  <si>
    <t>ITV</t>
  </si>
  <si>
    <t>Vaginal CTV</t>
  </si>
  <si>
    <t>CTVp</t>
  </si>
  <si>
    <t>Nodal CTV</t>
  </si>
  <si>
    <t>Gyne VMAT</t>
  </si>
  <si>
    <t>Bowel Space</t>
  </si>
  <si>
    <t>post op uterus/cervix</t>
  </si>
  <si>
    <t>ITV Vagina</t>
  </si>
  <si>
    <t>CTV 45</t>
  </si>
  <si>
    <t>Combined CTV</t>
  </si>
  <si>
    <t>Spinal Canal</t>
  </si>
  <si>
    <t>Vagina Full</t>
  </si>
  <si>
    <t>Vagina Empty</t>
  </si>
  <si>
    <t>CTV46</t>
  </si>
  <si>
    <t>PTV46</t>
  </si>
  <si>
    <t>Prostate 2Ph VMAT</t>
  </si>
  <si>
    <t>Columns</t>
  </si>
  <si>
    <t>Status</t>
  </si>
  <si>
    <t>Active</t>
  </si>
  <si>
    <t>Author</t>
  </si>
  <si>
    <t>OAR</t>
  </si>
  <si>
    <t>Pelvis_Anatomy.xml</t>
  </si>
  <si>
    <t>Pelvis_Male.xml</t>
  </si>
  <si>
    <t>Pelvis_Female.xml</t>
  </si>
  <si>
    <t>Pelvis_Nodes.xml</t>
  </si>
  <si>
    <t>Site</t>
  </si>
  <si>
    <t>Rectum.xml</t>
  </si>
  <si>
    <t>Bladder_1_Phase.xml</t>
  </si>
  <si>
    <t>Bladder_2_Phase.xml</t>
  </si>
  <si>
    <t>Gyne_Template.xml</t>
  </si>
  <si>
    <t>Prostate.xml</t>
  </si>
  <si>
    <t>Prostate_2Ph_VMAT.xml</t>
  </si>
  <si>
    <t>VMAT_ANUS.xml</t>
  </si>
  <si>
    <t>Gyne_VMAT.xml</t>
  </si>
  <si>
    <t>TemplateID</t>
  </si>
  <si>
    <t>TemplateCategory</t>
  </si>
  <si>
    <t>TemplateType</t>
  </si>
  <si>
    <t>IliacVessel in L</t>
  </si>
  <si>
    <t>IliacVessel in R</t>
  </si>
  <si>
    <t>IliacVessel ex L</t>
  </si>
  <si>
    <t>IliacVessel ex R</t>
  </si>
  <si>
    <t>Left internal iliac vessels as surrogate for Nodes</t>
  </si>
  <si>
    <t>Right internal iliac vessels as surrogate for Nodes</t>
  </si>
  <si>
    <t>Left external iliac vessels as surrogate for Nodes</t>
  </si>
  <si>
    <t>Right external iliac vessels as surrogate for Nodes</t>
  </si>
  <si>
    <t>opt PTV46</t>
  </si>
  <si>
    <t>PTV int opt</t>
  </si>
  <si>
    <t>eval PTV46</t>
  </si>
  <si>
    <t>CTV76</t>
  </si>
  <si>
    <t>PTV76</t>
  </si>
  <si>
    <t>opt PTV76</t>
  </si>
  <si>
    <t>eval PTV76</t>
  </si>
  <si>
    <t>PTV int eval</t>
  </si>
  <si>
    <t>TemplateFileName</t>
  </si>
  <si>
    <t>PTV low opt</t>
  </si>
  <si>
    <t>PTV Intermediate Risk for optimizer</t>
  </si>
  <si>
    <t>PTV Intermediate Risk for DVH</t>
  </si>
  <si>
    <t>CTV Intermediate Risk</t>
  </si>
  <si>
    <t>Two Phase VMAT Prostate 76 Gy</t>
  </si>
  <si>
    <t>Left Vessels as surrogate for Nodes</t>
  </si>
  <si>
    <t>Right Vessels as surrogate for Nodes</t>
  </si>
  <si>
    <t>Prostate SingleIntegrated Boost 70 Gy in 28 fractions</t>
  </si>
  <si>
    <t>Prostate_SIB70in28.xml</t>
  </si>
  <si>
    <t>CTV70</t>
  </si>
  <si>
    <t>CTV48</t>
  </si>
  <si>
    <t>PTV70</t>
  </si>
  <si>
    <t>PTV48</t>
  </si>
  <si>
    <t>opt PTV70</t>
  </si>
  <si>
    <t>opt PTV48a</t>
  </si>
  <si>
    <t>opt PTV48</t>
  </si>
  <si>
    <t>opt PTV48b</t>
  </si>
  <si>
    <t>eval PTV70</t>
  </si>
  <si>
    <t>eval PTV48</t>
  </si>
  <si>
    <t>Body outside of PTV</t>
  </si>
  <si>
    <t>Prostate Single Integrated Boost 68 Gy in 25 fractions</t>
  </si>
  <si>
    <t>Prostate_SIB68in25.xml</t>
  </si>
  <si>
    <t>Prostate SIB 70 in 28</t>
  </si>
  <si>
    <t>Prostate SIB 68 in 25</t>
  </si>
  <si>
    <t>CTV68</t>
  </si>
  <si>
    <t>PTV68</t>
  </si>
  <si>
    <t>eval PTV68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</si>
</sst>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6" xfId="0" applyFont="1" applyBorder="1"/>
    <xf numFmtId="0" fontId="0" fillId="0" borderId="5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2" xfId="0" applyBorder="1"/>
    <xf numFmtId="49" fontId="1" fillId="0" borderId="21" xfId="0" applyNumberFormat="1" applyFont="1" applyBorder="1" applyAlignment="1">
      <alignment horizontal="left"/>
    </xf>
    <xf numFmtId="0" fontId="1" fillId="0" borderId="12" xfId="0" applyFont="1" applyFill="1" applyBorder="1" applyAlignment="1"/>
    <xf numFmtId="0" fontId="0" fillId="0" borderId="12" xfId="0" applyFont="1" applyBorder="1" applyAlignment="1"/>
    <xf numFmtId="0" fontId="0" fillId="0" borderId="21" xfId="0" applyBorder="1"/>
    <xf numFmtId="49" fontId="0" fillId="0" borderId="21" xfId="0" applyNumberFormat="1" applyFont="1" applyFill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49" fontId="3" fillId="0" borderId="16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22" xfId="0" applyNumberFormat="1" applyBorder="1"/>
    <xf numFmtId="49" fontId="0" fillId="0" borderId="22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0" xfId="0" applyBorder="1"/>
    <xf numFmtId="49" fontId="0" fillId="0" borderId="21" xfId="0" applyNumberFormat="1" applyFont="1" applyBorder="1" applyAlignment="1">
      <alignment horizontal="left"/>
    </xf>
    <xf numFmtId="0" fontId="0" fillId="0" borderId="12" xfId="0" applyFont="1" applyFill="1" applyBorder="1" applyAlignment="1"/>
    <xf numFmtId="0" fontId="4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4" fillId="0" borderId="19" xfId="0" applyFont="1" applyBorder="1" applyAlignment="1">
      <alignment horizontal="center"/>
    </xf>
  </cellXfs>
  <cellStyles count="2">
    <cellStyle name="Normal" xfId="0" builtinId="0"/>
    <cellStyle name="Title 2" xfId="1"/>
  </cellStyles>
  <dxfs count="174"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3132343155" displayName="Table33132343155" ref="A2:B13" totalsRowShown="0" headerRowDxfId="173" headerRowBorderDxfId="172" tableBorderDxfId="171" totalsRowBorderDxfId="17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494450" displayName="Table5333539494450" ref="D2:H21" totalsRowShown="0" headerRowDxfId="125" headerRowBorderDxfId="124" tableBorderDxfId="123" totalsRowBorderDxfId="122">
  <tableColumns count="5">
    <tableColumn id="1" name="Structure" dataDxfId="121"/>
    <tableColumn id="2" name="ID" dataDxfId="120"/>
    <tableColumn id="3" name="Name" dataDxfId="119"/>
    <tableColumn id="4" name="VolumeCode" dataDxfId="118"/>
    <tableColumn id="5" name="VolumeCodeTable" dataDxfId="1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3848434751" displayName="Table33132343848434751" ref="A2:B13" totalsRowShown="0" headerRowDxfId="116" headerRowBorderDxfId="115" tableBorderDxfId="114" totalsRowBorderDxfId="11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3949445052" displayName="Table533353949445052" ref="D2:H23" totalsRowShown="0" headerRowDxfId="112" headerRowBorderDxfId="111" tableBorderDxfId="110" totalsRowBorderDxfId="109">
  <tableColumns count="5">
    <tableColumn id="1" name="Structure" dataDxfId="108"/>
    <tableColumn id="2" name="ID" dataDxfId="107"/>
    <tableColumn id="3" name="Name" dataDxfId="106"/>
    <tableColumn id="4" name="VolumeCode" dataDxfId="105"/>
    <tableColumn id="5" name="VolumeCodeTabl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4843475179" displayName="Table3313234384843475179" ref="A2:B13" totalsRowShown="0" headerRowDxfId="103" headerRowBorderDxfId="102" tableBorderDxfId="101" totalsRowBorderDxfId="10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4944505280" displayName="Table53335394944505280" ref="D2:H28" totalsRowShown="0" headerRowDxfId="99" headerRowBorderDxfId="98" tableBorderDxfId="97" totalsRowBorderDxfId="96">
  <tableColumns count="5">
    <tableColumn id="1" name="Structure" dataDxfId="95"/>
    <tableColumn id="2" name="ID" dataDxfId="94"/>
    <tableColumn id="3" name="Name" dataDxfId="93"/>
    <tableColumn id="4" name="VolumeCode" dataDxfId="92"/>
    <tableColumn id="5" name="VolumeCodeTable" dataDxfId="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313234384843" displayName="Table3313234384843" ref="A2:B13" totalsRowShown="0" headerRowDxfId="90" headerRowBorderDxfId="89" tableBorderDxfId="88" totalsRowBorderDxfId="8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335394944" displayName="Table53335394944" ref="D2:H21" totalsRowShown="0" headerRowDxfId="86" headerRowBorderDxfId="85" tableBorderDxfId="84" totalsRowBorderDxfId="83">
  <tableColumns count="5">
    <tableColumn id="1" name="Structure" dataDxfId="82"/>
    <tableColumn id="2" name="ID" dataDxfId="81"/>
    <tableColumn id="3" name="Name" dataDxfId="80"/>
    <tableColumn id="4" name="VolumeCode" dataDxfId="79"/>
    <tableColumn id="5" name="VolumeCodeTable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3132343848" displayName="Table33132343848" ref="A2:B13" totalsRowShown="0" headerRowDxfId="77" headerRowBorderDxfId="76" tableBorderDxfId="75" totalsRowBorderDxfId="7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3353949" displayName="Table533353949" ref="D2:H27" totalsRowShown="0" headerRowDxfId="73" headerRowBorderDxfId="72" tableBorderDxfId="71" totalsRowBorderDxfId="70">
  <tableColumns count="5">
    <tableColumn id="1" name="Structure" dataDxfId="69"/>
    <tableColumn id="2" name="ID" dataDxfId="68"/>
    <tableColumn id="3" name="Name" dataDxfId="67"/>
    <tableColumn id="4" name="VolumeCode" dataDxfId="66"/>
    <tableColumn id="5" name="VolumeCodeTable" dataDxfId="6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Table3313234384824" displayName="Table3313234384824" ref="A2:B13" totalsRowShown="0" headerRowDxfId="64" headerRowBorderDxfId="63" tableBorderDxfId="62" totalsRowBorderDxfId="61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3353756" displayName="Table533353756" ref="D2:F21" totalsRowShown="0" headerRowDxfId="169" headerRowBorderDxfId="168" tableBorderDxfId="167" totalsRowBorderDxfId="166">
  <tableColumns count="3">
    <tableColumn id="1" name="Structure" dataDxfId="165"/>
    <tableColumn id="2" name="ID" dataDxfId="164"/>
    <tableColumn id="3" name="Name" dataDxfId="1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4" name="Table53335394925" displayName="Table53335394925" ref="D2:H32" totalsRowShown="0" headerRowDxfId="60" headerRowBorderDxfId="59" tableBorderDxfId="58" totalsRowBorderDxfId="57">
  <tableColumns count="5">
    <tableColumn id="1" name="Structure" dataDxfId="56"/>
    <tableColumn id="2" name="ID" dataDxfId="55"/>
    <tableColumn id="3" name="Name" dataDxfId="54"/>
    <tableColumn id="4" name="VolumeCode" dataDxfId="53"/>
    <tableColumn id="5" name="VolumeCodeTable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5" name="Table331323438482426" displayName="Table331323438482426" ref="A2:B13" totalsRowShown="0" headerRowDxfId="51" headerRowBorderDxfId="50" tableBorderDxfId="49" totalsRowBorderDxfId="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6" name="Table5333539492527" displayName="Table5333539492527" ref="D2:H35" totalsRowShown="0" headerRowDxfId="47" headerRowBorderDxfId="46" tableBorderDxfId="45" totalsRowBorderDxfId="44">
  <tableColumns count="5">
    <tableColumn id="1" name="Structure" dataDxfId="43"/>
    <tableColumn id="2" name="ID" dataDxfId="42"/>
    <tableColumn id="3" name="Name" dataDxfId="41"/>
    <tableColumn id="4" name="VolumeCode" dataDxfId="40"/>
    <tableColumn id="5" name="VolumeCodeTable" dataDxfId="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7" name="Table33132343848242628" displayName="Table33132343848242628" ref="A2:B13" totalsRowShown="0" headerRowDxfId="38" headerRowBorderDxfId="37" tableBorderDxfId="36" totalsRowBorderDxfId="3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8" name="Table533353949252729" displayName="Table533353949252729" ref="D2:H35" totalsRowShown="0" headerRowDxfId="34" headerRowBorderDxfId="33" tableBorderDxfId="32" totalsRowBorderDxfId="31">
  <tableColumns count="5">
    <tableColumn id="1" name="Structure" dataDxfId="30"/>
    <tableColumn id="2" name="ID" dataDxfId="29"/>
    <tableColumn id="3" name="Name" dataDxfId="28"/>
    <tableColumn id="4" name="VolumeCode" dataDxfId="27"/>
    <tableColumn id="5" name="VolumeCodeTable" dataDxfId="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19" name="Table3313234384853" displayName="Table3313234384853" ref="A2:B13" totalsRowShown="0" headerRowDxfId="25" headerRowBorderDxfId="24" tableBorderDxfId="23" totalsRowBorderDxfId="22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0" name="Table53335394954" displayName="Table53335394954" ref="D2:H24" totalsRowShown="0" headerRowDxfId="21" headerRowBorderDxfId="20" tableBorderDxfId="19" totalsRowBorderDxfId="18">
  <tableColumns count="5">
    <tableColumn id="1" name="Structure" dataDxfId="17"/>
    <tableColumn id="2" name="ID" dataDxfId="16"/>
    <tableColumn id="3" name="Name" dataDxfId="15"/>
    <tableColumn id="4" name="VolumeCode" dataDxfId="14"/>
    <tableColumn id="5" name="VolumeCodeTable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1" name="Table331323438484389" displayName="Table331323438484389" ref="A2:B13" totalsRowShown="0" headerRowDxfId="12" headerRowBorderDxfId="11" tableBorderDxfId="10" totalsRowBorderDxfId="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2" name="Table5333539494490" displayName="Table5333539494490" ref="D2:H38" totalsRowShown="0" headerRowDxfId="8" headerRowBorderDxfId="7" tableBorderDxfId="6" totalsRowBorderDxfId="5">
  <sortState ref="D3:H40">
    <sortCondition ref="E3:E40"/>
    <sortCondition ref="F3:F40"/>
    <sortCondition ref="D3:D40"/>
  </sortState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3132343155596163" displayName="Table33132343155596163" ref="A2:B13" totalsRowShown="0" headerRowDxfId="162" headerRowBorderDxfId="161" tableBorderDxfId="160" totalsRowBorderDxfId="15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3353756606264" displayName="Table533353756606264" ref="D2:F8" totalsRowShown="0" headerRowDxfId="158" headerRowBorderDxfId="157" tableBorderDxfId="156" totalsRowBorderDxfId="155">
  <tableColumns count="3">
    <tableColumn id="1" name="Structure" dataDxfId="154"/>
    <tableColumn id="2" name="ID" dataDxfId="153"/>
    <tableColumn id="3" name="Name" dataDxfId="1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31323431555961" displayName="Table331323431555961" ref="A2:B13" totalsRowShown="0" headerRowDxfId="151" headerRowBorderDxfId="150" tableBorderDxfId="149" totalsRowBorderDxfId="14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33537566062" displayName="Table5333537566062" ref="D2:F8" totalsRowShown="0" headerRowDxfId="147" headerRowBorderDxfId="146" tableBorderDxfId="145" totalsRowBorderDxfId="144">
  <tableColumns count="3">
    <tableColumn id="1" name="Structure" dataDxfId="143"/>
    <tableColumn id="2" name="ID" dataDxfId="142"/>
    <tableColumn id="3" name="Name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15559" displayName="Table3313234315559" ref="A2:B13" totalsRowShown="0" headerRowDxfId="140" headerRowBorderDxfId="139" tableBorderDxfId="138" totalsRowBorderDxfId="13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75660" displayName="Table53335375660" ref="D2:F13" totalsRowShown="0" headerRowDxfId="136" headerRowBorderDxfId="135" tableBorderDxfId="134" totalsRowBorderDxfId="133">
  <tableColumns count="3">
    <tableColumn id="1" name="Structure" dataDxfId="132"/>
    <tableColumn id="2" name="ID" dataDxfId="131"/>
    <tableColumn id="3" name="Nam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484347" displayName="Table331323438484347" ref="A2:B13" totalsRowShown="0" headerRowDxfId="129" headerRowBorderDxfId="128" tableBorderDxfId="127" totalsRowBorderDxfId="126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33.42578125" style="1" bestFit="1" customWidth="1"/>
    <col min="3" max="3" width="5.42578125" style="1" customWidth="1"/>
    <col min="4" max="5" width="15.7109375" style="1" bestFit="1" customWidth="1"/>
    <col min="6" max="6" width="32.140625" style="1" bestFit="1" customWidth="1"/>
    <col min="7" max="7" width="5.85546875" style="1" bestFit="1" customWidth="1"/>
    <col min="8" max="8" width="21.7109375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5703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62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39</v>
      </c>
      <c r="C3" s="22"/>
      <c r="D3" t="s">
        <v>38</v>
      </c>
      <c r="E3" t="s">
        <v>38</v>
      </c>
      <c r="F3" t="s">
        <v>37</v>
      </c>
      <c r="H3" s="19" t="str">
        <f>VLOOKUP(Table533353756[[#This Row],[Structure]],[1]!Dictionary[#All],3,FALSE)</f>
        <v>Urinary bladder</v>
      </c>
      <c r="I3" s="18">
        <f>VLOOKUP(Table533353756[[#This Row],[Structure]],[1]!Dictionary[#All],4,FALSE)</f>
        <v>15900</v>
      </c>
      <c r="J3" s="18" t="str">
        <f>VLOOKUP(Table533353756[[#This Row],[Structure]],[1]!Dictionary[#All],5,FALSE)</f>
        <v>FMA</v>
      </c>
      <c r="K3" s="17" t="str">
        <f>VLOOKUP(Table533353756[[#This Row],[Structure]],[1]!Dictionary[#All],6,FALSE)</f>
        <v>3.2</v>
      </c>
      <c r="L3" s="16" t="str">
        <f>VLOOKUP(Table533353756[[#This Row],[Structure]],[1]!VolumeType[#All],2,FALSE)</f>
        <v>Organ</v>
      </c>
      <c r="M3" s="15" t="str">
        <f>VLOOKUP(Table533353756[[#This Row],[Structure]],[1]!VolumeType[#All],3,FALSE)</f>
        <v>Organ</v>
      </c>
      <c r="N3" s="14" t="str">
        <f>VLOOKUP(Table533353756[[#This Row],[Structure]],[1]!Colors[#All],3,FALSE)</f>
        <v>z Bladder</v>
      </c>
      <c r="O3" s="12" t="str">
        <f>IFERROR(VLOOKUP(Table533353756[[#This Row],[Structure]],[1]!DVH_lines[#Data],2,FALSE),"")</f>
        <v/>
      </c>
      <c r="P3" s="13" t="str">
        <f>IFERROR(VLOOKUP(Table533353756[[#This Row],[Structure]],[1]!DVH_lines[#Data],3,FALSE),"")</f>
        <v/>
      </c>
      <c r="Q3" s="11" t="str">
        <f>IFERROR(VLOOKUP(Table533353756[[#This Row],[Structure]],[1]!DVH_lines[#Data],4,FALSE),"")</f>
        <v/>
      </c>
      <c r="R3" s="12">
        <f>IFERROR(VLOOKUP(Table533353756[[#This Row],[Structure]],[1]!SearchCT[#Data],2,FALSE),"")</f>
        <v>20</v>
      </c>
      <c r="S3" s="11">
        <f>IFERROR(VLOOKUP(Table533353756[[#This Row],[Structure]],[1]!SearchCT[#Data],3,FALSE),"")</f>
        <v>80</v>
      </c>
    </row>
    <row r="4" spans="1:19" x14ac:dyDescent="0.25">
      <c r="A4" s="46" t="s">
        <v>277</v>
      </c>
      <c r="B4" s="1" t="s">
        <v>36</v>
      </c>
      <c r="C4" s="22"/>
      <c r="D4" t="s">
        <v>35</v>
      </c>
      <c r="E4" t="s">
        <v>35</v>
      </c>
      <c r="F4" t="s">
        <v>35</v>
      </c>
      <c r="H4" s="19" t="str">
        <f>VLOOKUP(Table533353756[[#This Row],[Structure]],[1]!Dictionary[#All],3,FALSE)</f>
        <v>Rectum</v>
      </c>
      <c r="I4" s="18">
        <f>VLOOKUP(Table533353756[[#This Row],[Structure]],[1]!Dictionary[#All],4,FALSE)</f>
        <v>14544</v>
      </c>
      <c r="J4" s="18" t="str">
        <f>VLOOKUP(Table533353756[[#This Row],[Structure]],[1]!Dictionary[#All],5,FALSE)</f>
        <v>FMA</v>
      </c>
      <c r="K4" s="17" t="str">
        <f>VLOOKUP(Table533353756[[#This Row],[Structure]],[1]!Dictionary[#All],6,FALSE)</f>
        <v>3.2</v>
      </c>
      <c r="L4" s="16" t="str">
        <f>VLOOKUP(Table533353756[[#This Row],[Structure]],[1]!VolumeType[#All],2,FALSE)</f>
        <v>Organ</v>
      </c>
      <c r="M4" s="15" t="str">
        <f>VLOOKUP(Table533353756[[#This Row],[Structure]],[1]!VolumeType[#All],3,FALSE)</f>
        <v>Organ</v>
      </c>
      <c r="N4" s="14" t="str">
        <f>VLOOKUP(Table533353756[[#This Row],[Structure]],[1]!Colors[#All],3,FALSE)</f>
        <v>z Rectum</v>
      </c>
      <c r="O4" s="12" t="str">
        <f>IFERROR(VLOOKUP(Table533353756[[#This Row],[Structure]],[1]!DVH_lines[#Data],2,FALSE),"")</f>
        <v/>
      </c>
      <c r="P4" s="13" t="str">
        <f>IFERROR(VLOOKUP(Table533353756[[#This Row],[Structure]],[1]!DVH_lines[#Data],3,FALSE),"")</f>
        <v/>
      </c>
      <c r="Q4" s="11" t="str">
        <f>IFERROR(VLOOKUP(Table533353756[[#This Row],[Structure]],[1]!DVH_lines[#Data],4,FALSE),"")</f>
        <v/>
      </c>
      <c r="R4" s="12">
        <f>IFERROR(VLOOKUP(Table533353756[[#This Row],[Structure]],[1]!SearchCT[#Data],2,FALSE),"")</f>
        <v>-20</v>
      </c>
      <c r="S4" s="11">
        <f>IFERROR(VLOOKUP(Table533353756[[#This Row],[Structure]],[1]!SearchCT[#Data],3,FALSE),"")</f>
        <v>40</v>
      </c>
    </row>
    <row r="5" spans="1:19" x14ac:dyDescent="0.25">
      <c r="A5" s="46" t="s">
        <v>34</v>
      </c>
      <c r="B5" s="1" t="s">
        <v>33</v>
      </c>
      <c r="C5" s="22"/>
      <c r="D5" t="s">
        <v>32</v>
      </c>
      <c r="E5" t="s">
        <v>32</v>
      </c>
      <c r="F5" t="s">
        <v>31</v>
      </c>
      <c r="H5" s="19" t="str">
        <f>VLOOKUP(Table533353756[[#This Row],[Structure]],[1]!Dictionary[#All],3,FALSE)</f>
        <v>Head of right femur</v>
      </c>
      <c r="I5" s="18">
        <f>VLOOKUP(Table533353756[[#This Row],[Structure]],[1]!Dictionary[#All],4,FALSE)</f>
        <v>55011</v>
      </c>
      <c r="J5" s="18" t="str">
        <f>VLOOKUP(Table533353756[[#This Row],[Structure]],[1]!Dictionary[#All],5,FALSE)</f>
        <v>FMA</v>
      </c>
      <c r="K5" s="17" t="str">
        <f>VLOOKUP(Table533353756[[#This Row],[Structure]],[1]!Dictionary[#All],6,FALSE)</f>
        <v>3.2</v>
      </c>
      <c r="L5" s="16" t="str">
        <f>VLOOKUP(Table533353756[[#This Row],[Structure]],[1]!VolumeType[#All],2,FALSE)</f>
        <v>Organ</v>
      </c>
      <c r="M5" s="15" t="str">
        <f>VLOOKUP(Table533353756[[#This Row],[Structure]],[1]!VolumeType[#All],3,FALSE)</f>
        <v>Organ</v>
      </c>
      <c r="N5" s="14" t="str">
        <f>VLOOKUP(Table533353756[[#This Row],[Structure]],[1]!Colors[#All],3,FALSE)</f>
        <v>z Femoral Head R</v>
      </c>
      <c r="O5" s="12" t="str">
        <f>IFERROR(VLOOKUP(Table533353756[[#This Row],[Structure]],[1]!DVH_lines[#Data],2,FALSE),"")</f>
        <v/>
      </c>
      <c r="P5" s="13" t="str">
        <f>IFERROR(VLOOKUP(Table533353756[[#This Row],[Structure]],[1]!DVH_lines[#Data],3,FALSE),"")</f>
        <v/>
      </c>
      <c r="Q5" s="11" t="str">
        <f>IFERROR(VLOOKUP(Table533353756[[#This Row],[Structure]],[1]!DVH_lines[#Data],4,FALSE),"")</f>
        <v/>
      </c>
      <c r="R5" s="12" t="str">
        <f>IFERROR(VLOOKUP(Table533353756[[#This Row],[Structure]],[1]!SearchCT[#Data],2,FALSE),"")</f>
        <v/>
      </c>
      <c r="S5" s="11" t="str">
        <f>IFERROR(VLOOKUP(Table533353756[[#This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29</v>
      </c>
      <c r="E6" t="s">
        <v>29</v>
      </c>
      <c r="F6" t="s">
        <v>28</v>
      </c>
      <c r="H6" s="19" t="str">
        <f>VLOOKUP(Table533353756[[#This Row],[Structure]],[1]!Dictionary[#All],3,FALSE)</f>
        <v>Head of left femur</v>
      </c>
      <c r="I6" s="18">
        <f>VLOOKUP(Table533353756[[#This Row],[Structure]],[1]!Dictionary[#All],4,FALSE)</f>
        <v>55012</v>
      </c>
      <c r="J6" s="18" t="str">
        <f>VLOOKUP(Table533353756[[#This Row],[Structure]],[1]!Dictionary[#All],5,FALSE)</f>
        <v>FMA</v>
      </c>
      <c r="K6" s="17" t="str">
        <f>VLOOKUP(Table533353756[[#This Row],[Structure]],[1]!Dictionary[#All],6,FALSE)</f>
        <v>3.2</v>
      </c>
      <c r="L6" s="16" t="str">
        <f>VLOOKUP(Table533353756[[#This Row],[Structure]],[1]!VolumeType[#All],2,FALSE)</f>
        <v>Organ</v>
      </c>
      <c r="M6" s="15" t="str">
        <f>VLOOKUP(Table533353756[[#This Row],[Structure]],[1]!VolumeType[#All],3,FALSE)</f>
        <v>Organ</v>
      </c>
      <c r="N6" s="14" t="str">
        <f>VLOOKUP(Table533353756[[#This Row],[Structure]],[1]!Colors[#All],3,FALSE)</f>
        <v>z Femoral Head L</v>
      </c>
      <c r="O6" s="12" t="str">
        <f>IFERROR(VLOOKUP(Table533353756[[#This Row],[Structure]],[1]!DVH_lines[#Data],2,FALSE),"")</f>
        <v/>
      </c>
      <c r="P6" s="13" t="str">
        <f>IFERROR(VLOOKUP(Table533353756[[#This Row],[Structure]],[1]!DVH_lines[#Data],3,FALSE),"")</f>
        <v/>
      </c>
      <c r="Q6" s="11" t="str">
        <f>IFERROR(VLOOKUP(Table533353756[[#This Row],[Structure]],[1]!DVH_lines[#Data],4,FALSE),"")</f>
        <v/>
      </c>
      <c r="R6" s="12" t="str">
        <f>IFERROR(VLOOKUP(Table533353756[[#This Row],[Structure]],[1]!SearchCT[#Data],2,FALSE),"")</f>
        <v/>
      </c>
      <c r="S6" s="11" t="str">
        <f>IFERROR(VLOOKUP(Table533353756[[#This Row],[Structure]],[1]!SearchCT[#Data],3,FALSE),"")</f>
        <v/>
      </c>
    </row>
    <row r="7" spans="1:19" x14ac:dyDescent="0.25">
      <c r="A7" s="46" t="s">
        <v>30</v>
      </c>
      <c r="D7" t="s">
        <v>26</v>
      </c>
      <c r="E7" t="s">
        <v>26</v>
      </c>
      <c r="F7" t="s">
        <v>25</v>
      </c>
      <c r="H7" s="19" t="str">
        <f>VLOOKUP(Table533353756[[#This Row],[Structure]],[1]!Dictionary[#All],3,FALSE)</f>
        <v>Small intestine</v>
      </c>
      <c r="I7" s="18">
        <f>VLOOKUP(Table533353756[[#This Row],[Structure]],[1]!Dictionary[#All],4,FALSE)</f>
        <v>7200</v>
      </c>
      <c r="J7" s="18" t="str">
        <f>VLOOKUP(Table533353756[[#This Row],[Structure]],[1]!Dictionary[#All],5,FALSE)</f>
        <v>FMA</v>
      </c>
      <c r="K7" s="17" t="str">
        <f>VLOOKUP(Table533353756[[#This Row],[Structure]],[1]!Dictionary[#All],6,FALSE)</f>
        <v>3.2</v>
      </c>
      <c r="L7" s="16" t="str">
        <f>VLOOKUP(Table533353756[[#This Row],[Structure]],[1]!VolumeType[#All],2,FALSE)</f>
        <v>Organ</v>
      </c>
      <c r="M7" s="15" t="str">
        <f>VLOOKUP(Table533353756[[#This Row],[Structure]],[1]!VolumeType[#All],3,FALSE)</f>
        <v>Organ</v>
      </c>
      <c r="N7" s="14" t="str">
        <f>VLOOKUP(Table533353756[[#This Row],[Structure]],[1]!Colors[#All],3,FALSE)</f>
        <v>z Small Bowel</v>
      </c>
      <c r="O7" s="12" t="str">
        <f>IFERROR(VLOOKUP(Table533353756[[#This Row],[Structure]],[1]!DVH_lines[#Data],2,FALSE),"")</f>
        <v/>
      </c>
      <c r="P7" s="13" t="str">
        <f>IFERROR(VLOOKUP(Table533353756[[#This Row],[Structure]],[1]!DVH_lines[#Data],3,FALSE),"")</f>
        <v/>
      </c>
      <c r="Q7" s="11" t="str">
        <f>IFERROR(VLOOKUP(Table533353756[[#This Row],[Structure]],[1]!DVH_lines[#Data],4,FALSE),"")</f>
        <v/>
      </c>
      <c r="R7" s="12" t="str">
        <f>IFERROR(VLOOKUP(Table533353756[[#This Row],[Structure]],[1]!SearchCT[#Data],2,FALSE),"")</f>
        <v/>
      </c>
      <c r="S7" s="11" t="str">
        <f>IFERROR(VLOOKUP(Table533353756[[#This Row],[Structure]],[1]!SearchCT[#Data],3,FALSE),"")</f>
        <v/>
      </c>
    </row>
    <row r="8" spans="1:19" x14ac:dyDescent="0.25">
      <c r="A8" s="46" t="s">
        <v>27</v>
      </c>
      <c r="D8" t="s">
        <v>23</v>
      </c>
      <c r="E8" t="s">
        <v>23</v>
      </c>
      <c r="F8" t="s">
        <v>22</v>
      </c>
      <c r="H8" s="19" t="str">
        <f>VLOOKUP(Table533353756[[#This Row],[Structure]],[1]!Dictionary[#All],3,FALSE)</f>
        <v>Large intestine</v>
      </c>
      <c r="I8" s="18">
        <f>VLOOKUP(Table533353756[[#This Row],[Structure]],[1]!Dictionary[#All],4,FALSE)</f>
        <v>7201</v>
      </c>
      <c r="J8" s="18" t="str">
        <f>VLOOKUP(Table533353756[[#This Row],[Structure]],[1]!Dictionary[#All],5,FALSE)</f>
        <v>FMA</v>
      </c>
      <c r="K8" s="17" t="str">
        <f>VLOOKUP(Table533353756[[#This Row],[Structure]],[1]!Dictionary[#All],6,FALSE)</f>
        <v>3.2</v>
      </c>
      <c r="L8" s="16" t="str">
        <f>VLOOKUP(Table533353756[[#This Row],[Structure]],[1]!VolumeType[#All],2,FALSE)</f>
        <v>Organ</v>
      </c>
      <c r="M8" s="15" t="str">
        <f>VLOOKUP(Table533353756[[#This Row],[Structure]],[1]!VolumeType[#All],3,FALSE)</f>
        <v>Organ</v>
      </c>
      <c r="N8" s="14" t="str">
        <f>VLOOKUP(Table533353756[[#This Row],[Structure]],[1]!Colors[#All],3,FALSE)</f>
        <v>z Large Bowel</v>
      </c>
      <c r="O8" s="12" t="str">
        <f>IFERROR(VLOOKUP(Table533353756[[#This Row],[Structure]],[1]!DVH_lines[#Data],2,FALSE),"")</f>
        <v/>
      </c>
      <c r="P8" s="13" t="str">
        <f>IFERROR(VLOOKUP(Table533353756[[#This Row],[Structure]],[1]!DVH_lines[#Data],3,FALSE),"")</f>
        <v/>
      </c>
      <c r="Q8" s="11" t="str">
        <f>IFERROR(VLOOKUP(Table533353756[[#This Row],[Structure]],[1]!DVH_lines[#Data],4,FALSE),"")</f>
        <v/>
      </c>
      <c r="R8" s="12" t="str">
        <f>IFERROR(VLOOKUP(Table533353756[[#This Row],[Structure]],[1]!SearchCT[#Data],2,FALSE),"")</f>
        <v/>
      </c>
      <c r="S8" s="11" t="str">
        <f>IFERROR(VLOOKUP(Table533353756[[#This Row],[Structure]],[1]!SearchCT[#Data],3,FALSE),"")</f>
        <v/>
      </c>
    </row>
    <row r="9" spans="1:19" x14ac:dyDescent="0.25">
      <c r="A9" s="46" t="s">
        <v>276</v>
      </c>
      <c r="B9" s="1" t="s">
        <v>261</v>
      </c>
      <c r="D9" t="s">
        <v>19</v>
      </c>
      <c r="E9" t="s">
        <v>19</v>
      </c>
      <c r="F9" t="s">
        <v>18</v>
      </c>
      <c r="H9" s="19" t="str">
        <f>VLOOKUP(Table533353756[[#This Row],[Structure]],[1]!Dictionary[#All],3,FALSE)</f>
        <v>Sigmoid colon</v>
      </c>
      <c r="I9" s="18">
        <f>VLOOKUP(Table533353756[[#This Row],[Structure]],[1]!Dictionary[#All],4,FALSE)</f>
        <v>14548</v>
      </c>
      <c r="J9" s="18" t="str">
        <f>VLOOKUP(Table533353756[[#This Row],[Structure]],[1]!Dictionary[#All],5,FALSE)</f>
        <v>FMA</v>
      </c>
      <c r="K9" s="17" t="str">
        <f>VLOOKUP(Table533353756[[#This Row],[Structure]],[1]!Dictionary[#All],6,FALSE)</f>
        <v>3.2</v>
      </c>
      <c r="L9" s="16" t="str">
        <f>VLOOKUP(Table533353756[[#This Row],[Structure]],[1]!VolumeType[#All],2,FALSE)</f>
        <v>Organ</v>
      </c>
      <c r="M9" s="15" t="str">
        <f>VLOOKUP(Table533353756[[#This Row],[Structure]],[1]!VolumeType[#All],3,FALSE)</f>
        <v>Organ</v>
      </c>
      <c r="N9" s="14" t="str">
        <f>VLOOKUP(Table533353756[[#This Row],[Structure]],[1]!Colors[#All],3,FALSE)</f>
        <v>z Sigmoid</v>
      </c>
      <c r="O9" s="12" t="str">
        <f>IFERROR(VLOOKUP(Table533353756[[#This Row],[Structure]],[1]!DVH_lines[#Data],2,FALSE),"")</f>
        <v/>
      </c>
      <c r="P9" s="13" t="str">
        <f>IFERROR(VLOOKUP(Table533353756[[#This Row],[Structure]],[1]!DVH_lines[#Data],3,FALSE),"")</f>
        <v/>
      </c>
      <c r="Q9" s="11" t="str">
        <f>IFERROR(VLOOKUP(Table533353756[[#This Row],[Structure]],[1]!DVH_lines[#Data],4,FALSE),"")</f>
        <v/>
      </c>
      <c r="R9" s="12" t="str">
        <f>IFERROR(VLOOKUP(Table533353756[[#This Row],[Structure]],[1]!SearchCT[#Data],2,FALSE),"")</f>
        <v/>
      </c>
      <c r="S9" s="11" t="str">
        <f>IFERROR(VLOOKUP(Table533353756[[#This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t="s">
        <v>17</v>
      </c>
      <c r="E10" t="s">
        <v>17</v>
      </c>
      <c r="F10" t="s">
        <v>17</v>
      </c>
      <c r="H10" s="19" t="str">
        <f>VLOOKUP(Table533353756[[#This Row],[Structure]],[1]!Dictionary[#All],3,FALSE)</f>
        <v>Pubic symphysis</v>
      </c>
      <c r="I10" s="18">
        <f>VLOOKUP(Table533353756[[#This Row],[Structure]],[1]!Dictionary[#All],4,FALSE)</f>
        <v>16950</v>
      </c>
      <c r="J10" s="18" t="str">
        <f>VLOOKUP(Table533353756[[#This Row],[Structure]],[1]!Dictionary[#All],5,FALSE)</f>
        <v>FMA</v>
      </c>
      <c r="K10" s="17" t="str">
        <f>VLOOKUP(Table533353756[[#This Row],[Structure]],[1]!Dictionary[#All],6,FALSE)</f>
        <v>3.2</v>
      </c>
      <c r="L10" s="16" t="str">
        <f>VLOOKUP(Table533353756[[#This Row],[Structure]],[1]!VolumeType[#All],2,FALSE)</f>
        <v>Organ</v>
      </c>
      <c r="M10" s="15" t="str">
        <f>VLOOKUP(Table533353756[[#This Row],[Structure]],[1]!VolumeType[#All],3,FALSE)</f>
        <v>Organ</v>
      </c>
      <c r="N10" s="14" t="str">
        <f>VLOOKUP(Table533353756[[#This Row],[Structure]],[1]!Colors[#All],3,FALSE)</f>
        <v>zPubic Symphysis</v>
      </c>
      <c r="O10" s="12" t="str">
        <f>IFERROR(VLOOKUP(Table533353756[[#This Row],[Structure]],[1]!DVH_lines[#Data],2,FALSE),"")</f>
        <v/>
      </c>
      <c r="P10" s="13" t="str">
        <f>IFERROR(VLOOKUP(Table533353756[[#This Row],[Structure]],[1]!DVH_lines[#Data],3,FALSE),"")</f>
        <v/>
      </c>
      <c r="Q10" s="11" t="str">
        <f>IFERROR(VLOOKUP(Table533353756[[#This Row],[Structure]],[1]!DVH_lines[#Data],4,FALSE),"")</f>
        <v/>
      </c>
      <c r="R10" s="12" t="str">
        <f>IFERROR(VLOOKUP(Table533353756[[#This Row],[Structure]],[1]!SearchCT[#Data],2,FALSE),"")</f>
        <v/>
      </c>
      <c r="S10" s="11" t="str">
        <f>IFERROR(VLOOKUP(Table533353756[[#This Row],[Structure]],[1]!SearchCT[#Data],3,FALSE),"")</f>
        <v/>
      </c>
    </row>
    <row r="11" spans="1:19" x14ac:dyDescent="0.25">
      <c r="A11" s="46" t="s">
        <v>294</v>
      </c>
      <c r="B11" s="1" t="s">
        <v>262</v>
      </c>
      <c r="D11" t="s">
        <v>16</v>
      </c>
      <c r="E11" t="s">
        <v>16</v>
      </c>
      <c r="F11" t="s">
        <v>16</v>
      </c>
      <c r="H11" s="19" t="str">
        <f>VLOOKUP(Table533353756[[#This Row],[Structure]],[1]!Dictionary[#All],3,FALSE)</f>
        <v>Sacrum</v>
      </c>
      <c r="I11" s="18">
        <f>VLOOKUP(Table533353756[[#This Row],[Structure]],[1]!Dictionary[#All],4,FALSE)</f>
        <v>16202</v>
      </c>
      <c r="J11" s="18" t="str">
        <f>VLOOKUP(Table533353756[[#This Row],[Structure]],[1]!Dictionary[#All],5,FALSE)</f>
        <v>FMA</v>
      </c>
      <c r="K11" s="17" t="str">
        <f>VLOOKUP(Table533353756[[#This Row],[Structure]],[1]!Dictionary[#All],6,FALSE)</f>
        <v>3.2</v>
      </c>
      <c r="L11" s="16" t="str">
        <f>VLOOKUP(Table533353756[[#This Row],[Structure]],[1]!VolumeType[#All],2,FALSE)</f>
        <v>Organ</v>
      </c>
      <c r="M11" s="15" t="str">
        <f>VLOOKUP(Table533353756[[#This Row],[Structure]],[1]!VolumeType[#All],3,FALSE)</f>
        <v>Organ</v>
      </c>
      <c r="N11" s="14" t="str">
        <f>VLOOKUP(Table533353756[[#This Row],[Structure]],[1]!Colors[#All],3,FALSE)</f>
        <v>z Sacrum</v>
      </c>
      <c r="O11" s="12" t="str">
        <f>IFERROR(VLOOKUP(Table533353756[[#This Row],[Structure]],[1]!DVH_lines[#Data],2,FALSE),"")</f>
        <v/>
      </c>
      <c r="P11" s="13" t="str">
        <f>IFERROR(VLOOKUP(Table533353756[[#This Row],[Structure]],[1]!DVH_lines[#Data],3,FALSE),"")</f>
        <v/>
      </c>
      <c r="Q11" s="11" t="str">
        <f>IFERROR(VLOOKUP(Table533353756[[#This Row],[Structure]],[1]!DVH_lines[#Data],4,FALSE),"")</f>
        <v/>
      </c>
      <c r="R11" s="12" t="str">
        <f>IFERROR(VLOOKUP(Table533353756[[#This Row],[Structure]],[1]!SearchCT[#Data],2,FALSE),"")</f>
        <v/>
      </c>
      <c r="S11" s="11" t="str">
        <f>IFERROR(VLOOKUP(Table533353756[[#This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t="s">
        <v>15</v>
      </c>
      <c r="E12" t="s">
        <v>15</v>
      </c>
      <c r="F12" t="s">
        <v>15</v>
      </c>
      <c r="H12" s="19" t="str">
        <f>VLOOKUP(Table533353756[[#This Row],[Structure]],[1]!Dictionary[#All],3,FALSE)</f>
        <v>Right ilium</v>
      </c>
      <c r="I12" s="18">
        <f>VLOOKUP(Table533353756[[#This Row],[Structure]],[1]!Dictionary[#All],4,FALSE)</f>
        <v>16590</v>
      </c>
      <c r="J12" s="18" t="str">
        <f>VLOOKUP(Table533353756[[#This Row],[Structure]],[1]!Dictionary[#All],5,FALSE)</f>
        <v>FMA</v>
      </c>
      <c r="K12" s="17" t="str">
        <f>VLOOKUP(Table533353756[[#This Row],[Structure]],[1]!Dictionary[#All],6,FALSE)</f>
        <v>3.2</v>
      </c>
      <c r="L12" s="16" t="str">
        <f>VLOOKUP(Table533353756[[#This Row],[Structure]],[1]!VolumeType[#All],2,FALSE)</f>
        <v>Organ</v>
      </c>
      <c r="M12" s="15" t="str">
        <f>VLOOKUP(Table533353756[[#This Row],[Structure]],[1]!VolumeType[#All],3,FALSE)</f>
        <v>Organ</v>
      </c>
      <c r="N12" s="14" t="str">
        <f>VLOOKUP(Table533353756[[#This Row],[Structure]],[1]!Colors[#All],3,FALSE)</f>
        <v>z iliac crest L</v>
      </c>
      <c r="O12" s="12" t="str">
        <f>IFERROR(VLOOKUP(Table533353756[[#This Row],[Structure]],[1]!DVH_lines[#Data],2,FALSE),"")</f>
        <v/>
      </c>
      <c r="P12" s="13" t="str">
        <f>IFERROR(VLOOKUP(Table533353756[[#This Row],[Structure]],[1]!DVH_lines[#Data],3,FALSE),"")</f>
        <v/>
      </c>
      <c r="Q12" s="11" t="str">
        <f>IFERROR(VLOOKUP(Table533353756[[#This Row],[Structure]],[1]!DVH_lines[#Data],4,FALSE),"")</f>
        <v/>
      </c>
      <c r="R12" s="12">
        <f>IFERROR(VLOOKUP(Table533353756[[#This Row],[Structure]],[1]!SearchCT[#Data],2,FALSE),"")</f>
        <v>200</v>
      </c>
      <c r="S12" s="11">
        <f>IFERROR(VLOOKUP(Table533353756[[#This Row],[Structure]],[1]!SearchCT[#Data],3,FALSE),"")</f>
        <v>2500</v>
      </c>
    </row>
    <row r="13" spans="1:19" x14ac:dyDescent="0.25">
      <c r="A13" s="46" t="s">
        <v>21</v>
      </c>
      <c r="B13" s="1" t="s">
        <v>20</v>
      </c>
      <c r="D13" t="s">
        <v>14</v>
      </c>
      <c r="E13" t="s">
        <v>14</v>
      </c>
      <c r="F13" t="s">
        <v>14</v>
      </c>
      <c r="H13" s="19" t="str">
        <f>VLOOKUP(Table533353756[[#This Row],[Structure]],[1]!Dictionary[#All],3,FALSE)</f>
        <v>Left ilium</v>
      </c>
      <c r="I13" s="18">
        <f>VLOOKUP(Table533353756[[#This Row],[Structure]],[1]!Dictionary[#All],4,FALSE)</f>
        <v>16591</v>
      </c>
      <c r="J13" s="18" t="str">
        <f>VLOOKUP(Table533353756[[#This Row],[Structure]],[1]!Dictionary[#All],5,FALSE)</f>
        <v>FMA</v>
      </c>
      <c r="K13" s="17" t="str">
        <f>VLOOKUP(Table533353756[[#This Row],[Structure]],[1]!Dictionary[#All],6,FALSE)</f>
        <v>3.2</v>
      </c>
      <c r="L13" s="16" t="str">
        <f>VLOOKUP(Table533353756[[#This Row],[Structure]],[1]!VolumeType[#All],2,FALSE)</f>
        <v>Organ</v>
      </c>
      <c r="M13" s="15" t="str">
        <f>VLOOKUP(Table533353756[[#This Row],[Structure]],[1]!VolumeType[#All],3,FALSE)</f>
        <v>Organ</v>
      </c>
      <c r="N13" s="14" t="str">
        <f>VLOOKUP(Table533353756[[#This Row],[Structure]],[1]!Colors[#All],3,FALSE)</f>
        <v>z iliac crest R</v>
      </c>
      <c r="O13" s="12" t="str">
        <f>IFERROR(VLOOKUP(Table533353756[[#This Row],[Structure]],[1]!DVH_lines[#Data],2,FALSE),"")</f>
        <v/>
      </c>
      <c r="P13" s="13" t="str">
        <f>IFERROR(VLOOKUP(Table533353756[[#This Row],[Structure]],[1]!DVH_lines[#Data],3,FALSE),"")</f>
        <v/>
      </c>
      <c r="Q13" s="11" t="str">
        <f>IFERROR(VLOOKUP(Table533353756[[#This Row],[Structure]],[1]!DVH_lines[#Data],4,FALSE),"")</f>
        <v/>
      </c>
      <c r="R13" s="12">
        <f>IFERROR(VLOOKUP(Table533353756[[#This Row],[Structure]],[1]!SearchCT[#Data],2,FALSE),"")</f>
        <v>200</v>
      </c>
      <c r="S13" s="11">
        <f>IFERROR(VLOOKUP(Table533353756[[#This Row],[Structure]],[1]!SearchCT[#Data],3,FALSE),"")</f>
        <v>2500</v>
      </c>
    </row>
    <row r="14" spans="1:19" x14ac:dyDescent="0.25">
      <c r="A14" s="20"/>
      <c r="B14" s="20"/>
      <c r="D14" t="s">
        <v>13</v>
      </c>
      <c r="E14" t="s">
        <v>13</v>
      </c>
      <c r="F14" t="s">
        <v>12</v>
      </c>
      <c r="H14" s="19" t="str">
        <f>VLOOKUP(Table533353756[[#This Row],[Structure]],[1]!Dictionary[#All],3,FALSE)</f>
        <v>Intestine</v>
      </c>
      <c r="I14" s="18">
        <f>VLOOKUP(Table533353756[[#This Row],[Structure]],[1]!Dictionary[#All],4,FALSE)</f>
        <v>7199</v>
      </c>
      <c r="J14" s="18" t="str">
        <f>VLOOKUP(Table533353756[[#This Row],[Structure]],[1]!Dictionary[#All],5,FALSE)</f>
        <v>FMA</v>
      </c>
      <c r="K14" s="17" t="str">
        <f>VLOOKUP(Table533353756[[#This Row],[Structure]],[1]!Dictionary[#All],6,FALSE)</f>
        <v>3.2</v>
      </c>
      <c r="L14" s="16" t="str">
        <f>VLOOKUP(Table533353756[[#This Row],[Structure]],[1]!VolumeType[#All],2,FALSE)</f>
        <v>Organ</v>
      </c>
      <c r="M14" s="15" t="str">
        <f>VLOOKUP(Table533353756[[#This Row],[Structure]],[1]!VolumeType[#All],3,FALSE)</f>
        <v>Organ</v>
      </c>
      <c r="N14" s="14" t="str">
        <f>VLOOKUP(Table533353756[[#This Row],[Structure]],[1]!Colors[#All],3,FALSE)</f>
        <v>z Bowel</v>
      </c>
      <c r="O14" s="12" t="str">
        <f>IFERROR(VLOOKUP(Table533353756[[#This Row],[Structure]],[1]!DVH_lines[#Data],2,FALSE),"")</f>
        <v/>
      </c>
      <c r="P14" s="13" t="str">
        <f>IFERROR(VLOOKUP(Table533353756[[#This Row],[Structure]],[1]!DVH_lines[#Data],3,FALSE),"")</f>
        <v/>
      </c>
      <c r="Q14" s="11" t="str">
        <f>IFERROR(VLOOKUP(Table533353756[[#This Row],[Structure]],[1]!DVH_lines[#Data],4,FALSE),"")</f>
        <v/>
      </c>
      <c r="R14" s="12" t="str">
        <f>IFERROR(VLOOKUP(Table533353756[[#This Row],[Structure]],[1]!SearchCT[#Data],2,FALSE),"")</f>
        <v/>
      </c>
      <c r="S14" s="11" t="str">
        <f>IFERROR(VLOOKUP(Table533353756[[#This Row],[Structure]],[1]!SearchCT[#Data],3,FALSE),"")</f>
        <v/>
      </c>
    </row>
    <row r="15" spans="1:19" x14ac:dyDescent="0.25">
      <c r="D15" t="s">
        <v>11</v>
      </c>
      <c r="E15" t="s">
        <v>11</v>
      </c>
      <c r="F15" t="s">
        <v>11</v>
      </c>
      <c r="H15" s="19" t="str">
        <f>VLOOKUP(Table533353756[[#This Row],[Structure]],[1]!Dictionary[#All],3,FALSE)</f>
        <v>Presacral space</v>
      </c>
      <c r="I15" s="18">
        <f>VLOOKUP(Table533353756[[#This Row],[Structure]],[1]!Dictionary[#All],4,FALSE)</f>
        <v>265331</v>
      </c>
      <c r="J15" s="18" t="str">
        <f>VLOOKUP(Table533353756[[#This Row],[Structure]],[1]!Dictionary[#All],5,FALSE)</f>
        <v>FMA</v>
      </c>
      <c r="K15" s="17" t="str">
        <f>VLOOKUP(Table533353756[[#This Row],[Structure]],[1]!Dictionary[#All],6,FALSE)</f>
        <v>3.2</v>
      </c>
      <c r="L15" s="16" t="str">
        <f>VLOOKUP(Table533353756[[#This Row],[Structure]],[1]!VolumeType[#All],2,FALSE)</f>
        <v>Organ</v>
      </c>
      <c r="M15" s="15" t="str">
        <f>VLOOKUP(Table533353756[[#This Row],[Structure]],[1]!VolumeType[#All],3,FALSE)</f>
        <v>Organ</v>
      </c>
      <c r="N15" s="14" t="str">
        <f>VLOOKUP(Table533353756[[#This Row],[Structure]],[1]!Colors[#All],3,FALSE)</f>
        <v>z PresacralSpace</v>
      </c>
      <c r="O15" s="12" t="str">
        <f>IFERROR(VLOOKUP(Table533353756[[#This Row],[Structure]],[1]!DVH_lines[#Data],2,FALSE),"")</f>
        <v/>
      </c>
      <c r="P15" s="13" t="str">
        <f>IFERROR(VLOOKUP(Table533353756[[#This Row],[Structure]],[1]!DVH_lines[#Data],3,FALSE),"")</f>
        <v/>
      </c>
      <c r="Q15" s="11" t="str">
        <f>IFERROR(VLOOKUP(Table533353756[[#This Row],[Structure]],[1]!DVH_lines[#Data],4,FALSE),"")</f>
        <v/>
      </c>
      <c r="R15" s="12" t="str">
        <f>IFERROR(VLOOKUP(Table533353756[[#This Row],[Structure]],[1]!SearchCT[#Data],2,FALSE),"")</f>
        <v/>
      </c>
      <c r="S15" s="11" t="str">
        <f>IFERROR(VLOOKUP(Table533353756[[#This Row],[Structure]],[1]!SearchCT[#Data],3,FALSE),"")</f>
        <v/>
      </c>
    </row>
    <row r="16" spans="1:19" x14ac:dyDescent="0.25">
      <c r="D16" t="s">
        <v>10</v>
      </c>
      <c r="E16" t="s">
        <v>10</v>
      </c>
      <c r="F16" t="s">
        <v>9</v>
      </c>
      <c r="H16" s="19" t="str">
        <f>VLOOKUP(Table533353756[[#This Row],[Structure]],[1]!Dictionary[#All],3,FALSE)</f>
        <v>Left hip</v>
      </c>
      <c r="I16" s="18">
        <f>VLOOKUP(Table533353756[[#This Row],[Structure]],[1]!Dictionary[#All],4,FALSE)</f>
        <v>24966</v>
      </c>
      <c r="J16" s="18" t="str">
        <f>VLOOKUP(Table533353756[[#This Row],[Structure]],[1]!Dictionary[#All],5,FALSE)</f>
        <v>FMA</v>
      </c>
      <c r="K16" s="17" t="str">
        <f>VLOOKUP(Table533353756[[#This Row],[Structure]],[1]!Dictionary[#All],6,FALSE)</f>
        <v>3.2</v>
      </c>
      <c r="L16" s="16" t="str">
        <f>VLOOKUP(Table533353756[[#This Row],[Structure]],[1]!VolumeType[#All],2,FALSE)</f>
        <v>Organ</v>
      </c>
      <c r="M16" s="15" t="str">
        <f>VLOOKUP(Table533353756[[#This Row],[Structure]],[1]!VolumeType[#All],3,FALSE)</f>
        <v>Organ</v>
      </c>
      <c r="N16" s="14" t="str">
        <f>VLOOKUP(Table533353756[[#This Row],[Structure]],[1]!Colors[#All],3,FALSE)</f>
        <v>z Hip L</v>
      </c>
      <c r="O16" s="12" t="str">
        <f>IFERROR(VLOOKUP(Table533353756[[#This Row],[Structure]],[1]!DVH_lines[#Data],2,FALSE),"")</f>
        <v/>
      </c>
      <c r="P16" s="13" t="str">
        <f>IFERROR(VLOOKUP(Table533353756[[#This Row],[Structure]],[1]!DVH_lines[#Data],3,FALSE),"")</f>
        <v/>
      </c>
      <c r="Q16" s="11" t="str">
        <f>IFERROR(VLOOKUP(Table533353756[[#This Row],[Structure]],[1]!DVH_lines[#Data],4,FALSE),"")</f>
        <v/>
      </c>
      <c r="R16" s="12" t="str">
        <f>IFERROR(VLOOKUP(Table533353756[[#This Row],[Structure]],[1]!SearchCT[#Data],2,FALSE),"")</f>
        <v/>
      </c>
      <c r="S16" s="11" t="str">
        <f>IFERROR(VLOOKUP(Table533353756[[#This Row],[Structure]],[1]!SearchCT[#Data],3,FALSE),"")</f>
        <v/>
      </c>
    </row>
    <row r="17" spans="4:19" x14ac:dyDescent="0.25">
      <c r="D17" t="s">
        <v>8</v>
      </c>
      <c r="E17" t="s">
        <v>8</v>
      </c>
      <c r="F17" t="s">
        <v>7</v>
      </c>
      <c r="H17" s="19" t="str">
        <f>VLOOKUP(Table533353756[[#This Row],[Structure]],[1]!Dictionary[#All],3,FALSE)</f>
        <v>Right hip</v>
      </c>
      <c r="I17" s="18">
        <f>VLOOKUP(Table533353756[[#This Row],[Structure]],[1]!Dictionary[#All],4,FALSE)</f>
        <v>24965</v>
      </c>
      <c r="J17" s="18" t="str">
        <f>VLOOKUP(Table533353756[[#This Row],[Structure]],[1]!Dictionary[#All],5,FALSE)</f>
        <v>FMA</v>
      </c>
      <c r="K17" s="17" t="str">
        <f>VLOOKUP(Table533353756[[#This Row],[Structure]],[1]!Dictionary[#All],6,FALSE)</f>
        <v>3.2</v>
      </c>
      <c r="L17" s="16" t="str">
        <f>VLOOKUP(Table533353756[[#This Row],[Structure]],[1]!VolumeType[#All],2,FALSE)</f>
        <v>Organ</v>
      </c>
      <c r="M17" s="15" t="str">
        <f>VLOOKUP(Table533353756[[#This Row],[Structure]],[1]!VolumeType[#All],3,FALSE)</f>
        <v>Organ</v>
      </c>
      <c r="N17" s="14" t="str">
        <f>VLOOKUP(Table533353756[[#This Row],[Structure]],[1]!Colors[#All],3,FALSE)</f>
        <v>z Hip R</v>
      </c>
      <c r="O17" s="12" t="str">
        <f>IFERROR(VLOOKUP(Table533353756[[#This Row],[Structure]],[1]!DVH_lines[#Data],2,FALSE),"")</f>
        <v/>
      </c>
      <c r="P17" s="13" t="str">
        <f>IFERROR(VLOOKUP(Table533353756[[#This Row],[Structure]],[1]!DVH_lines[#Data],3,FALSE),"")</f>
        <v/>
      </c>
      <c r="Q17" s="11" t="str">
        <f>IFERROR(VLOOKUP(Table533353756[[#This Row],[Structure]],[1]!DVH_lines[#Data],4,FALSE),"")</f>
        <v/>
      </c>
      <c r="R17" s="12" t="str">
        <f>IFERROR(VLOOKUP(Table533353756[[#This Row],[Structure]],[1]!SearchCT[#Data],2,FALSE),"")</f>
        <v/>
      </c>
      <c r="S17" s="11" t="str">
        <f>IFERROR(VLOOKUP(Table533353756[[#This Row],[Structure]],[1]!SearchCT[#Data],3,FALSE),"")</f>
        <v/>
      </c>
    </row>
    <row r="18" spans="4:19" x14ac:dyDescent="0.25">
      <c r="D18" t="s">
        <v>6</v>
      </c>
      <c r="E18" t="s">
        <v>6</v>
      </c>
      <c r="F18" t="s">
        <v>5</v>
      </c>
      <c r="H18" s="19" t="str">
        <f>VLOOKUP(Table533353756[[#This Row],[Structure]],[1]!Dictionary[#All],3,FALSE)</f>
        <v>External genitalia</v>
      </c>
      <c r="I18" s="18">
        <f>VLOOKUP(Table533353756[[#This Row],[Structure]],[1]!Dictionary[#All],4,FALSE)</f>
        <v>45643</v>
      </c>
      <c r="J18" s="18" t="str">
        <f>VLOOKUP(Table533353756[[#This Row],[Structure]],[1]!Dictionary[#All],5,FALSE)</f>
        <v>FMA</v>
      </c>
      <c r="K18" s="17" t="str">
        <f>VLOOKUP(Table533353756[[#This Row],[Structure]],[1]!Dictionary[#All],6,FALSE)</f>
        <v>3.2</v>
      </c>
      <c r="L18" s="16" t="str">
        <f>VLOOKUP(Table533353756[[#This Row],[Structure]],[1]!VolumeType[#All],2,FALSE)</f>
        <v>Organ</v>
      </c>
      <c r="M18" s="15" t="str">
        <f>VLOOKUP(Table533353756[[#This Row],[Structure]],[1]!VolumeType[#All],3,FALSE)</f>
        <v>Organ</v>
      </c>
      <c r="N18" s="14" t="str">
        <f>VLOOKUP(Table533353756[[#This Row],[Structure]],[1]!Colors[#All],3,FALSE)</f>
        <v>z Genitalia</v>
      </c>
      <c r="O18" s="12" t="str">
        <f>IFERROR(VLOOKUP(Table533353756[[#This Row],[Structure]],[1]!DVH_lines[#Data],2,FALSE),"")</f>
        <v/>
      </c>
      <c r="P18" s="13" t="str">
        <f>IFERROR(VLOOKUP(Table533353756[[#This Row],[Structure]],[1]!DVH_lines[#Data],3,FALSE),"")</f>
        <v/>
      </c>
      <c r="Q18" s="11" t="str">
        <f>IFERROR(VLOOKUP(Table533353756[[#This Row],[Structure]],[1]!DVH_lines[#Data],4,FALSE),"")</f>
        <v/>
      </c>
      <c r="R18" s="12" t="str">
        <f>IFERROR(VLOOKUP(Table533353756[[#This Row],[Structure]],[1]!SearchCT[#Data],2,FALSE),"")</f>
        <v/>
      </c>
      <c r="S18" s="11" t="str">
        <f>IFERROR(VLOOKUP(Table533353756[[#This Row],[Structure]],[1]!SearchCT[#Data],3,FALSE),"")</f>
        <v/>
      </c>
    </row>
    <row r="19" spans="4:19" x14ac:dyDescent="0.25">
      <c r="D19" t="s">
        <v>4</v>
      </c>
      <c r="E19" t="s">
        <v>4</v>
      </c>
      <c r="F19" t="s">
        <v>3</v>
      </c>
      <c r="H19" s="19" t="str">
        <f>VLOOKUP(Table533353756[[#This Row],[Structure]],[1]!Dictionary[#All],3,FALSE)</f>
        <v>Wall of urinary bladder</v>
      </c>
      <c r="I19" s="18">
        <f>VLOOKUP(Table533353756[[#This Row],[Structure]],[1]!Dictionary[#All],4,FALSE)</f>
        <v>15902</v>
      </c>
      <c r="J19" s="18" t="str">
        <f>VLOOKUP(Table533353756[[#This Row],[Structure]],[1]!Dictionary[#All],5,FALSE)</f>
        <v>FMA</v>
      </c>
      <c r="K19" s="17" t="str">
        <f>VLOOKUP(Table533353756[[#This Row],[Structure]],[1]!Dictionary[#All],6,FALSE)</f>
        <v>3.2</v>
      </c>
      <c r="L19" s="16" t="str">
        <f>VLOOKUP(Table533353756[[#This Row],[Structure]],[1]!VolumeType[#All],2,FALSE)</f>
        <v>Organ</v>
      </c>
      <c r="M19" s="15" t="str">
        <f>VLOOKUP(Table533353756[[#This Row],[Structure]],[1]!VolumeType[#All],3,FALSE)</f>
        <v>Organ</v>
      </c>
      <c r="N19" s="14" t="str">
        <f>VLOOKUP(Table533353756[[#This Row],[Structure]],[1]!Colors[#All],3,FALSE)</f>
        <v>z Bladder wall</v>
      </c>
      <c r="O19" s="12" t="str">
        <f>IFERROR(VLOOKUP(Table533353756[[#This Row],[Structure]],[1]!DVH_lines[#Data],2,FALSE),"")</f>
        <v/>
      </c>
      <c r="P19" s="13" t="str">
        <f>IFERROR(VLOOKUP(Table533353756[[#This Row],[Structure]],[1]!DVH_lines[#Data],3,FALSE),"")</f>
        <v/>
      </c>
      <c r="Q19" s="11" t="str">
        <f>IFERROR(VLOOKUP(Table533353756[[#This Row],[Structure]],[1]!DVH_lines[#Data],4,FALSE),"")</f>
        <v/>
      </c>
      <c r="R19" s="12" t="str">
        <f>IFERROR(VLOOKUP(Table533353756[[#This Row],[Structure]],[1]!SearchCT[#Data],2,FALSE),"")</f>
        <v/>
      </c>
      <c r="S19" s="11" t="str">
        <f>IFERROR(VLOOKUP(Table533353756[[#This Row],[Structure]],[1]!SearchCT[#Data],3,FALSE),"")</f>
        <v/>
      </c>
    </row>
    <row r="20" spans="4:19" x14ac:dyDescent="0.25">
      <c r="D20" t="s">
        <v>2</v>
      </c>
      <c r="E20" t="s">
        <v>2</v>
      </c>
      <c r="F20" t="s">
        <v>1</v>
      </c>
      <c r="H20" s="19" t="str">
        <f>VLOOKUP(Table533353756[[#This Row],[Structure]],[1]!Dictionary[#All],3,FALSE)</f>
        <v>Region of mesentery</v>
      </c>
      <c r="I20" s="18">
        <f>VLOOKUP(Table533353756[[#This Row],[Structure]],[1]!Dictionary[#All],4,FALSE)</f>
        <v>259286</v>
      </c>
      <c r="J20" s="18" t="str">
        <f>VLOOKUP(Table533353756[[#This Row],[Structure]],[1]!Dictionary[#All],5,FALSE)</f>
        <v>FMA</v>
      </c>
      <c r="K20" s="17" t="str">
        <f>VLOOKUP(Table533353756[[#This Row],[Structure]],[1]!Dictionary[#All],6,FALSE)</f>
        <v>3.2</v>
      </c>
      <c r="L20" s="16" t="str">
        <f>VLOOKUP(Table533353756[[#This Row],[Structure]],[1]!VolumeType[#All],2,FALSE)</f>
        <v>Organ</v>
      </c>
      <c r="M20" s="15" t="str">
        <f>VLOOKUP(Table533353756[[#This Row],[Structure]],[1]!VolumeType[#All],3,FALSE)</f>
        <v>Organ</v>
      </c>
      <c r="N20" s="14" t="str">
        <f>VLOOKUP(Table533353756[[#This Row],[Structure]],[1]!Colors[#All],3,FALSE)</f>
        <v>z MesoRectum</v>
      </c>
      <c r="O20" s="12" t="str">
        <f>IFERROR(VLOOKUP(Table533353756[[#This Row],[Structure]],[1]!DVH_lines[#Data],2,FALSE),"")</f>
        <v/>
      </c>
      <c r="P20" s="13" t="str">
        <f>IFERROR(VLOOKUP(Table533353756[[#This Row],[Structure]],[1]!DVH_lines[#Data],3,FALSE),"")</f>
        <v/>
      </c>
      <c r="Q20" s="11" t="str">
        <f>IFERROR(VLOOKUP(Table533353756[[#This Row],[Structure]],[1]!DVH_lines[#Data],4,FALSE),"")</f>
        <v/>
      </c>
      <c r="R20" s="12" t="str">
        <f>IFERROR(VLOOKUP(Table533353756[[#This Row],[Structure]],[1]!SearchCT[#Data],2,FALSE),"")</f>
        <v/>
      </c>
      <c r="S20" s="11" t="str">
        <f>IFERROR(VLOOKUP(Table533353756[[#This Row],[Structure]],[1]!SearchCT[#Data],3,FALSE),"")</f>
        <v/>
      </c>
    </row>
    <row r="21" spans="4:19" ht="15.75" thickBot="1" x14ac:dyDescent="0.3">
      <c r="D21" t="s">
        <v>0</v>
      </c>
      <c r="E21" t="s">
        <v>0</v>
      </c>
      <c r="F21" t="s">
        <v>0</v>
      </c>
      <c r="H21" s="10" t="str">
        <f>VLOOKUP(Table533353756[[#This Row],[Structure]],[1]!Dictionary[#All],3,FALSE)</f>
        <v>Sacral nerve plexus</v>
      </c>
      <c r="I21" s="9">
        <f>VLOOKUP(Table533353756[[#This Row],[Structure]],[1]!Dictionary[#All],4,FALSE)</f>
        <v>5909</v>
      </c>
      <c r="J21" s="9" t="str">
        <f>VLOOKUP(Table533353756[[#This Row],[Structure]],[1]!Dictionary[#All],5,FALSE)</f>
        <v>FMA</v>
      </c>
      <c r="K21" s="8" t="str">
        <f>VLOOKUP(Table533353756[[#This Row],[Structure]],[1]!Dictionary[#All],6,FALSE)</f>
        <v>3.2</v>
      </c>
      <c r="L21" s="7" t="str">
        <f>VLOOKUP(Table533353756[[#This Row],[Structure]],[1]!VolumeType[#All],2,FALSE)</f>
        <v>Organ</v>
      </c>
      <c r="M21" s="6" t="str">
        <f>VLOOKUP(Table533353756[[#This Row],[Structure]],[1]!VolumeType[#All],3,FALSE)</f>
        <v>Organ</v>
      </c>
      <c r="N21" s="5" t="str">
        <f>VLOOKUP(Table533353756[[#This Row],[Structure]],[1]!Colors[#All],3,FALSE)</f>
        <v>z Sacral plexus</v>
      </c>
      <c r="O21" s="3" t="str">
        <f>IFERROR(VLOOKUP(Table533353756[[#This Row],[Structure]],[1]!DVH_lines[#Data],2,FALSE),"")</f>
        <v/>
      </c>
      <c r="P21" s="4" t="str">
        <f>IFERROR(VLOOKUP(Table533353756[[#This Row],[Structure]],[1]!DVH_lines[#Data],3,FALSE),"")</f>
        <v/>
      </c>
      <c r="Q21" s="2" t="str">
        <f>IFERROR(VLOOKUP(Table533353756[[#This Row],[Structure]],[1]!DVH_lines[#Data],4,FALSE),"")</f>
        <v/>
      </c>
      <c r="R21" s="3" t="str">
        <f>IFERROR(VLOOKUP(Table533353756[[#This Row],[Structure]],[1]!SearchCT[#Data],2,FALSE),"")</f>
        <v/>
      </c>
      <c r="S21" s="2" t="str">
        <f>IFERROR(VLOOKUP(Table533353756[[#This Row],[Structure]],[1]!SearchCT[#Data],3,FALSE),"")</f>
        <v/>
      </c>
    </row>
    <row r="25" spans="4:19" x14ac:dyDescent="0.25">
      <c r="F25"/>
    </row>
    <row r="26" spans="4:19" x14ac:dyDescent="0.25">
      <c r="F26"/>
    </row>
    <row r="27" spans="4:19" x14ac:dyDescent="0.25">
      <c r="E27"/>
      <c r="F27"/>
    </row>
    <row r="28" spans="4:19" x14ac:dyDescent="0.25">
      <c r="E28"/>
      <c r="F28"/>
    </row>
    <row r="29" spans="4:19" x14ac:dyDescent="0.25">
      <c r="E29"/>
      <c r="F29"/>
    </row>
    <row r="30" spans="4:19" x14ac:dyDescent="0.25">
      <c r="E30"/>
      <c r="H30"/>
    </row>
    <row r="31" spans="4:19" x14ac:dyDescent="0.25">
      <c r="E31"/>
      <c r="H31"/>
    </row>
    <row r="32" spans="4:19" x14ac:dyDescent="0.25">
      <c r="E32"/>
      <c r="H32"/>
    </row>
    <row r="33" spans="4:6" x14ac:dyDescent="0.25">
      <c r="E33"/>
      <c r="F33"/>
    </row>
    <row r="34" spans="4:6" x14ac:dyDescent="0.25">
      <c r="F34"/>
    </row>
    <row r="35" spans="4:6" x14ac:dyDescent="0.25">
      <c r="F35"/>
    </row>
    <row r="36" spans="4:6" x14ac:dyDescent="0.25">
      <c r="F36"/>
    </row>
    <row r="37" spans="4:6" x14ac:dyDescent="0.25">
      <c r="F37"/>
    </row>
    <row r="38" spans="4:6" x14ac:dyDescent="0.25">
      <c r="F38"/>
    </row>
    <row r="39" spans="4:6" x14ac:dyDescent="0.25">
      <c r="F39"/>
    </row>
    <row r="40" spans="4:6" x14ac:dyDescent="0.25">
      <c r="F40"/>
    </row>
    <row r="41" spans="4:6" x14ac:dyDescent="0.25">
      <c r="F41"/>
    </row>
    <row r="42" spans="4:6" x14ac:dyDescent="0.25">
      <c r="F42"/>
    </row>
    <row r="43" spans="4:6" x14ac:dyDescent="0.25">
      <c r="D43"/>
      <c r="F43"/>
    </row>
    <row r="44" spans="4:6" x14ac:dyDescent="0.25">
      <c r="D44"/>
      <c r="F44"/>
    </row>
    <row r="45" spans="4:6" x14ac:dyDescent="0.25">
      <c r="D45"/>
      <c r="F45"/>
    </row>
    <row r="46" spans="4:6" x14ac:dyDescent="0.25">
      <c r="F46"/>
    </row>
    <row r="47" spans="4:6" x14ac:dyDescent="0.25">
      <c r="F47"/>
    </row>
    <row r="48" spans="4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workbookViewId="0">
      <selection activeCell="F18" sqref="F18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5.710937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256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256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299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272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289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254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290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255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291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286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146</v>
      </c>
      <c r="E28" s="39" t="s">
        <v>292</v>
      </c>
      <c r="F28" s="38" t="s">
        <v>190</v>
      </c>
      <c r="G28" s="37"/>
      <c r="H28" s="21"/>
      <c r="J28" s="19" t="str">
        <f>VLOOKUP(D28,[1]!Dictionary[#All],3,FALSE)</f>
        <v>PTV Primary</v>
      </c>
      <c r="K28" s="18" t="str">
        <f>VLOOKUP(D28,[1]!Dictionary[#All],4,FALSE)</f>
        <v>PTVp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eval</v>
      </c>
      <c r="Q28" s="12">
        <f>IFERROR(VLOOKUP(D28,[1]!DVH_lines[#Data],2,FALSE),"")</f>
        <v>-16777216</v>
      </c>
      <c r="R28" s="13">
        <f>IFERROR(VLOOKUP(D28,[1]!DVH_lines[#Data],3,FALSE),"")</f>
        <v>0</v>
      </c>
      <c r="S28" s="11">
        <f>IFERROR(VLOOKUP(D28,[1]!DVH_lines[#Data],4,FALSE),"")</f>
        <v>5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293</v>
      </c>
      <c r="E29" s="39" t="s">
        <v>288</v>
      </c>
      <c r="F29" s="38" t="s">
        <v>297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eval</v>
      </c>
      <c r="Q29" s="12">
        <f>IFERROR(VLOOKUP(D29,[1]!DVH_lines[#Data],2,FALSE),"")</f>
        <v>-16777216</v>
      </c>
      <c r="R29" s="13">
        <f>IFERROR(VLOOKUP(D29,[1]!DVH_lines[#Data],3,FALSE),"")</f>
        <v>0</v>
      </c>
      <c r="S29" s="11">
        <f>IFERROR(VLOOKUP(D29,[1]!DVH_lines[#Data],4,FALSE),"")</f>
        <v>5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36" t="s">
        <v>107</v>
      </c>
      <c r="E30" s="39" t="s">
        <v>109</v>
      </c>
      <c r="F30" s="38" t="s">
        <v>105</v>
      </c>
      <c r="G30" s="37"/>
      <c r="H30" s="21"/>
      <c r="J30" s="19" t="str">
        <f>VLOOKUP(D30,[1]!Dictionary[#All],3,FALSE)</f>
        <v>Artifact</v>
      </c>
      <c r="K30" s="18">
        <f>VLOOKUP(D30,[1]!Dictionary[#All],4,FALSE)</f>
        <v>11296</v>
      </c>
      <c r="L30" s="18" t="str">
        <f>VLOOKUP(D30,[1]!Dictionary[#All],5,FALSE)</f>
        <v>RADLEX</v>
      </c>
      <c r="M30" s="17">
        <f>VLOOKUP(D30,[1]!Dictionary[#All],6,FALSE)</f>
        <v>3.8</v>
      </c>
      <c r="N30" s="16" t="str">
        <f>VLOOKUP(D30,[1]!VolumeType[#All],2,FALSE)</f>
        <v>Artifact</v>
      </c>
      <c r="O30" s="15" t="str">
        <f>VLOOKUP(D30,[1]!VolumeType[#All],3,FALSE)</f>
        <v>None</v>
      </c>
      <c r="P30" s="14" t="str">
        <f>VLOOKUP(D30,[1]!Colors[#All],3,FALSE)</f>
        <v>z RO Helper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107</v>
      </c>
      <c r="E31" s="39" t="s">
        <v>108</v>
      </c>
      <c r="F31" s="38" t="s">
        <v>105</v>
      </c>
      <c r="G31" s="37"/>
      <c r="H31" s="21"/>
      <c r="J31" s="19" t="str">
        <f>VLOOKUP(D31,[1]!Dictionary[#All],3,FALSE)</f>
        <v>Artifact</v>
      </c>
      <c r="K31" s="18">
        <f>VLOOKUP(D31,[1]!Dictionary[#All],4,FALSE)</f>
        <v>11296</v>
      </c>
      <c r="L31" s="18" t="str">
        <f>VLOOKUP(D31,[1]!Dictionary[#All],5,FALSE)</f>
        <v>RADLEX</v>
      </c>
      <c r="M31" s="17">
        <f>VLOOKUP(D31,[1]!Dictionary[#All],6,FALSE)</f>
        <v>3.8</v>
      </c>
      <c r="N31" s="16" t="str">
        <f>VLOOKUP(D31,[1]!VolumeType[#All],2,FALSE)</f>
        <v>Artifact</v>
      </c>
      <c r="O31" s="15" t="str">
        <f>VLOOKUP(D31,[1]!VolumeType[#All],3,FALSE)</f>
        <v>None</v>
      </c>
      <c r="P31" s="14" t="str">
        <f>VLOOKUP(D31,[1]!Colors[#All],3,FALSE)</f>
        <v>z RO Helper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ht="15.75" thickBot="1" x14ac:dyDescent="0.3">
      <c r="D32" s="36" t="s">
        <v>107</v>
      </c>
      <c r="E32" s="39" t="s">
        <v>106</v>
      </c>
      <c r="F32" s="38" t="s">
        <v>105</v>
      </c>
      <c r="G32" s="37"/>
      <c r="H32" s="21"/>
      <c r="J32" s="10" t="str">
        <f>VLOOKUP(D32,[1]!Dictionary[#All],3,FALSE)</f>
        <v>Artifact</v>
      </c>
      <c r="K32" s="9">
        <f>VLOOKUP(D32,[1]!Dictionary[#All],4,FALSE)</f>
        <v>11296</v>
      </c>
      <c r="L32" s="9" t="str">
        <f>VLOOKUP(D32,[1]!Dictionary[#All],5,FALSE)</f>
        <v>RADLEX</v>
      </c>
      <c r="M32" s="8">
        <f>VLOOKUP(D32,[1]!Dictionary[#All],6,FALSE)</f>
        <v>3.8</v>
      </c>
      <c r="N32" s="7" t="str">
        <f>VLOOKUP(D32,[1]!VolumeType[#All],2,FALSE)</f>
        <v>Artifact</v>
      </c>
      <c r="O32" s="6" t="str">
        <f>VLOOKUP(D32,[1]!VolumeType[#All],3,FALSE)</f>
        <v>None</v>
      </c>
      <c r="P32" s="5" t="str">
        <f>VLOOKUP(D32,[1]!Colors[#All],3,FALSE)</f>
        <v>z RO Helper</v>
      </c>
      <c r="Q32" s="3" t="str">
        <f>IFERROR(VLOOKUP(D32,[1]!DVH_lines[#Data],2,FALSE),"")</f>
        <v/>
      </c>
      <c r="R32" s="4" t="str">
        <f>IFERROR(VLOOKUP(D32,[1]!DVH_lines[#Data],3,FALSE),"")</f>
        <v/>
      </c>
      <c r="S32" s="2" t="str">
        <f>IFERROR(VLOOKUP(D32,[1]!DVH_lines[#Data],4,FALSE),"")</f>
        <v/>
      </c>
      <c r="T32" s="3" t="str">
        <f>IFERROR(VLOOKUP(D32,[1]!SearchCT[#Data],2,FALSE),"")</f>
        <v/>
      </c>
      <c r="U32" s="2" t="str">
        <f>IFERROR(VLOOKUP(D32,[1]!SearchCT[#Data],3,FALSE),"")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workbookViewId="0">
      <selection activeCell="A17" sqref="A17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1" t="s">
        <v>317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302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46" t="s">
        <v>303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304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305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306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307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308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310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287</v>
      </c>
      <c r="E28" s="39" t="s">
        <v>309</v>
      </c>
      <c r="F28" s="38" t="s">
        <v>296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opt</v>
      </c>
      <c r="Q28" s="12">
        <f>IFERROR(VLOOKUP(D28,[1]!DVH_lines[#Data],2,FALSE),"")</f>
        <v>-16777216</v>
      </c>
      <c r="R28" s="13">
        <f>IFERROR(VLOOKUP(D28,[1]!DVH_lines[#Data],3,FALSE),"")</f>
        <v>1</v>
      </c>
      <c r="S28" s="11">
        <f>IFERROR(VLOOKUP(D28,[1]!DVH_lines[#Data],4,FALSE),"")</f>
        <v>3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287</v>
      </c>
      <c r="E29" s="39" t="s">
        <v>311</v>
      </c>
      <c r="F29" s="38" t="s">
        <v>296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opt</v>
      </c>
      <c r="Q29" s="12">
        <f>IFERROR(VLOOKUP(D29,[1]!DVH_lines[#Data],2,FALSE),"")</f>
        <v>-16777216</v>
      </c>
      <c r="R29" s="13">
        <f>IFERROR(VLOOKUP(D29,[1]!DVH_lines[#Data],3,FALSE),"")</f>
        <v>1</v>
      </c>
      <c r="S29" s="11">
        <f>IFERROR(VLOOKUP(D29,[1]!DVH_lines[#Data],4,FALSE),"")</f>
        <v>3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204</v>
      </c>
      <c r="E30" s="40" t="s">
        <v>204</v>
      </c>
      <c r="F30" s="38" t="s">
        <v>314</v>
      </c>
      <c r="G30" s="37"/>
      <c r="H30" s="21"/>
      <c r="J30" s="19" t="str">
        <f>VLOOKUP(D30,[1]!Dictionary[#All],3,FALSE)</f>
        <v>Undefined Normal Tissue</v>
      </c>
      <c r="K30" s="18" t="str">
        <f>VLOOKUP(D30,[1]!Dictionary[#All],4,FALSE)</f>
        <v>NormalTissue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Control</v>
      </c>
      <c r="O30" s="15" t="str">
        <f>VLOOKUP(D30,[1]!VolumeType[#All],3,FALSE)</f>
        <v>Avoidance</v>
      </c>
      <c r="P30" s="14" t="str">
        <f>VLOOKUP(D30,[1]!Colors[#All],3,FALSE)</f>
        <v>z Normal Tissue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146</v>
      </c>
      <c r="E31" s="39" t="s">
        <v>312</v>
      </c>
      <c r="F31" s="38" t="s">
        <v>190</v>
      </c>
      <c r="G31" s="37"/>
      <c r="H31" s="21"/>
      <c r="J31" s="19" t="str">
        <f>VLOOKUP(D31,[1]!Dictionary[#All],3,FALSE)</f>
        <v>PTV Primary</v>
      </c>
      <c r="K31" s="18" t="str">
        <f>VLOOKUP(D31,[1]!Dictionary[#All],4,FALSE)</f>
        <v>PTVp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293</v>
      </c>
      <c r="E32" s="39" t="s">
        <v>313</v>
      </c>
      <c r="F32" s="38" t="s">
        <v>297</v>
      </c>
      <c r="G32" s="37"/>
      <c r="H32" s="21"/>
      <c r="J32" s="19" t="str">
        <f>VLOOKUP(D32,[1]!Dictionary[#All],3,FALSE)</f>
        <v>PTV Intermediate Risk</v>
      </c>
      <c r="K32" s="18" t="str">
        <f>VLOOKUP(D32,[1]!Dictionary[#All],4,FALSE)</f>
        <v>PTV_Intermediate</v>
      </c>
      <c r="L32" s="18" t="str">
        <f>VLOOKUP(D32,[1]!Dictionary[#All],5,FALSE)</f>
        <v>99VMS_STRUCTCODE</v>
      </c>
      <c r="M32" s="17" t="str">
        <f>VLOOKUP(D32,[1]!Dictionary[#All],6,FALSE)</f>
        <v>1.0</v>
      </c>
      <c r="N32" s="16" t="str">
        <f>VLOOKUP(D32,[1]!VolumeType[#All],2,FALSE)</f>
        <v>PTV</v>
      </c>
      <c r="O32" s="15" t="str">
        <f>VLOOKUP(D32,[1]!VolumeType[#All],3,FALSE)</f>
        <v>PTV</v>
      </c>
      <c r="P32" s="14" t="str">
        <f>VLOOKUP(D32,[1]!Colors[#All],3,FALSE)</f>
        <v>z PTV int eval</v>
      </c>
      <c r="Q32" s="12">
        <f>IFERROR(VLOOKUP(D32,[1]!DVH_lines[#Data],2,FALSE),"")</f>
        <v>-16777216</v>
      </c>
      <c r="R32" s="13">
        <f>IFERROR(VLOOKUP(D32,[1]!DVH_lines[#Data],3,FALSE),"")</f>
        <v>0</v>
      </c>
      <c r="S32" s="11">
        <f>IFERROR(VLOOKUP(D32,[1]!DVH_lines[#Data],4,FALSE),"")</f>
        <v>5</v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36" t="s">
        <v>107</v>
      </c>
      <c r="E33" s="39" t="s">
        <v>109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107</v>
      </c>
      <c r="E34" s="39" t="s">
        <v>108</v>
      </c>
      <c r="F34" s="38" t="s">
        <v>105</v>
      </c>
      <c r="G34" s="37"/>
      <c r="H34" s="21"/>
      <c r="J34" s="19" t="str">
        <f>VLOOKUP(D34,[1]!Dictionary[#All],3,FALSE)</f>
        <v>Artifact</v>
      </c>
      <c r="K34" s="18">
        <f>VLOOKUP(D34,[1]!Dictionary[#All],4,FALSE)</f>
        <v>11296</v>
      </c>
      <c r="L34" s="18" t="str">
        <f>VLOOKUP(D34,[1]!Dictionary[#All],5,FALSE)</f>
        <v>RADLEX</v>
      </c>
      <c r="M34" s="17">
        <f>VLOOKUP(D34,[1]!Dictionary[#All],6,FALSE)</f>
        <v>3.8</v>
      </c>
      <c r="N34" s="16" t="str">
        <f>VLOOKUP(D34,[1]!VolumeType[#All],2,FALSE)</f>
        <v>Artifact</v>
      </c>
      <c r="O34" s="15" t="str">
        <f>VLOOKUP(D34,[1]!VolumeType[#All],3,FALSE)</f>
        <v>None</v>
      </c>
      <c r="P34" s="14" t="str">
        <f>VLOOKUP(D34,[1]!Colors[#All],3,FALSE)</f>
        <v>z RO Helper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ht="15.75" thickBot="1" x14ac:dyDescent="0.3">
      <c r="D35" s="36" t="s">
        <v>107</v>
      </c>
      <c r="E35" s="39" t="s">
        <v>106</v>
      </c>
      <c r="F35" s="38" t="s">
        <v>105</v>
      </c>
      <c r="G35" s="37"/>
      <c r="H35" s="21"/>
      <c r="J35" s="10" t="str">
        <f>VLOOKUP(D35,[1]!Dictionary[#All],3,FALSE)</f>
        <v>Artifact</v>
      </c>
      <c r="K35" s="9">
        <f>VLOOKUP(D35,[1]!Dictionary[#All],4,FALSE)</f>
        <v>11296</v>
      </c>
      <c r="L35" s="9" t="str">
        <f>VLOOKUP(D35,[1]!Dictionary[#All],5,FALSE)</f>
        <v>RADLEX</v>
      </c>
      <c r="M35" s="8">
        <f>VLOOKUP(D35,[1]!Dictionary[#All],6,FALSE)</f>
        <v>3.8</v>
      </c>
      <c r="N35" s="7" t="str">
        <f>VLOOKUP(D35,[1]!VolumeType[#All],2,FALSE)</f>
        <v>Artifact</v>
      </c>
      <c r="O35" s="6" t="str">
        <f>VLOOKUP(D35,[1]!VolumeType[#All],3,FALSE)</f>
        <v>None</v>
      </c>
      <c r="P35" s="5" t="str">
        <f>VLOOKUP(D35,[1]!Colors[#All],3,FALSE)</f>
        <v>z RO Helper</v>
      </c>
      <c r="Q35" s="3" t="str">
        <f>IFERROR(VLOOKUP(D35,[1]!DVH_lines[#Data],2,FALSE),"")</f>
        <v/>
      </c>
      <c r="R35" s="4" t="str">
        <f>IFERROR(VLOOKUP(D35,[1]!DVH_lines[#Data],3,FALSE),"")</f>
        <v/>
      </c>
      <c r="S35" s="2" t="str">
        <f>IFERROR(VLOOKUP(D35,[1]!DVH_lines[#Data],4,FALSE),"")</f>
        <v/>
      </c>
      <c r="T35" s="3" t="str">
        <f>IFERROR(VLOOKUP(D35,[1]!SearchCT[#Data],2,FALSE),"")</f>
        <v/>
      </c>
      <c r="U35" s="2" t="str">
        <f>IFERROR(VLOOKUP(D35,[1]!SearchCT[#Data],3,FALSE),"")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workbookViewId="0">
      <selection activeCell="E32" sqref="E32"/>
    </sheetView>
  </sheetViews>
  <sheetFormatPr defaultRowHeight="15" x14ac:dyDescent="0.25"/>
  <cols>
    <col min="1" max="1" width="14.5703125" style="46" bestFit="1" customWidth="1"/>
    <col min="2" max="2" width="23.42578125" style="46" bestFit="1" customWidth="1"/>
    <col min="3" max="3" width="5.42578125" style="46" customWidth="1"/>
    <col min="4" max="5" width="15" style="46" bestFit="1" customWidth="1"/>
    <col min="6" max="6" width="45.7109375" style="46" customWidth="1"/>
    <col min="7" max="7" width="13.42578125" style="46" bestFit="1" customWidth="1"/>
    <col min="8" max="8" width="18.85546875" style="46" bestFit="1" customWidth="1"/>
    <col min="9" max="9" width="5.85546875" style="46" bestFit="1" customWidth="1"/>
    <col min="10" max="10" width="32" style="46" bestFit="1" customWidth="1"/>
    <col min="11" max="11" width="17.42578125" style="46" bestFit="1" customWidth="1"/>
    <col min="12" max="12" width="19.7109375" style="46" bestFit="1" customWidth="1"/>
    <col min="13" max="13" width="21" style="46" bestFit="1" customWidth="1"/>
    <col min="14" max="14" width="9.7109375" style="46" bestFit="1" customWidth="1"/>
    <col min="15" max="15" width="15.42578125" style="46" bestFit="1" customWidth="1"/>
    <col min="16" max="16" width="16.28515625" style="46" bestFit="1" customWidth="1"/>
    <col min="17" max="17" width="14.42578125" style="46" bestFit="1" customWidth="1"/>
    <col min="18" max="18" width="14.140625" style="46" bestFit="1" customWidth="1"/>
    <col min="19" max="19" width="15.42578125" style="46" bestFit="1" customWidth="1"/>
    <col min="20" max="20" width="14" style="46" bestFit="1" customWidth="1"/>
    <col min="21" max="21" width="14.42578125" style="46" bestFit="1" customWidth="1"/>
    <col min="22" max="16384" width="9.140625" style="46"/>
  </cols>
  <sheetData>
    <row r="1" spans="1:21" ht="21" thickBot="1" x14ac:dyDescent="0.35">
      <c r="A1" s="51" t="s">
        <v>318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46" t="s">
        <v>318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46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46" t="s">
        <v>315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46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46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46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46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46" t="s">
        <v>316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46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46" t="s">
        <v>20</v>
      </c>
      <c r="D13" s="36" t="s">
        <v>26</v>
      </c>
      <c r="E13" s="39" t="s">
        <v>26</v>
      </c>
      <c r="F13" s="38" t="s">
        <v>25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103</v>
      </c>
      <c r="E14" s="35" t="s">
        <v>278</v>
      </c>
      <c r="F14" s="38" t="s">
        <v>282</v>
      </c>
      <c r="G14" s="37"/>
      <c r="H14" s="21"/>
      <c r="J14" s="19" t="str">
        <f>VLOOKUP(D14,[1]!Dictionary[#All],3,FALSE)</f>
        <v>Left internal iliac lymphatic chain</v>
      </c>
      <c r="K14" s="18">
        <f>VLOOKUP(D14,[1]!Dictionary[#All],4,FALSE)</f>
        <v>224279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Intiliac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101</v>
      </c>
      <c r="E15" s="35" t="s">
        <v>279</v>
      </c>
      <c r="F15" s="38" t="s">
        <v>283</v>
      </c>
      <c r="G15" s="37"/>
      <c r="H15" s="21"/>
      <c r="J15" s="19" t="str">
        <f>VLOOKUP(D15,[1]!Dictionary[#All],3,FALSE)</f>
        <v>Right internal iliac lymphatic chain</v>
      </c>
      <c r="K15" s="18">
        <f>VLOOKUP(D15,[1]!Dictionary[#All],4,FALSE)</f>
        <v>224277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84</v>
      </c>
      <c r="E16" s="35" t="s">
        <v>280</v>
      </c>
      <c r="F16" s="47" t="s">
        <v>284</v>
      </c>
      <c r="G16" s="37"/>
      <c r="H16" s="21"/>
      <c r="J16" s="19" t="str">
        <f>VLOOKUP(D16,[1]!Dictionary[#All],3,FALSE)</f>
        <v>Right external iliac lymphatic chain</v>
      </c>
      <c r="K16" s="18">
        <f>VLOOKUP(D16,[1]!Dictionary[#All],4,FALSE)</f>
        <v>229179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extiliac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82</v>
      </c>
      <c r="E17" s="35" t="s">
        <v>281</v>
      </c>
      <c r="F17" s="47" t="s">
        <v>285</v>
      </c>
      <c r="G17" s="37"/>
      <c r="H17" s="21"/>
      <c r="J17" s="19" t="str">
        <f>VLOOKUP(D17,[1]!Dictionary[#All],3,FALSE)</f>
        <v>Left external iliac lymphatic chain</v>
      </c>
      <c r="K17" s="18">
        <f>VLOOKUP(D17,[1]!Dictionary[#All],4,FALSE)</f>
        <v>229181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11</v>
      </c>
      <c r="E18" s="39" t="s">
        <v>11</v>
      </c>
      <c r="F18" s="38" t="s">
        <v>11</v>
      </c>
      <c r="G18" s="37"/>
      <c r="H18" s="21"/>
      <c r="J18" s="19" t="str">
        <f>VLOOKUP(D18,[1]!Dictionary[#All],3,FALSE)</f>
        <v>Presacral space</v>
      </c>
      <c r="K18" s="18">
        <f>VLOOKUP(D18,[1]!Dictionary[#All],4,FALSE)</f>
        <v>265331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PresacralSpace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119</v>
      </c>
      <c r="E19" s="39" t="s">
        <v>119</v>
      </c>
      <c r="F19" s="38" t="s">
        <v>186</v>
      </c>
      <c r="G19" s="37"/>
      <c r="H19" s="21"/>
      <c r="J19" s="19" t="str">
        <f>VLOOKUP(D19,[1]!Dictionary[#All],3,FALSE)</f>
        <v>GTV Nodal</v>
      </c>
      <c r="K19" s="18" t="str">
        <f>VLOOKUP(D19,[1]!Dictionary[#All],4,FALSE)</f>
        <v>GTVn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GTV</v>
      </c>
      <c r="O19" s="15" t="str">
        <f>VLOOKUP(D19,[1]!VolumeType[#All],3,FALSE)</f>
        <v>Nodes</v>
      </c>
      <c r="P19" s="14" t="str">
        <f>VLOOKUP(D19,[1]!Colors[#All],3,FALSE)</f>
        <v>z GTV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6" t="s">
        <v>165</v>
      </c>
      <c r="E20" s="39" t="s">
        <v>319</v>
      </c>
      <c r="F20" s="38" t="s">
        <v>191</v>
      </c>
      <c r="G20" s="37"/>
      <c r="H20" s="21"/>
      <c r="J20" s="19" t="str">
        <f>VLOOKUP(D20,[1]!Dictionary[#All],3,FALSE)</f>
        <v>CTV High Risk</v>
      </c>
      <c r="K20" s="18" t="str">
        <f>VLOOKUP(D20,[1]!Dictionary[#All],4,FALSE)</f>
        <v>CTV_High</v>
      </c>
      <c r="L20" s="18" t="str">
        <f>VLOOKUP(D20,[1]!Dictionary[#All],5,FALSE)</f>
        <v>99VMS_STRUCTCODE</v>
      </c>
      <c r="M20" s="17" t="str">
        <f>VLOOKUP(D20,[1]!Dictionary[#All],6,FALSE)</f>
        <v>1.0</v>
      </c>
      <c r="N20" s="16" t="str">
        <f>VLOOKUP(D20,[1]!VolumeType[#All],2,FALSE)</f>
        <v>CTV</v>
      </c>
      <c r="O20" s="15" t="str">
        <f>VLOOKUP(D20,[1]!VolumeType[#All],3,FALSE)</f>
        <v>CTV</v>
      </c>
      <c r="P20" s="14" t="str">
        <f>VLOOKUP(D20,[1]!Colors[#All],3,FALSE)</f>
        <v>z CTV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6" t="s">
        <v>178</v>
      </c>
      <c r="E21" s="39" t="s">
        <v>305</v>
      </c>
      <c r="F21" s="38" t="s">
        <v>298</v>
      </c>
      <c r="G21" s="37"/>
      <c r="H21" s="21"/>
      <c r="J21" s="19" t="str">
        <f>VLOOKUP(D21,[1]!Dictionary[#All],3,FALSE)</f>
        <v>CTV Intermediate Risk</v>
      </c>
      <c r="K21" s="18" t="str">
        <f>VLOOKUP(D21,[1]!Dictionary[#All],4,FALSE)</f>
        <v>CTV_Intermediate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CTV</v>
      </c>
      <c r="O21" s="15" t="str">
        <f>VLOOKUP(D21,[1]!VolumeType[#All],3,FALSE)</f>
        <v>CTV</v>
      </c>
      <c r="P21" s="14" t="str">
        <f>VLOOKUP(D21,[1]!Colors[#All],3,FALSE)</f>
        <v>z CTV int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221</v>
      </c>
      <c r="E22" s="39" t="s">
        <v>185</v>
      </c>
      <c r="F22" s="38" t="s">
        <v>184</v>
      </c>
      <c r="G22" s="37"/>
      <c r="H22" s="21"/>
      <c r="J22" s="19" t="str">
        <f>VLOOKUP(D22,[1]!Dictionary[#All],3,FALSE)</f>
        <v>CTV Low Risk</v>
      </c>
      <c r="K22" s="18" t="str">
        <f>VLOOKUP(D22,[1]!Dictionary[#All],4,FALSE)</f>
        <v>CTV_Low</v>
      </c>
      <c r="L22" s="18" t="str">
        <f>VLOOKUP(D22,[1]!Dictionary[#All],5,FALSE)</f>
        <v>99VMS_STRUCTCODE</v>
      </c>
      <c r="M22" s="17" t="str">
        <f>VLOOKUP(D22,[1]!Dictionary[#All],6,FALSE)</f>
        <v>1.0</v>
      </c>
      <c r="N22" s="16" t="str">
        <f>VLOOKUP(D22,[1]!VolumeType[#All],2,FALSE)</f>
        <v>CTV</v>
      </c>
      <c r="O22" s="15" t="str">
        <f>VLOOKUP(D22,[1]!VolumeType[#All],3,FALSE)</f>
        <v>CTV</v>
      </c>
      <c r="P22" s="14" t="str">
        <f>VLOOKUP(D22,[1]!Colors[#All],3,FALSE)</f>
        <v>z CTV low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162</v>
      </c>
      <c r="E23" s="39" t="s">
        <v>320</v>
      </c>
      <c r="F23" s="38" t="s">
        <v>187</v>
      </c>
      <c r="G23" s="37"/>
      <c r="H23" s="21"/>
      <c r="J23" s="19" t="str">
        <f>VLOOKUP(D23,[1]!Dictionary[#All],3,FALSE)</f>
        <v>PTV High Risk</v>
      </c>
      <c r="K23" s="18" t="str">
        <f>VLOOKUP(D23,[1]!Dictionary[#All],4,FALSE)</f>
        <v>PTV_High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PTV</v>
      </c>
      <c r="O23" s="15" t="str">
        <f>VLOOKUP(D23,[1]!VolumeType[#All],3,FALSE)</f>
        <v>PTV</v>
      </c>
      <c r="P23" s="14" t="str">
        <f>VLOOKUP(D23,[1]!Colors[#All],3,FALSE)</f>
        <v>z PTV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236</v>
      </c>
      <c r="E24" s="39" t="s">
        <v>307</v>
      </c>
      <c r="F24" s="38" t="s">
        <v>182</v>
      </c>
      <c r="G24" s="37"/>
      <c r="H24" s="21"/>
      <c r="J24" s="19" t="str">
        <f>VLOOKUP(D24,[1]!Dictionary[#All],3,FALSE)</f>
        <v>PTV Intermediate Risk</v>
      </c>
      <c r="K24" s="18" t="str">
        <f>VLOOKUP(D24,[1]!Dictionary[#All],4,FALSE)</f>
        <v>PTV_Intermediate</v>
      </c>
      <c r="L24" s="18" t="str">
        <f>VLOOKUP(D24,[1]!Dictionary[#All],5,FALSE)</f>
        <v>99VMS_STRUCTCODE</v>
      </c>
      <c r="M24" s="17" t="str">
        <f>VLOOKUP(D24,[1]!Dictionary[#All],6,FALSE)</f>
        <v>1.0</v>
      </c>
      <c r="N24" s="16" t="str">
        <f>VLOOKUP(D24,[1]!VolumeType[#All],2,FALSE)</f>
        <v>PTV</v>
      </c>
      <c r="O24" s="15" t="str">
        <f>VLOOKUP(D24,[1]!VolumeType[#All],3,FALSE)</f>
        <v>PTV</v>
      </c>
      <c r="P24" s="14" t="str">
        <f>VLOOKUP(D24,[1]!Colors[#All],3,FALSE)</f>
        <v>z PTV int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213</v>
      </c>
      <c r="E25" s="39" t="s">
        <v>183</v>
      </c>
      <c r="F25" s="38" t="s">
        <v>182</v>
      </c>
      <c r="G25" s="37"/>
      <c r="H25" s="21"/>
      <c r="J25" s="19" t="str">
        <f>VLOOKUP(D25,[1]!Dictionary[#All],3,FALSE)</f>
        <v>PTV Low Risk</v>
      </c>
      <c r="K25" s="18" t="str">
        <f>VLOOKUP(D25,[1]!Dictionary[#All],4,FALSE)</f>
        <v>PTV_Low</v>
      </c>
      <c r="L25" s="18" t="str">
        <f>VLOOKUP(D25,[1]!Dictionary[#All],5,FALSE)</f>
        <v>99VMS_STRUCTCODE</v>
      </c>
      <c r="M25" s="17" t="str">
        <f>VLOOKUP(D25,[1]!Dictionary[#All],6,FALSE)</f>
        <v>1.0</v>
      </c>
      <c r="N25" s="16" t="str">
        <f>VLOOKUP(D25,[1]!VolumeType[#All],2,FALSE)</f>
        <v>PTV</v>
      </c>
      <c r="O25" s="15" t="str">
        <f>VLOOKUP(D25,[1]!VolumeType[#All],3,FALSE)</f>
        <v>PTV</v>
      </c>
      <c r="P25" s="14" t="str">
        <f>VLOOKUP(D25,[1]!Colors[#All],3,FALSE)</f>
        <v>z PTV low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143</v>
      </c>
      <c r="E26" s="39" t="s">
        <v>308</v>
      </c>
      <c r="F26" s="38" t="s">
        <v>188</v>
      </c>
      <c r="G26" s="37"/>
      <c r="H26" s="21"/>
      <c r="J26" s="19" t="str">
        <f>VLOOKUP(D26,[1]!Dictionary[#All],3,FALSE)</f>
        <v>PTV Primary</v>
      </c>
      <c r="K26" s="18" t="str">
        <f>VLOOKUP(D26,[1]!Dictionary[#All],4,FALSE)</f>
        <v>PTVp</v>
      </c>
      <c r="L26" s="18" t="str">
        <f>VLOOKUP(D26,[1]!Dictionary[#All],5,FALSE)</f>
        <v>99VMS_STRUCTCODE</v>
      </c>
      <c r="M26" s="17" t="str">
        <f>VLOOKUP(D26,[1]!Dictionary[#All],6,FALSE)</f>
        <v>1.0</v>
      </c>
      <c r="N26" s="16" t="str">
        <f>VLOOKUP(D26,[1]!VolumeType[#All],2,FALSE)</f>
        <v>PTV</v>
      </c>
      <c r="O26" s="15" t="str">
        <f>VLOOKUP(D26,[1]!VolumeType[#All],3,FALSE)</f>
        <v>PTV</v>
      </c>
      <c r="P26" s="14" t="str">
        <f>VLOOKUP(D26,[1]!Colors[#All],3,FALSE)</f>
        <v>z PTV opt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287</v>
      </c>
      <c r="E27" s="39" t="s">
        <v>310</v>
      </c>
      <c r="F27" s="38" t="s">
        <v>296</v>
      </c>
      <c r="G27" s="37"/>
      <c r="H27" s="21"/>
      <c r="J27" s="19" t="str">
        <f>VLOOKUP(D27,[1]!Dictionary[#All],3,FALSE)</f>
        <v>PTV Intermediate Risk</v>
      </c>
      <c r="K27" s="18" t="str">
        <f>VLOOKUP(D27,[1]!Dictionary[#All],4,FALSE)</f>
        <v>PTV_Intermediate</v>
      </c>
      <c r="L27" s="18" t="str">
        <f>VLOOKUP(D27,[1]!Dictionary[#All],5,FALSE)</f>
        <v>99VMS_STRUCTCODE</v>
      </c>
      <c r="M27" s="17" t="str">
        <f>VLOOKUP(D27,[1]!Dictionary[#All],6,FALSE)</f>
        <v>1.0</v>
      </c>
      <c r="N27" s="16" t="str">
        <f>VLOOKUP(D27,[1]!VolumeType[#All],2,FALSE)</f>
        <v>PTV</v>
      </c>
      <c r="O27" s="15" t="str">
        <f>VLOOKUP(D27,[1]!VolumeType[#All],3,FALSE)</f>
        <v>PTV</v>
      </c>
      <c r="P27" s="14" t="str">
        <f>VLOOKUP(D27,[1]!Colors[#All],3,FALSE)</f>
        <v>z PTV int opt</v>
      </c>
      <c r="Q27" s="12">
        <f>IFERROR(VLOOKUP(D27,[1]!DVH_lines[#Data],2,FALSE),"")</f>
        <v>-16777216</v>
      </c>
      <c r="R27" s="13">
        <f>IFERROR(VLOOKUP(D27,[1]!DVH_lines[#Data],3,FALSE),"")</f>
        <v>1</v>
      </c>
      <c r="S27" s="11">
        <f>IFERROR(VLOOKUP(D27,[1]!DVH_lines[#Data],4,FALSE),"")</f>
        <v>3</v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287</v>
      </c>
      <c r="E28" s="39" t="s">
        <v>309</v>
      </c>
      <c r="F28" s="38" t="s">
        <v>296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 opt</v>
      </c>
      <c r="Q28" s="12">
        <f>IFERROR(VLOOKUP(D28,[1]!DVH_lines[#Data],2,FALSE),"")</f>
        <v>-16777216</v>
      </c>
      <c r="R28" s="13">
        <f>IFERROR(VLOOKUP(D28,[1]!DVH_lines[#Data],3,FALSE),"")</f>
        <v>1</v>
      </c>
      <c r="S28" s="11">
        <f>IFERROR(VLOOKUP(D28,[1]!DVH_lines[#Data],4,FALSE),"")</f>
        <v>3</v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287</v>
      </c>
      <c r="E29" s="39" t="s">
        <v>311</v>
      </c>
      <c r="F29" s="38" t="s">
        <v>296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 opt</v>
      </c>
      <c r="Q29" s="12">
        <f>IFERROR(VLOOKUP(D29,[1]!DVH_lines[#Data],2,FALSE),"")</f>
        <v>-16777216</v>
      </c>
      <c r="R29" s="13">
        <f>IFERROR(VLOOKUP(D29,[1]!DVH_lines[#Data],3,FALSE),"")</f>
        <v>1</v>
      </c>
      <c r="S29" s="11">
        <f>IFERROR(VLOOKUP(D29,[1]!DVH_lines[#Data],4,FALSE),"")</f>
        <v>3</v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204</v>
      </c>
      <c r="E30" s="40" t="s">
        <v>204</v>
      </c>
      <c r="F30" s="38" t="s">
        <v>314</v>
      </c>
      <c r="G30" s="37"/>
      <c r="H30" s="21"/>
      <c r="J30" s="19" t="str">
        <f>VLOOKUP(D30,[1]!Dictionary[#All],3,FALSE)</f>
        <v>Undefined Normal Tissue</v>
      </c>
      <c r="K30" s="18" t="str">
        <f>VLOOKUP(D30,[1]!Dictionary[#All],4,FALSE)</f>
        <v>NormalTissue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Control</v>
      </c>
      <c r="O30" s="15" t="str">
        <f>VLOOKUP(D30,[1]!VolumeType[#All],3,FALSE)</f>
        <v>Avoidance</v>
      </c>
      <c r="P30" s="14" t="str">
        <f>VLOOKUP(D30,[1]!Colors[#All],3,FALSE)</f>
        <v>z Normal Tissue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146</v>
      </c>
      <c r="E31" s="39" t="s">
        <v>321</v>
      </c>
      <c r="F31" s="38" t="s">
        <v>190</v>
      </c>
      <c r="G31" s="37"/>
      <c r="H31" s="21"/>
      <c r="J31" s="19" t="str">
        <f>VLOOKUP(D31,[1]!Dictionary[#All],3,FALSE)</f>
        <v>PTV Primary</v>
      </c>
      <c r="K31" s="18" t="str">
        <f>VLOOKUP(D31,[1]!Dictionary[#All],4,FALSE)</f>
        <v>PTVp</v>
      </c>
      <c r="L31" s="18" t="str">
        <f>VLOOKUP(D31,[1]!Dictionary[#All],5,FALSE)</f>
        <v>99VMS_STRUCTCODE</v>
      </c>
      <c r="M31" s="17" t="str">
        <f>VLOOKUP(D31,[1]!Dictionary[#All],6,FALSE)</f>
        <v>1.0</v>
      </c>
      <c r="N31" s="16" t="str">
        <f>VLOOKUP(D31,[1]!VolumeType[#All],2,FALSE)</f>
        <v>PTV</v>
      </c>
      <c r="O31" s="15" t="str">
        <f>VLOOKUP(D31,[1]!VolumeType[#All],3,FALSE)</f>
        <v>PTV</v>
      </c>
      <c r="P31" s="14" t="str">
        <f>VLOOKUP(D31,[1]!Colors[#All],3,FALSE)</f>
        <v>z PTV eval</v>
      </c>
      <c r="Q31" s="12">
        <f>IFERROR(VLOOKUP(D31,[1]!DVH_lines[#Data],2,FALSE),"")</f>
        <v>-16777216</v>
      </c>
      <c r="R31" s="13">
        <f>IFERROR(VLOOKUP(D31,[1]!DVH_lines[#Data],3,FALSE),"")</f>
        <v>0</v>
      </c>
      <c r="S31" s="11">
        <f>IFERROR(VLOOKUP(D31,[1]!DVH_lines[#Data],4,FALSE),"")</f>
        <v>5</v>
      </c>
      <c r="T31" s="12" t="str">
        <f>IFERROR(VLOOKUP(D31,[1]!SearchCT[#Data],2,FALSE),"")</f>
        <v/>
      </c>
      <c r="U31" s="11" t="str">
        <f>IFERROR(VLOOKUP(D31,[1]!SearchCT[#Data],3,FALSE),"")</f>
        <v/>
      </c>
    </row>
    <row r="32" spans="4:21" x14ac:dyDescent="0.25">
      <c r="D32" s="40" t="s">
        <v>293</v>
      </c>
      <c r="E32" s="39" t="s">
        <v>313</v>
      </c>
      <c r="F32" s="38" t="s">
        <v>297</v>
      </c>
      <c r="G32" s="37"/>
      <c r="H32" s="21"/>
      <c r="J32" s="19" t="str">
        <f>VLOOKUP(D32,[1]!Dictionary[#All],3,FALSE)</f>
        <v>PTV Intermediate Risk</v>
      </c>
      <c r="K32" s="18" t="str">
        <f>VLOOKUP(D32,[1]!Dictionary[#All],4,FALSE)</f>
        <v>PTV_Intermediate</v>
      </c>
      <c r="L32" s="18" t="str">
        <f>VLOOKUP(D32,[1]!Dictionary[#All],5,FALSE)</f>
        <v>99VMS_STRUCTCODE</v>
      </c>
      <c r="M32" s="17" t="str">
        <f>VLOOKUP(D32,[1]!Dictionary[#All],6,FALSE)</f>
        <v>1.0</v>
      </c>
      <c r="N32" s="16" t="str">
        <f>VLOOKUP(D32,[1]!VolumeType[#All],2,FALSE)</f>
        <v>PTV</v>
      </c>
      <c r="O32" s="15" t="str">
        <f>VLOOKUP(D32,[1]!VolumeType[#All],3,FALSE)</f>
        <v>PTV</v>
      </c>
      <c r="P32" s="14" t="str">
        <f>VLOOKUP(D32,[1]!Colors[#All],3,FALSE)</f>
        <v>z PTV int eval</v>
      </c>
      <c r="Q32" s="12">
        <f>IFERROR(VLOOKUP(D32,[1]!DVH_lines[#Data],2,FALSE),"")</f>
        <v>-16777216</v>
      </c>
      <c r="R32" s="13">
        <f>IFERROR(VLOOKUP(D32,[1]!DVH_lines[#Data],3,FALSE),"")</f>
        <v>0</v>
      </c>
      <c r="S32" s="11">
        <f>IFERROR(VLOOKUP(D32,[1]!DVH_lines[#Data],4,FALSE),"")</f>
        <v>5</v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36" t="s">
        <v>107</v>
      </c>
      <c r="E33" s="39" t="s">
        <v>109</v>
      </c>
      <c r="F33" s="38" t="s">
        <v>105</v>
      </c>
      <c r="G33" s="37"/>
      <c r="H33" s="21"/>
      <c r="J33" s="19" t="str">
        <f>VLOOKUP(D33,[1]!Dictionary[#All],3,FALSE)</f>
        <v>Artifact</v>
      </c>
      <c r="K33" s="18">
        <f>VLOOKUP(D33,[1]!Dictionary[#All],4,FALSE)</f>
        <v>11296</v>
      </c>
      <c r="L33" s="18" t="str">
        <f>VLOOKUP(D33,[1]!Dictionary[#All],5,FALSE)</f>
        <v>RADLEX</v>
      </c>
      <c r="M33" s="17">
        <f>VLOOKUP(D33,[1]!Dictionary[#All],6,FALSE)</f>
        <v>3.8</v>
      </c>
      <c r="N33" s="16" t="str">
        <f>VLOOKUP(D33,[1]!VolumeType[#All],2,FALSE)</f>
        <v>Artifact</v>
      </c>
      <c r="O33" s="15" t="str">
        <f>VLOOKUP(D33,[1]!VolumeType[#All],3,FALSE)</f>
        <v>None</v>
      </c>
      <c r="P33" s="14" t="str">
        <f>VLOOKUP(D33,[1]!Colors[#All],3,FALSE)</f>
        <v>z RO Helper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 t="str">
        <f>IFERROR(VLOOKUP(D33,[1]!SearchCT[#Data],2,FALSE),"")</f>
        <v/>
      </c>
      <c r="U33" s="11" t="str">
        <f>IFERROR(VLOOKUP(D33,[1]!SearchCT[#Data],3,FALSE),"")</f>
        <v/>
      </c>
    </row>
    <row r="34" spans="4:21" x14ac:dyDescent="0.25">
      <c r="D34" s="40" t="s">
        <v>107</v>
      </c>
      <c r="E34" s="39" t="s">
        <v>108</v>
      </c>
      <c r="F34" s="38" t="s">
        <v>105</v>
      </c>
      <c r="G34" s="37"/>
      <c r="H34" s="21"/>
      <c r="J34" s="19" t="str">
        <f>VLOOKUP(D34,[1]!Dictionary[#All],3,FALSE)</f>
        <v>Artifact</v>
      </c>
      <c r="K34" s="18">
        <f>VLOOKUP(D34,[1]!Dictionary[#All],4,FALSE)</f>
        <v>11296</v>
      </c>
      <c r="L34" s="18" t="str">
        <f>VLOOKUP(D34,[1]!Dictionary[#All],5,FALSE)</f>
        <v>RADLEX</v>
      </c>
      <c r="M34" s="17">
        <f>VLOOKUP(D34,[1]!Dictionary[#All],6,FALSE)</f>
        <v>3.8</v>
      </c>
      <c r="N34" s="16" t="str">
        <f>VLOOKUP(D34,[1]!VolumeType[#All],2,FALSE)</f>
        <v>Artifact</v>
      </c>
      <c r="O34" s="15" t="str">
        <f>VLOOKUP(D34,[1]!VolumeType[#All],3,FALSE)</f>
        <v>None</v>
      </c>
      <c r="P34" s="14" t="str">
        <f>VLOOKUP(D34,[1]!Colors[#All],3,FALSE)</f>
        <v>z RO Helper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ht="15.75" thickBot="1" x14ac:dyDescent="0.3">
      <c r="D35" s="36" t="s">
        <v>107</v>
      </c>
      <c r="E35" s="39" t="s">
        <v>106</v>
      </c>
      <c r="F35" s="38" t="s">
        <v>105</v>
      </c>
      <c r="G35" s="37"/>
      <c r="H35" s="21"/>
      <c r="J35" s="10" t="str">
        <f>VLOOKUP(D35,[1]!Dictionary[#All],3,FALSE)</f>
        <v>Artifact</v>
      </c>
      <c r="K35" s="9">
        <f>VLOOKUP(D35,[1]!Dictionary[#All],4,FALSE)</f>
        <v>11296</v>
      </c>
      <c r="L35" s="9" t="str">
        <f>VLOOKUP(D35,[1]!Dictionary[#All],5,FALSE)</f>
        <v>RADLEX</v>
      </c>
      <c r="M35" s="8">
        <f>VLOOKUP(D35,[1]!Dictionary[#All],6,FALSE)</f>
        <v>3.8</v>
      </c>
      <c r="N35" s="7" t="str">
        <f>VLOOKUP(D35,[1]!VolumeType[#All],2,FALSE)</f>
        <v>Artifact</v>
      </c>
      <c r="O35" s="6" t="str">
        <f>VLOOKUP(D35,[1]!VolumeType[#All],3,FALSE)</f>
        <v>None</v>
      </c>
      <c r="P35" s="5" t="str">
        <f>VLOOKUP(D35,[1]!Colors[#All],3,FALSE)</f>
        <v>z RO Helper</v>
      </c>
      <c r="Q35" s="3" t="str">
        <f>IFERROR(VLOOKUP(D35,[1]!DVH_lines[#Data],2,FALSE),"")</f>
        <v/>
      </c>
      <c r="R35" s="4" t="str">
        <f>IFERROR(VLOOKUP(D35,[1]!DVH_lines[#Data],3,FALSE),"")</f>
        <v/>
      </c>
      <c r="S35" s="2" t="str">
        <f>IFERROR(VLOOKUP(D35,[1]!DVH_lines[#Data],4,FALSE),"")</f>
        <v/>
      </c>
      <c r="T35" s="3" t="str">
        <f>IFERROR(VLOOKUP(D35,[1]!SearchCT[#Data],2,FALSE),"")</f>
        <v/>
      </c>
      <c r="U35" s="2" t="str">
        <f>IFERROR(VLOOKUP(D35,[1]!SearchCT[#Data],3,FALSE),"")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3" orientation="landscape" horizontalDpi="300" verticalDpi="30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workbookViewId="0">
      <selection activeCell="D21" sqref="D21"/>
    </sheetView>
  </sheetViews>
  <sheetFormatPr defaultRowHeight="15" x14ac:dyDescent="0.25"/>
  <cols>
    <col min="1" max="1" width="14.5703125" style="1" bestFit="1" customWidth="1"/>
    <col min="2" max="2" width="11.7109375" style="1" bestFit="1" customWidth="1"/>
    <col min="3" max="3" width="5.42578125" style="1" customWidth="1"/>
    <col min="4" max="5" width="15" style="1" bestFit="1" customWidth="1"/>
    <col min="6" max="6" width="32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3.8554687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224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224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223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222</v>
      </c>
      <c r="C5" s="22"/>
      <c r="D5" s="36" t="s">
        <v>121</v>
      </c>
      <c r="E5" s="39" t="s">
        <v>121</v>
      </c>
      <c r="F5" s="38" t="s">
        <v>121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221</v>
      </c>
      <c r="E6" s="39" t="s">
        <v>220</v>
      </c>
      <c r="F6" s="38" t="s">
        <v>184</v>
      </c>
      <c r="G6" s="37"/>
      <c r="H6" s="21"/>
      <c r="J6" s="19" t="str">
        <f>VLOOKUP(D6,[1]!Dictionary[#All],3,FALSE)</f>
        <v>CTV Low Risk</v>
      </c>
      <c r="K6" s="18" t="str">
        <f>VLOOKUP(D6,[1]!Dictionary[#All],4,FALSE)</f>
        <v>CTV_Low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low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218</v>
      </c>
      <c r="F7" s="38" t="s">
        <v>191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219</v>
      </c>
      <c r="D8" s="36" t="s">
        <v>213</v>
      </c>
      <c r="E8" s="39" t="s">
        <v>217</v>
      </c>
      <c r="F8" s="36" t="s">
        <v>216</v>
      </c>
      <c r="G8" s="37"/>
      <c r="H8" s="21"/>
      <c r="J8" s="19" t="str">
        <f>VLOOKUP(D8,[1]!Dictionary[#All],3,FALSE)</f>
        <v>PTV Low Risk</v>
      </c>
      <c r="K8" s="18" t="str">
        <f>VLOOKUP(D8,[1]!Dictionary[#All],4,FALSE)</f>
        <v>PTV_Low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 low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162</v>
      </c>
      <c r="E9" s="39" t="s">
        <v>215</v>
      </c>
      <c r="F9" s="36" t="s">
        <v>214</v>
      </c>
      <c r="G9" s="37"/>
      <c r="H9" s="21"/>
      <c r="J9" s="19" t="str">
        <f>VLOOKUP(D9,[1]!Dictionary[#All],3,FALSE)</f>
        <v>PTV High Risk</v>
      </c>
      <c r="K9" s="18" t="str">
        <f>VLOOKUP(D9,[1]!Dictionary[#All],4,FALSE)</f>
        <v>PTV_High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36" t="s">
        <v>295</v>
      </c>
      <c r="E10" s="39" t="s">
        <v>212</v>
      </c>
      <c r="F10" s="36" t="s">
        <v>211</v>
      </c>
      <c r="G10" s="37"/>
      <c r="H10" s="21"/>
      <c r="J10" s="19" t="str">
        <f>VLOOKUP(D10,[1]!Dictionary[#All],3,FALSE)</f>
        <v>PTV Low Risk</v>
      </c>
      <c r="K10" s="18" t="str">
        <f>VLOOKUP(D10,[1]!Dictionary[#All],4,FALSE)</f>
        <v>PTV_Low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low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273</v>
      </c>
      <c r="D11" s="36" t="s">
        <v>143</v>
      </c>
      <c r="E11" s="39" t="s">
        <v>210</v>
      </c>
      <c r="F11" s="36" t="s">
        <v>209</v>
      </c>
      <c r="G11" s="37"/>
      <c r="H11" s="21"/>
      <c r="J11" s="19" t="str">
        <f>VLOOKUP(D11,[1]!Dictionary[#All],3,FALSE)</f>
        <v>PTV Primary</v>
      </c>
      <c r="K11" s="18" t="str">
        <f>VLOOKUP(D11,[1]!Dictionary[#All],4,FALSE)</f>
        <v>PTVp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PTV</v>
      </c>
      <c r="O11" s="15" t="str">
        <f>VLOOKUP(D11,[1]!VolumeType[#All],3,FALSE)</f>
        <v>PTV</v>
      </c>
      <c r="P11" s="14" t="str">
        <f>VLOOKUP(D11,[1]!Colors[#All],3,FALSE)</f>
        <v>z PTV opt</v>
      </c>
      <c r="Q11" s="12">
        <f>IFERROR(VLOOKUP(D11,[1]!DVH_lines[#Data],2,FALSE),"")</f>
        <v>-16777216</v>
      </c>
      <c r="R11" s="13">
        <f>IFERROR(VLOOKUP(D11,[1]!DVH_lines[#Data],3,FALSE),"")</f>
        <v>1</v>
      </c>
      <c r="S11" s="11">
        <f>IFERROR(VLOOKUP(D11,[1]!DVH_lines[#Data],4,FALSE),"")</f>
        <v>3</v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6" t="s">
        <v>6</v>
      </c>
      <c r="E12" s="39" t="s">
        <v>6</v>
      </c>
      <c r="F12" s="38" t="s">
        <v>208</v>
      </c>
      <c r="G12" s="37"/>
      <c r="H12" s="21"/>
      <c r="J12" s="19" t="str">
        <f>VLOOKUP(D12,[1]!Dictionary[#All],3,FALSE)</f>
        <v>External genitalia</v>
      </c>
      <c r="K12" s="18">
        <f>VLOOKUP(D12,[1]!Dictionary[#All],4,FALSE)</f>
        <v>45643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Genitalia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26</v>
      </c>
      <c r="E13" s="39" t="s">
        <v>26</v>
      </c>
      <c r="F13" s="39" t="s">
        <v>26</v>
      </c>
      <c r="G13" s="37"/>
      <c r="H13" s="21"/>
      <c r="J13" s="19" t="str">
        <f>VLOOKUP(D13,[1]!Dictionary[#All],3,FALSE)</f>
        <v>Small intestine</v>
      </c>
      <c r="K13" s="18">
        <f>VLOOKUP(D13,[1]!Dictionary[#All],4,FALSE)</f>
        <v>7200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Small Bowel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6" t="s">
        <v>23</v>
      </c>
      <c r="E14" s="39" t="s">
        <v>23</v>
      </c>
      <c r="F14" s="39" t="s">
        <v>207</v>
      </c>
      <c r="G14" s="37"/>
      <c r="H14" s="21"/>
      <c r="J14" s="19" t="str">
        <f>VLOOKUP(D14,[1]!Dictionary[#All],3,FALSE)</f>
        <v>Large intestine</v>
      </c>
      <c r="K14" s="18">
        <f>VLOOKUP(D14,[1]!Dictionary[#All],4,FALSE)</f>
        <v>7201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Large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6" t="s">
        <v>32</v>
      </c>
      <c r="E15" s="39" t="s">
        <v>32</v>
      </c>
      <c r="F15" s="38" t="s">
        <v>206</v>
      </c>
      <c r="G15" s="37"/>
      <c r="H15" s="21"/>
      <c r="J15" s="19" t="str">
        <f>VLOOKUP(D15,[1]!Dictionary[#All],3,FALSE)</f>
        <v>Head of right femur</v>
      </c>
      <c r="K15" s="18">
        <f>VLOOKUP(D15,[1]!Dictionary[#All],4,FALSE)</f>
        <v>55011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Femoral Head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6" t="s">
        <v>29</v>
      </c>
      <c r="E16" s="39" t="s">
        <v>29</v>
      </c>
      <c r="F16" s="38" t="s">
        <v>205</v>
      </c>
      <c r="G16" s="37"/>
      <c r="H16" s="21"/>
      <c r="J16" s="19" t="str">
        <f>VLOOKUP(D16,[1]!Dictionary[#All],3,FALSE)</f>
        <v>Head of left femur</v>
      </c>
      <c r="K16" s="18">
        <f>VLOOKUP(D16,[1]!Dictionary[#All],4,FALSE)</f>
        <v>55012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Femoral Head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6" t="s">
        <v>38</v>
      </c>
      <c r="E17" s="39" t="s">
        <v>38</v>
      </c>
      <c r="F17" s="38" t="s">
        <v>38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36" t="s">
        <v>204</v>
      </c>
      <c r="E18" s="39" t="s">
        <v>203</v>
      </c>
      <c r="F18" s="38" t="s">
        <v>202</v>
      </c>
      <c r="G18" s="37"/>
      <c r="H18" s="21"/>
      <c r="J18" s="19" t="str">
        <f>VLOOKUP(D18,[1]!Dictionary[#All],3,FALSE)</f>
        <v>Undefined Normal Tissue</v>
      </c>
      <c r="K18" s="18" t="str">
        <f>VLOOKUP(D18,[1]!Dictionary[#All],4,FALSE)</f>
        <v>NormalTissue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Normal Tissue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36" t="s">
        <v>15</v>
      </c>
      <c r="E19" s="36" t="s">
        <v>15</v>
      </c>
      <c r="F19" s="38" t="s">
        <v>201</v>
      </c>
      <c r="G19" s="37"/>
      <c r="H19" s="21"/>
      <c r="J19" s="19" t="str">
        <f>VLOOKUP(D19,[1]!Dictionary[#All],3,FALSE)</f>
        <v>Right ilium</v>
      </c>
      <c r="K19" s="18">
        <f>VLOOKUP(D19,[1]!Dictionary[#All],4,FALSE)</f>
        <v>16590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iliac crest 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>
        <f>IFERROR(VLOOKUP(D19,[1]!SearchCT[#Data],2,FALSE),"")</f>
        <v>200</v>
      </c>
      <c r="U19" s="11">
        <f>IFERROR(VLOOKUP(D19,[1]!SearchCT[#Data],3,FALSE),"")</f>
        <v>2500</v>
      </c>
    </row>
    <row r="20" spans="4:21" x14ac:dyDescent="0.25">
      <c r="D20" s="36" t="s">
        <v>14</v>
      </c>
      <c r="E20" s="36" t="s">
        <v>14</v>
      </c>
      <c r="F20" s="38" t="s">
        <v>200</v>
      </c>
      <c r="G20" s="37"/>
      <c r="H20" s="21"/>
      <c r="J20" s="19" t="str">
        <f>VLOOKUP(D20,[1]!Dictionary[#All],3,FALSE)</f>
        <v>Left ilium</v>
      </c>
      <c r="K20" s="18">
        <f>VLOOKUP(D20,[1]!Dictionary[#All],4,FALSE)</f>
        <v>16591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iliac crest 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>
        <f>IFERROR(VLOOKUP(D20,[1]!SearchCT[#Data],2,FALSE),"")</f>
        <v>200</v>
      </c>
      <c r="U20" s="11">
        <f>IFERROR(VLOOKUP(D20,[1]!SearchCT[#Data],3,FALSE),"")</f>
        <v>2500</v>
      </c>
    </row>
    <row r="21" spans="4:21" x14ac:dyDescent="0.25">
      <c r="D21" s="36" t="s">
        <v>162</v>
      </c>
      <c r="E21" s="39" t="s">
        <v>199</v>
      </c>
      <c r="F21" s="38" t="s">
        <v>198</v>
      </c>
      <c r="G21" s="37"/>
      <c r="H21" s="21"/>
      <c r="J21" s="19" t="str">
        <f>VLOOKUP(D21,[1]!Dictionary[#All],3,FALSE)</f>
        <v>PTV High Risk</v>
      </c>
      <c r="K21" s="18" t="str">
        <f>VLOOKUP(D21,[1]!Dictionary[#All],4,FALSE)</f>
        <v>PTV_High</v>
      </c>
      <c r="L21" s="18" t="str">
        <f>VLOOKUP(D21,[1]!Dictionary[#All],5,FALSE)</f>
        <v>99VMS_STRUCTCODE</v>
      </c>
      <c r="M21" s="17" t="str">
        <f>VLOOKUP(D21,[1]!Dictionary[#All],6,FALSE)</f>
        <v>1.0</v>
      </c>
      <c r="N21" s="16" t="str">
        <f>VLOOKUP(D21,[1]!VolumeType[#All],2,FALSE)</f>
        <v>PTV</v>
      </c>
      <c r="O21" s="15" t="str">
        <f>VLOOKUP(D21,[1]!VolumeType[#All],3,FALSE)</f>
        <v>PTV</v>
      </c>
      <c r="P21" s="14" t="str">
        <f>VLOOKUP(D21,[1]!Colors[#All],3,FALSE)</f>
        <v>z PTV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6" t="s">
        <v>107</v>
      </c>
      <c r="E22" s="39" t="s">
        <v>109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6" t="s">
        <v>107</v>
      </c>
      <c r="E23" s="39" t="s">
        <v>108</v>
      </c>
      <c r="F23" s="38" t="s">
        <v>105</v>
      </c>
      <c r="G23" s="37"/>
      <c r="H23" s="21"/>
      <c r="J23" s="19" t="str">
        <f>VLOOKUP(D23,[1]!Dictionary[#All],3,FALSE)</f>
        <v>Artifact</v>
      </c>
      <c r="K23" s="18">
        <f>VLOOKUP(D23,[1]!Dictionary[#All],4,FALSE)</f>
        <v>11296</v>
      </c>
      <c r="L23" s="18" t="str">
        <f>VLOOKUP(D23,[1]!Dictionary[#All],5,FALSE)</f>
        <v>RADLEX</v>
      </c>
      <c r="M23" s="17">
        <f>VLOOKUP(D23,[1]!Dictionary[#All],6,FALSE)</f>
        <v>3.8</v>
      </c>
      <c r="N23" s="16" t="str">
        <f>VLOOKUP(D23,[1]!VolumeType[#All],2,FALSE)</f>
        <v>Artifact</v>
      </c>
      <c r="O23" s="15" t="str">
        <f>VLOOKUP(D23,[1]!VolumeType[#All],3,FALSE)</f>
        <v>None</v>
      </c>
      <c r="P23" s="14" t="str">
        <f>VLOOKUP(D23,[1]!Colors[#All],3,FALSE)</f>
        <v>z RO Helper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ht="15.75" thickBot="1" x14ac:dyDescent="0.3">
      <c r="D24" s="36" t="s">
        <v>107</v>
      </c>
      <c r="E24" s="39" t="s">
        <v>106</v>
      </c>
      <c r="F24" s="38" t="s">
        <v>105</v>
      </c>
      <c r="G24" s="37"/>
      <c r="H24" s="21"/>
      <c r="J24" s="10" t="str">
        <f>VLOOKUP(D24,[1]!Dictionary[#All],3,FALSE)</f>
        <v>Artifact</v>
      </c>
      <c r="K24" s="9">
        <f>VLOOKUP(D24,[1]!Dictionary[#All],4,FALSE)</f>
        <v>11296</v>
      </c>
      <c r="L24" s="9" t="str">
        <f>VLOOKUP(D24,[1]!Dictionary[#All],5,FALSE)</f>
        <v>RADLEX</v>
      </c>
      <c r="M24" s="8">
        <f>VLOOKUP(D24,[1]!Dictionary[#All],6,FALSE)</f>
        <v>3.8</v>
      </c>
      <c r="N24" s="7" t="str">
        <f>VLOOKUP(D24,[1]!VolumeType[#All],2,FALSE)</f>
        <v>Artifact</v>
      </c>
      <c r="O24" s="6" t="str">
        <f>VLOOKUP(D24,[1]!VolumeType[#All],3,FALSE)</f>
        <v>None</v>
      </c>
      <c r="P24" s="5" t="str">
        <f>VLOOKUP(D24,[1]!Colors[#All],3,FALSE)</f>
        <v>z RO Helper</v>
      </c>
      <c r="Q24" s="3" t="str">
        <f>IFERROR(VLOOKUP(D24,[1]!DVH_lines[#Data],2,FALSE),"")</f>
        <v/>
      </c>
      <c r="R24" s="4" t="str">
        <f>IFERROR(VLOOKUP(D24,[1]!DVH_lines[#Data],3,FALSE),"")</f>
        <v/>
      </c>
      <c r="S24" s="2" t="str">
        <f>IFERROR(VLOOKUP(D24,[1]!DVH_lines[#Data],4,FALSE),"")</f>
        <v/>
      </c>
      <c r="T24" s="3" t="str">
        <f>IFERROR(VLOOKUP(D24,[1]!SearchCT[#Data],2,FALSE),"")</f>
        <v/>
      </c>
      <c r="U24" s="2" t="str">
        <f>IFERROR(VLOOKUP(D24,[1]!SearchCT[#Data],3,FALSE),"")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D9" sqref="D9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245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245</v>
      </c>
      <c r="C3" s="22"/>
      <c r="D3" s="36" t="s">
        <v>38</v>
      </c>
      <c r="E3" s="39" t="s">
        <v>38</v>
      </c>
      <c r="F3" s="38" t="s">
        <v>37</v>
      </c>
      <c r="G3" s="37"/>
      <c r="H3" s="21"/>
      <c r="J3" s="19" t="str">
        <f>VLOOKUP(D3,[1]!Dictionary[#All],3,FALSE)</f>
        <v>Urinary bladder</v>
      </c>
      <c r="K3" s="18">
        <f>VLOOKUP(D3,[1]!Dictionary[#All],4,FALSE)</f>
        <v>15900</v>
      </c>
      <c r="L3" s="18" t="str">
        <f>VLOOKUP(D3,[1]!Dictionary[#All],5,FALSE)</f>
        <v>FMA</v>
      </c>
      <c r="M3" s="17" t="str">
        <f>VLOOKUP(D3,[1]!Dictionary[#All],6,FALSE)</f>
        <v>3.2</v>
      </c>
      <c r="N3" s="16" t="str">
        <f>VLOOKUP(D3,[1]!VolumeType[#All],2,FALSE)</f>
        <v>Organ</v>
      </c>
      <c r="O3" s="15" t="str">
        <f>VLOOKUP(D3,[1]!VolumeType[#All],3,FALSE)</f>
        <v>Organ</v>
      </c>
      <c r="P3" s="14" t="str">
        <f>VLOOKUP(D3,[1]!Colors[#All],3,FALSE)</f>
        <v>z Bladder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20</v>
      </c>
      <c r="U3" s="11">
        <f>IFERROR(VLOOKUP(D3,[1]!SearchCT[#Data],3,FALSE),"")</f>
        <v>80</v>
      </c>
    </row>
    <row r="4" spans="1:21" x14ac:dyDescent="0.25">
      <c r="A4" s="46" t="s">
        <v>277</v>
      </c>
      <c r="B4" s="1" t="s">
        <v>36</v>
      </c>
      <c r="C4" s="22"/>
      <c r="D4" s="40" t="s">
        <v>127</v>
      </c>
      <c r="E4" s="39" t="s">
        <v>127</v>
      </c>
      <c r="F4" s="38" t="s">
        <v>127</v>
      </c>
      <c r="G4" s="37"/>
      <c r="H4" s="21"/>
      <c r="J4" s="19" t="str">
        <f>VLOOKUP(D4,[1]!Dictionary[#All],3,FALSE)</f>
        <v>Body</v>
      </c>
      <c r="K4" s="18" t="str">
        <f>VLOOKUP(D4,[1]!Dictionary[#All],4,FALSE)</f>
        <v>BODY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BODY</v>
      </c>
      <c r="P4" s="14" t="str">
        <f>VLOOKUP(D4,[1]!Colors[#All],3,FALSE)</f>
        <v>z Body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>
        <f>IFERROR(VLOOKUP(D4,[1]!SearchCT[#Data],2,FALSE),"")</f>
        <v>-350</v>
      </c>
      <c r="U4" s="11">
        <f>IFERROR(VLOOKUP(D4,[1]!SearchCT[#Data],3,FALSE),"")</f>
        <v>-50</v>
      </c>
    </row>
    <row r="5" spans="1:21" x14ac:dyDescent="0.25">
      <c r="A5" s="46" t="s">
        <v>34</v>
      </c>
      <c r="B5" s="1" t="s">
        <v>245</v>
      </c>
      <c r="C5" s="22"/>
      <c r="D5" s="40" t="s">
        <v>229</v>
      </c>
      <c r="E5" s="39" t="s">
        <v>229</v>
      </c>
      <c r="F5" s="38" t="s">
        <v>228</v>
      </c>
      <c r="G5" s="37"/>
      <c r="H5" s="21"/>
      <c r="J5" s="19" t="str">
        <f>VLOOKUP(D5,[1]!Dictionary[#All],3,FALSE)</f>
        <v>Bone marrow</v>
      </c>
      <c r="K5" s="18">
        <f>VLOOKUP(D5,[1]!Dictionary[#All],4,FALSE)</f>
        <v>9608</v>
      </c>
      <c r="L5" s="18" t="str">
        <f>VLOOKUP(D5,[1]!Dictionary[#All],5,FALSE)</f>
        <v>FMA</v>
      </c>
      <c r="M5" s="17" t="str">
        <f>VLOOKUP(D5,[1]!Dictionary[#All],6,FALSE)</f>
        <v>3.2</v>
      </c>
      <c r="N5" s="16" t="str">
        <f>VLOOKUP(D5,[1]!VolumeType[#All],2,FALSE)</f>
        <v>Organ</v>
      </c>
      <c r="O5" s="15" t="str">
        <f>VLOOKUP(D5,[1]!VolumeType[#All],3,FALSE)</f>
        <v>Organ</v>
      </c>
      <c r="P5" s="14" t="str">
        <f>VLOOKUP(D5,[1]!Colors[#All],3,FALSE)</f>
        <v>z Bone Marrow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40" t="s">
        <v>13</v>
      </c>
      <c r="E6" s="39" t="s">
        <v>246</v>
      </c>
      <c r="F6" s="38" t="s">
        <v>12</v>
      </c>
      <c r="G6" s="37"/>
      <c r="H6" s="21"/>
      <c r="J6" s="19" t="str">
        <f>VLOOKUP(D6,[1]!Dictionary[#All],3,FALSE)</f>
        <v>Intestine</v>
      </c>
      <c r="K6" s="18">
        <f>VLOOKUP(D6,[1]!Dictionary[#All],4,FALSE)</f>
        <v>7199</v>
      </c>
      <c r="L6" s="18" t="str">
        <f>VLOOKUP(D6,[1]!Dictionary[#All],5,FALSE)</f>
        <v>FMA</v>
      </c>
      <c r="M6" s="17" t="str">
        <f>VLOOKUP(D6,[1]!Dictionary[#All],6,FALSE)</f>
        <v>3.2</v>
      </c>
      <c r="N6" s="16" t="str">
        <f>VLOOKUP(D6,[1]!VolumeType[#All],2,FALSE)</f>
        <v>Organ</v>
      </c>
      <c r="O6" s="15" t="str">
        <f>VLOOKUP(D6,[1]!VolumeType[#All],3,FALSE)</f>
        <v>Organ</v>
      </c>
      <c r="P6" s="14" t="str">
        <f>VLOOKUP(D6,[1]!Colors[#All],3,FALSE)</f>
        <v>z Bowel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B7" s="1" t="s">
        <v>247</v>
      </c>
      <c r="D7" s="40" t="s">
        <v>178</v>
      </c>
      <c r="E7" s="39" t="s">
        <v>249</v>
      </c>
      <c r="F7" s="38" t="s">
        <v>250</v>
      </c>
      <c r="G7" s="37"/>
      <c r="H7" s="21"/>
      <c r="J7" s="19" t="str">
        <f>VLOOKUP(D7,[1]!Dictionary[#All],3,FALSE)</f>
        <v>CTV Intermediate Risk</v>
      </c>
      <c r="K7" s="18" t="str">
        <f>VLOOKUP(D7,[1]!Dictionary[#All],4,FALSE)</f>
        <v>CTV_Intermediate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 int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176</v>
      </c>
      <c r="D8" s="40" t="s">
        <v>185</v>
      </c>
      <c r="E8" s="39" t="s">
        <v>185</v>
      </c>
      <c r="F8" s="38" t="s">
        <v>244</v>
      </c>
      <c r="G8" s="37"/>
      <c r="H8" s="21"/>
      <c r="J8" s="19" t="str">
        <f>VLOOKUP(D8,[1]!Dictionary[#All],3,FALSE)</f>
        <v>CTV Intermediate Risk</v>
      </c>
      <c r="K8" s="18" t="str">
        <f>VLOOKUP(D8,[1]!Dictionary[#All],4,FALSE)</f>
        <v>CTV_Intermediate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CTV</v>
      </c>
      <c r="O8" s="15" t="str">
        <f>VLOOKUP(D8,[1]!VolumeType[#All],3,FALSE)</f>
        <v>Nodes</v>
      </c>
      <c r="P8" s="14" t="str">
        <f>VLOOKUP(D8,[1]!Colors[#All],3,FALSE)</f>
        <v>z CTV int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40" t="s">
        <v>165</v>
      </c>
      <c r="E9" s="39" t="s">
        <v>243</v>
      </c>
      <c r="F9" s="38" t="s">
        <v>242</v>
      </c>
      <c r="G9" s="37"/>
      <c r="H9" s="21"/>
      <c r="J9" s="19" t="str">
        <f>VLOOKUP(D9,[1]!Dictionary[#All],3,FALSE)</f>
        <v>CTV High Risk</v>
      </c>
      <c r="K9" s="18" t="str">
        <f>VLOOKUP(D9,[1]!Dictionary[#All],4,FALSE)</f>
        <v>CTV_High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CTV</v>
      </c>
      <c r="O9" s="15" t="str">
        <f>VLOOKUP(D9,[1]!VolumeType[#All],3,FALSE)</f>
        <v>CTV</v>
      </c>
      <c r="P9" s="14" t="str">
        <f>VLOOKUP(D9,[1]!Colors[#All],3,FALSE)</f>
        <v>z CTV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126</v>
      </c>
      <c r="E10" s="39" t="s">
        <v>126</v>
      </c>
      <c r="F10" s="38" t="s">
        <v>125</v>
      </c>
      <c r="G10" s="37" t="s">
        <v>180</v>
      </c>
      <c r="H10" s="21" t="s">
        <v>123</v>
      </c>
      <c r="J10" s="19" t="str">
        <f>VLOOKUP(D10,[1]!Dictionary[#All],3,FALSE)</f>
        <v>Treated Volume</v>
      </c>
      <c r="K10" s="18" t="str">
        <f>VLOOKUP(D10,[1]!Dictionary[#All],4,FALSE)</f>
        <v>Treated Volume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Special</v>
      </c>
      <c r="O10" s="15" t="str">
        <f>VLOOKUP(D10,[1]!VolumeType[#All],3,FALSE)</f>
        <v>PTV</v>
      </c>
      <c r="P10" s="14" t="str">
        <f>VLOOKUP(D10,[1]!Colors[#All],3,FALSE)</f>
        <v>z DPV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274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32</v>
      </c>
      <c r="E12" s="39" t="s">
        <v>175</v>
      </c>
      <c r="F12" s="38" t="s">
        <v>31</v>
      </c>
      <c r="G12" s="37"/>
      <c r="H12" s="21"/>
      <c r="J12" s="19" t="str">
        <f>VLOOKUP(D12,[1]!Dictionary[#All],3,FALSE)</f>
        <v>Head of right femur</v>
      </c>
      <c r="K12" s="18">
        <f>VLOOKUP(D12,[1]!Dictionary[#All],4,FALSE)</f>
        <v>55011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121</v>
      </c>
      <c r="E13" s="39" t="s">
        <v>121</v>
      </c>
      <c r="F13" s="38" t="s">
        <v>120</v>
      </c>
      <c r="G13" s="37"/>
      <c r="H13" s="21"/>
      <c r="J13" s="19" t="str">
        <f>VLOOKUP(D13,[1]!Dictionary[#All],3,FALSE)</f>
        <v>GTV Primary</v>
      </c>
      <c r="K13" s="18" t="str">
        <f>VLOOKUP(D13,[1]!Dictionary[#All],4,FALSE)</f>
        <v>GTVp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GTV</v>
      </c>
      <c r="O13" s="15" t="str">
        <f>VLOOKUP(D13,[1]!VolumeType[#All],3,FALSE)</f>
        <v>GTV</v>
      </c>
      <c r="P13" s="14" t="str">
        <f>VLOOKUP(D13,[1]!Colors[#All],3,FALSE)</f>
        <v>z GTV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241</v>
      </c>
      <c r="E14" s="39" t="s">
        <v>248</v>
      </c>
      <c r="F14" s="38" t="s">
        <v>240</v>
      </c>
      <c r="G14" s="37"/>
      <c r="H14" s="21"/>
      <c r="J14" s="19" t="str">
        <f>VLOOKUP(D14,[1]!Dictionary[#All],3,FALSE)</f>
        <v>ITV</v>
      </c>
      <c r="K14" s="18" t="str">
        <f>VLOOKUP(D14,[1]!Dictionary[#All],4,FALSE)</f>
        <v>ITV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CTV</v>
      </c>
      <c r="O14" s="15" t="str">
        <f>VLOOKUP(D14,[1]!VolumeType[#All],3,FALSE)</f>
        <v>CTV</v>
      </c>
      <c r="P14" s="14" t="str">
        <f>VLOOKUP(D14,[1]!Colors[#All],3,FALSE)</f>
        <v>z ITV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233</v>
      </c>
      <c r="E15" s="39" t="s">
        <v>233</v>
      </c>
      <c r="F15" s="38" t="s">
        <v>232</v>
      </c>
      <c r="G15" s="37"/>
      <c r="H15" s="21"/>
      <c r="J15" s="19" t="str">
        <f>VLOOKUP(D15,[1]!Dictionary[#All],3,FALSE)</f>
        <v>Kidney</v>
      </c>
      <c r="K15" s="18">
        <f>VLOOKUP(D15,[1]!Dictionary[#All],4,FALSE)</f>
        <v>7203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Kidney B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171</v>
      </c>
      <c r="E16" s="39" t="s">
        <v>171</v>
      </c>
      <c r="F16" s="38" t="s">
        <v>170</v>
      </c>
      <c r="G16" s="37"/>
      <c r="H16" s="21"/>
      <c r="J16" s="19" t="str">
        <f>VLOOKUP(D16,[1]!Dictionary[#All],3,FALSE)</f>
        <v>Left kidney</v>
      </c>
      <c r="K16" s="18">
        <f>VLOOKUP(D16,[1]!Dictionary[#All],4,FALSE)</f>
        <v>7205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Kidney 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169</v>
      </c>
      <c r="E17" s="39" t="s">
        <v>169</v>
      </c>
      <c r="F17" s="38" t="s">
        <v>168</v>
      </c>
      <c r="G17" s="37"/>
      <c r="H17" s="21"/>
      <c r="J17" s="19" t="str">
        <f>VLOOKUP(D17,[1]!Dictionary[#All],3,FALSE)</f>
        <v>Right kidney</v>
      </c>
      <c r="K17" s="18">
        <f>VLOOKUP(D17,[1]!Dictionary[#All],4,FALSE)</f>
        <v>7204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84</v>
      </c>
      <c r="E18" s="39" t="s">
        <v>84</v>
      </c>
      <c r="F18" s="38" t="s">
        <v>83</v>
      </c>
      <c r="G18" s="37"/>
      <c r="H18" s="21"/>
      <c r="J18" s="19" t="str">
        <f>VLOOKUP(D18,[1]!Dictionary[#All],3,FALSE)</f>
        <v>Right external iliac lymphatic chain</v>
      </c>
      <c r="K18" s="18">
        <f>VLOOKUP(D18,[1]!Dictionary[#All],4,FALSE)</f>
        <v>229179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82</v>
      </c>
      <c r="E19" s="39" t="s">
        <v>82</v>
      </c>
      <c r="F19" s="38" t="s">
        <v>81</v>
      </c>
      <c r="G19" s="37"/>
      <c r="H19" s="21"/>
      <c r="J19" s="19" t="str">
        <f>VLOOKUP(D19,[1]!Dictionary[#All],3,FALSE)</f>
        <v>Left external iliac lymphatic chain</v>
      </c>
      <c r="K19" s="18">
        <f>VLOOKUP(D19,[1]!Dictionary[#All],4,FALSE)</f>
        <v>229181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CTV</v>
      </c>
      <c r="O19" s="15" t="str">
        <f>VLOOKUP(D19,[1]!VolumeType[#All],3,FALSE)</f>
        <v>Nodes</v>
      </c>
      <c r="P19" s="14" t="str">
        <f>VLOOKUP(D19,[1]!Colors[#All],3,FALSE)</f>
        <v>zNode extiliac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103</v>
      </c>
      <c r="E20" s="39" t="s">
        <v>103</v>
      </c>
      <c r="F20" s="38" t="s">
        <v>110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101</v>
      </c>
      <c r="E21" s="39" t="s">
        <v>101</v>
      </c>
      <c r="F21" s="38" t="s">
        <v>111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40" t="s">
        <v>173</v>
      </c>
      <c r="E22" s="39" t="s">
        <v>173</v>
      </c>
      <c r="F22" s="38" t="s">
        <v>172</v>
      </c>
      <c r="G22" s="37"/>
      <c r="H22" s="21"/>
      <c r="J22" s="19" t="str">
        <f>VLOOKUP(D22,[1]!Dictionary[#All],3,FALSE)</f>
        <v>Parietal lumbar lymph node</v>
      </c>
      <c r="K22" s="18" t="str">
        <f>VLOOKUP(D22,[1]!Dictionary[#All],4,FALSE)</f>
        <v>84599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ParaAortic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194</v>
      </c>
      <c r="E23" s="39" t="s">
        <v>193</v>
      </c>
      <c r="F23" s="38" t="s">
        <v>192</v>
      </c>
      <c r="G23" s="37"/>
      <c r="H23" s="21"/>
      <c r="J23" s="19" t="str">
        <f>VLOOKUP(D23,[1]!Dictionary[#All],3,FALSE)</f>
        <v>Bladder sub PTVs</v>
      </c>
      <c r="K23" s="18" t="str">
        <f>VLOOKUP(D23,[1]!Dictionary[#All],4,FALSE)</f>
        <v>bladder-ptvs</v>
      </c>
      <c r="L23" s="18" t="str">
        <f>VLOOKUP(D23,[1]!Dictionary[#All],5,FALSE)</f>
        <v>99VMS_STRUCTCODE</v>
      </c>
      <c r="M23" s="17" t="str">
        <f>VLOOKUP(D23,[1]!Dictionary[#All],6,FALSE)</f>
        <v>1.0</v>
      </c>
      <c r="N23" s="16" t="str">
        <f>VLOOKUP(D23,[1]!VolumeType[#All],2,FALSE)</f>
        <v>Control</v>
      </c>
      <c r="O23" s="15" t="str">
        <f>VLOOKUP(D23,[1]!VolumeType[#All],3,FALSE)</f>
        <v>Avoidance</v>
      </c>
      <c r="P23" s="14" t="str">
        <f>VLOOKUP(D23,[1]!Colors[#All],3,FALSE)</f>
        <v>z Bladder</v>
      </c>
      <c r="Q23" s="12">
        <f>IFERROR(VLOOKUP(D23,[1]!DVH_lines[#Data],2,FALSE),"")</f>
        <v>-16777216</v>
      </c>
      <c r="R23" s="13">
        <f>IFERROR(VLOOKUP(D23,[1]!DVH_lines[#Data],3,FALSE),"")</f>
        <v>1</v>
      </c>
      <c r="S23" s="11">
        <f>IFERROR(VLOOKUP(D23,[1]!DVH_lines[#Data],4,FALSE),"")</f>
        <v>3</v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227</v>
      </c>
      <c r="E24" s="39" t="s">
        <v>226</v>
      </c>
      <c r="F24" s="38" t="s">
        <v>225</v>
      </c>
      <c r="G24" s="37"/>
      <c r="H24" s="21"/>
      <c r="J24" s="19" t="str">
        <f>VLOOKUP(D24,[1]!Dictionary[#All],3,FALSE)</f>
        <v>Bone marrow</v>
      </c>
      <c r="K24" s="18">
        <f>VLOOKUP(D24,[1]!Dictionary[#All],4,FALSE)</f>
        <v>9608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Control</v>
      </c>
      <c r="O24" s="15" t="str">
        <f>VLOOKUP(D24,[1]!VolumeType[#All],3,FALSE)</f>
        <v>Avoidance</v>
      </c>
      <c r="P24" s="14" t="str">
        <f>VLOOKUP(D24,[1]!Colors[#All],3,FALSE)</f>
        <v>z Bone Marrow opt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40" t="s">
        <v>231</v>
      </c>
      <c r="E25" s="39" t="s">
        <v>230</v>
      </c>
      <c r="F25" s="38" t="s">
        <v>230</v>
      </c>
      <c r="G25" s="37"/>
      <c r="H25" s="21"/>
      <c r="J25" s="19" t="str">
        <f>VLOOKUP(D25,[1]!Dictionary[#All],3,FALSE)</f>
        <v>Intestine</v>
      </c>
      <c r="K25" s="18">
        <f>VLOOKUP(D25,[1]!Dictionary[#All],4,FALSE)</f>
        <v>7199</v>
      </c>
      <c r="L25" s="18" t="str">
        <f>VLOOKUP(D25,[1]!Dictionary[#All],5,FALSE)</f>
        <v>FMA</v>
      </c>
      <c r="M25" s="17" t="str">
        <f>VLOOKUP(D25,[1]!Dictionary[#All],6,FALSE)</f>
        <v>3.2</v>
      </c>
      <c r="N25" s="16" t="str">
        <f>VLOOKUP(D25,[1]!VolumeType[#All],2,FALSE)</f>
        <v>Control</v>
      </c>
      <c r="O25" s="15" t="str">
        <f>VLOOKUP(D25,[1]!VolumeType[#All],3,FALSE)</f>
        <v>Avoidance</v>
      </c>
      <c r="P25" s="14" t="str">
        <f>VLOOKUP(D25,[1]!Colors[#All],3,FALSE)</f>
        <v>z Bowel</v>
      </c>
      <c r="Q25" s="12">
        <f>IFERROR(VLOOKUP(D25,[1]!DVH_lines[#Data],2,FALSE),"")</f>
        <v>-16777216</v>
      </c>
      <c r="R25" s="13">
        <f>IFERROR(VLOOKUP(D25,[1]!DVH_lines[#Data],3,FALSE),"")</f>
        <v>1</v>
      </c>
      <c r="S25" s="11">
        <f>IFERROR(VLOOKUP(D25,[1]!DVH_lines[#Data],4,FALSE),"")</f>
        <v>3</v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132</v>
      </c>
      <c r="E26" s="39" t="s">
        <v>131</v>
      </c>
      <c r="F26" s="38" t="s">
        <v>130</v>
      </c>
      <c r="G26" s="37"/>
      <c r="H26" s="21"/>
      <c r="J26" s="19" t="str">
        <f>VLOOKUP(D26,[1]!Dictionary[#All],3,FALSE)</f>
        <v>Rectum</v>
      </c>
      <c r="K26" s="18">
        <f>VLOOKUP(D26,[1]!Dictionary[#All],4,FALSE)</f>
        <v>14544</v>
      </c>
      <c r="L26" s="18" t="str">
        <f>VLOOKUP(D26,[1]!Dictionary[#All],5,FALSE)</f>
        <v>FMA</v>
      </c>
      <c r="M26" s="17" t="str">
        <f>VLOOKUP(D26,[1]!Dictionary[#All],6,FALSE)</f>
        <v>3.2</v>
      </c>
      <c r="N26" s="16" t="str">
        <f>VLOOKUP(D26,[1]!VolumeType[#All],2,FALSE)</f>
        <v>Control</v>
      </c>
      <c r="O26" s="15" t="str">
        <f>VLOOKUP(D26,[1]!VolumeType[#All],3,FALSE)</f>
        <v>Avoidance</v>
      </c>
      <c r="P26" s="14" t="str">
        <f>VLOOKUP(D26,[1]!Colors[#All],3,FALSE)</f>
        <v>z Rectum</v>
      </c>
      <c r="Q26" s="12">
        <f>IFERROR(VLOOKUP(D26,[1]!DVH_lines[#Data],2,FALSE),"")</f>
        <v>-16777216</v>
      </c>
      <c r="R26" s="13">
        <f>IFERROR(VLOOKUP(D26,[1]!DVH_lines[#Data],3,FALSE),"")</f>
        <v>1</v>
      </c>
      <c r="S26" s="11">
        <f>IFERROR(VLOOKUP(D26,[1]!DVH_lines[#Data],4,FALSE),"")</f>
        <v>3</v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40" t="s">
        <v>11</v>
      </c>
      <c r="E27" s="39" t="s">
        <v>11</v>
      </c>
      <c r="F27" s="38" t="s">
        <v>11</v>
      </c>
      <c r="G27" s="37"/>
      <c r="H27" s="21"/>
      <c r="J27" s="19" t="str">
        <f>VLOOKUP(D27,[1]!Dictionary[#All],3,FALSE)</f>
        <v>Presacral space</v>
      </c>
      <c r="K27" s="18">
        <f>VLOOKUP(D27,[1]!Dictionary[#All],4,FALSE)</f>
        <v>265331</v>
      </c>
      <c r="L27" s="18" t="str">
        <f>VLOOKUP(D27,[1]!Dictionary[#All],5,FALSE)</f>
        <v>FMA</v>
      </c>
      <c r="M27" s="17" t="str">
        <f>VLOOKUP(D27,[1]!Dictionary[#All],6,FALSE)</f>
        <v>3.2</v>
      </c>
      <c r="N27" s="16" t="str">
        <f>VLOOKUP(D27,[1]!VolumeType[#All],2,FALSE)</f>
        <v>Organ</v>
      </c>
      <c r="O27" s="15" t="str">
        <f>VLOOKUP(D27,[1]!VolumeType[#All],3,FALSE)</f>
        <v>Organ</v>
      </c>
      <c r="P27" s="14" t="str">
        <f>VLOOKUP(D27,[1]!Colors[#All],3,FALSE)</f>
        <v>z PresacralSpace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x14ac:dyDescent="0.25">
      <c r="D28" s="40" t="s">
        <v>236</v>
      </c>
      <c r="E28" s="39" t="s">
        <v>235</v>
      </c>
      <c r="F28" s="38" t="s">
        <v>234</v>
      </c>
      <c r="G28" s="37"/>
      <c r="H28" s="21"/>
      <c r="J28" s="19" t="str">
        <f>VLOOKUP(D28,[1]!Dictionary[#All],3,FALSE)</f>
        <v>PTV Intermediate Risk</v>
      </c>
      <c r="K28" s="18" t="str">
        <f>VLOOKUP(D28,[1]!Dictionary[#All],4,FALSE)</f>
        <v>PTV_Intermediate</v>
      </c>
      <c r="L28" s="18" t="str">
        <f>VLOOKUP(D28,[1]!Dictionary[#All],5,FALSE)</f>
        <v>99VMS_STRUCTCODE</v>
      </c>
      <c r="M28" s="17" t="str">
        <f>VLOOKUP(D28,[1]!Dictionary[#All],6,FALSE)</f>
        <v>1.0</v>
      </c>
      <c r="N28" s="16" t="str">
        <f>VLOOKUP(D28,[1]!VolumeType[#All],2,FALSE)</f>
        <v>PTV</v>
      </c>
      <c r="O28" s="15" t="str">
        <f>VLOOKUP(D28,[1]!VolumeType[#All],3,FALSE)</f>
        <v>PTV</v>
      </c>
      <c r="P28" s="14" t="str">
        <f>VLOOKUP(D28,[1]!Colors[#All],3,FALSE)</f>
        <v>z PTV int</v>
      </c>
      <c r="Q28" s="12" t="str">
        <f>IFERROR(VLOOKUP(D28,[1]!DVH_lines[#Data],2,FALSE),"")</f>
        <v/>
      </c>
      <c r="R28" s="13" t="str">
        <f>IFERROR(VLOOKUP(D28,[1]!DVH_lines[#Data],3,FALSE),"")</f>
        <v/>
      </c>
      <c r="S28" s="11" t="str">
        <f>IFERROR(VLOOKUP(D28,[1]!DVH_lines[#Data],4,FALSE),"")</f>
        <v/>
      </c>
      <c r="T28" s="12" t="str">
        <f>IFERROR(VLOOKUP(D28,[1]!SearchCT[#Data],2,FALSE),"")</f>
        <v/>
      </c>
      <c r="U28" s="11" t="str">
        <f>IFERROR(VLOOKUP(D28,[1]!SearchCT[#Data],3,FALSE),"")</f>
        <v/>
      </c>
    </row>
    <row r="29" spans="4:21" x14ac:dyDescent="0.25">
      <c r="D29" s="40" t="s">
        <v>183</v>
      </c>
      <c r="E29" s="39" t="s">
        <v>183</v>
      </c>
      <c r="F29" s="38" t="s">
        <v>239</v>
      </c>
      <c r="G29" s="37"/>
      <c r="H29" s="21"/>
      <c r="J29" s="19" t="str">
        <f>VLOOKUP(D29,[1]!Dictionary[#All],3,FALSE)</f>
        <v>PTV Intermediate Risk</v>
      </c>
      <c r="K29" s="18" t="str">
        <f>VLOOKUP(D29,[1]!Dictionary[#All],4,FALSE)</f>
        <v>PTV_Intermediate</v>
      </c>
      <c r="L29" s="18" t="str">
        <f>VLOOKUP(D29,[1]!Dictionary[#All],5,FALSE)</f>
        <v>99VMS_STRUCTCODE</v>
      </c>
      <c r="M29" s="17" t="str">
        <f>VLOOKUP(D29,[1]!Dictionary[#All],6,FALSE)</f>
        <v>1.0</v>
      </c>
      <c r="N29" s="16" t="str">
        <f>VLOOKUP(D29,[1]!VolumeType[#All],2,FALSE)</f>
        <v>PTV</v>
      </c>
      <c r="O29" s="15" t="str">
        <f>VLOOKUP(D29,[1]!VolumeType[#All],3,FALSE)</f>
        <v>PTV</v>
      </c>
      <c r="P29" s="14" t="str">
        <f>VLOOKUP(D29,[1]!Colors[#All],3,FALSE)</f>
        <v>z PTV int</v>
      </c>
      <c r="Q29" s="12" t="str">
        <f>IFERROR(VLOOKUP(D29,[1]!DVH_lines[#Data],2,FALSE),"")</f>
        <v/>
      </c>
      <c r="R29" s="13" t="str">
        <f>IFERROR(VLOOKUP(D29,[1]!DVH_lines[#Data],3,FALSE),"")</f>
        <v/>
      </c>
      <c r="S29" s="11" t="str">
        <f>IFERROR(VLOOKUP(D29,[1]!DVH_lines[#Data],4,FALSE),"")</f>
        <v/>
      </c>
      <c r="T29" s="12" t="str">
        <f>IFERROR(VLOOKUP(D29,[1]!SearchCT[#Data],2,FALSE),"")</f>
        <v/>
      </c>
      <c r="U29" s="11" t="str">
        <f>IFERROR(VLOOKUP(D29,[1]!SearchCT[#Data],3,FALSE),"")</f>
        <v/>
      </c>
    </row>
    <row r="30" spans="4:21" x14ac:dyDescent="0.25">
      <c r="D30" s="40" t="s">
        <v>162</v>
      </c>
      <c r="E30" s="39" t="s">
        <v>238</v>
      </c>
      <c r="F30" s="38" t="s">
        <v>237</v>
      </c>
      <c r="G30" s="37"/>
      <c r="H30" s="21"/>
      <c r="J30" s="19" t="str">
        <f>VLOOKUP(D30,[1]!Dictionary[#All],3,FALSE)</f>
        <v>PTV High Risk</v>
      </c>
      <c r="K30" s="18" t="str">
        <f>VLOOKUP(D30,[1]!Dictionary[#All],4,FALSE)</f>
        <v>PTV_High</v>
      </c>
      <c r="L30" s="18" t="str">
        <f>VLOOKUP(D30,[1]!Dictionary[#All],5,FALSE)</f>
        <v>99VMS_STRUCTCODE</v>
      </c>
      <c r="M30" s="17" t="str">
        <f>VLOOKUP(D30,[1]!Dictionary[#All],6,FALSE)</f>
        <v>1.0</v>
      </c>
      <c r="N30" s="16" t="str">
        <f>VLOOKUP(D30,[1]!VolumeType[#All],2,FALSE)</f>
        <v>PTV</v>
      </c>
      <c r="O30" s="15" t="str">
        <f>VLOOKUP(D30,[1]!VolumeType[#All],3,FALSE)</f>
        <v>PTV</v>
      </c>
      <c r="P30" s="14" t="str">
        <f>VLOOKUP(D30,[1]!Colors[#All],3,FALSE)</f>
        <v>z PTV</v>
      </c>
      <c r="Q30" s="12" t="str">
        <f>IFERROR(VLOOKUP(D30,[1]!DVH_lines[#Data],2,FALSE),"")</f>
        <v/>
      </c>
      <c r="R30" s="13" t="str">
        <f>IFERROR(VLOOKUP(D30,[1]!DVH_lines[#Data],3,FALSE),"")</f>
        <v/>
      </c>
      <c r="S30" s="11" t="str">
        <f>IFERROR(VLOOKUP(D30,[1]!DVH_lines[#Data],4,FALSE),"")</f>
        <v/>
      </c>
      <c r="T30" s="12" t="str">
        <f>IFERROR(VLOOKUP(D30,[1]!SearchCT[#Data],2,FALSE),"")</f>
        <v/>
      </c>
      <c r="U30" s="11" t="str">
        <f>IFERROR(VLOOKUP(D30,[1]!SearchCT[#Data],3,FALSE),"")</f>
        <v/>
      </c>
    </row>
    <row r="31" spans="4:21" x14ac:dyDescent="0.25">
      <c r="D31" s="40" t="s">
        <v>35</v>
      </c>
      <c r="E31" s="39" t="s">
        <v>35</v>
      </c>
      <c r="F31" s="38" t="s">
        <v>35</v>
      </c>
      <c r="G31" s="37"/>
      <c r="H31" s="21"/>
      <c r="J31" s="19" t="str">
        <f>VLOOKUP(D31,[1]!Dictionary[#All],3,FALSE)</f>
        <v>Rectum</v>
      </c>
      <c r="K31" s="18">
        <f>VLOOKUP(D31,[1]!Dictionary[#All],4,FALSE)</f>
        <v>14544</v>
      </c>
      <c r="L31" s="18" t="str">
        <f>VLOOKUP(D31,[1]!Dictionary[#All],5,FALSE)</f>
        <v>FMA</v>
      </c>
      <c r="M31" s="17" t="str">
        <f>VLOOKUP(D31,[1]!Dictionary[#All],6,FALSE)</f>
        <v>3.2</v>
      </c>
      <c r="N31" s="16" t="str">
        <f>VLOOKUP(D31,[1]!VolumeType[#All],2,FALSE)</f>
        <v>Organ</v>
      </c>
      <c r="O31" s="15" t="str">
        <f>VLOOKUP(D31,[1]!VolumeType[#All],3,FALSE)</f>
        <v>Organ</v>
      </c>
      <c r="P31" s="14" t="str">
        <f>VLOOKUP(D31,[1]!Colors[#All],3,FALSE)</f>
        <v>z Rectum</v>
      </c>
      <c r="Q31" s="12" t="str">
        <f>IFERROR(VLOOKUP(D31,[1]!DVH_lines[#Data],2,FALSE),"")</f>
        <v/>
      </c>
      <c r="R31" s="13" t="str">
        <f>IFERROR(VLOOKUP(D31,[1]!DVH_lines[#Data],3,FALSE),"")</f>
        <v/>
      </c>
      <c r="S31" s="11" t="str">
        <f>IFERROR(VLOOKUP(D31,[1]!DVH_lines[#Data],4,FALSE),"")</f>
        <v/>
      </c>
      <c r="T31" s="12">
        <f>IFERROR(VLOOKUP(D31,[1]!SearchCT[#Data],2,FALSE),"")</f>
        <v>-20</v>
      </c>
      <c r="U31" s="11">
        <f>IFERROR(VLOOKUP(D31,[1]!SearchCT[#Data],3,FALSE),"")</f>
        <v>40</v>
      </c>
    </row>
    <row r="32" spans="4:21" x14ac:dyDescent="0.25">
      <c r="D32" s="40" t="s">
        <v>26</v>
      </c>
      <c r="E32" s="39" t="s">
        <v>26</v>
      </c>
      <c r="F32" s="38" t="s">
        <v>25</v>
      </c>
      <c r="G32" s="37"/>
      <c r="H32" s="21"/>
      <c r="J32" s="19" t="str">
        <f>VLOOKUP(D32,[1]!Dictionary[#All],3,FALSE)</f>
        <v>Small intestine</v>
      </c>
      <c r="K32" s="18">
        <f>VLOOKUP(D32,[1]!Dictionary[#All],4,FALSE)</f>
        <v>7200</v>
      </c>
      <c r="L32" s="18" t="str">
        <f>VLOOKUP(D32,[1]!Dictionary[#All],5,FALSE)</f>
        <v>FMA</v>
      </c>
      <c r="M32" s="17" t="str">
        <f>VLOOKUP(D32,[1]!Dictionary[#All],6,FALSE)</f>
        <v>3.2</v>
      </c>
      <c r="N32" s="16" t="str">
        <f>VLOOKUP(D32,[1]!VolumeType[#All],2,FALSE)</f>
        <v>Organ</v>
      </c>
      <c r="O32" s="15" t="str">
        <f>VLOOKUP(D32,[1]!VolumeType[#All],3,FALSE)</f>
        <v>Organ</v>
      </c>
      <c r="P32" s="14" t="str">
        <f>VLOOKUP(D32,[1]!Colors[#All],3,FALSE)</f>
        <v>z Small Bowel</v>
      </c>
      <c r="Q32" s="12" t="str">
        <f>IFERROR(VLOOKUP(D32,[1]!DVH_lines[#Data],2,FALSE),"")</f>
        <v/>
      </c>
      <c r="R32" s="13" t="str">
        <f>IFERROR(VLOOKUP(D32,[1]!DVH_lines[#Data],3,FALSE),"")</f>
        <v/>
      </c>
      <c r="S32" s="11" t="str">
        <f>IFERROR(VLOOKUP(D32,[1]!DVH_lines[#Data],4,FALSE),"")</f>
        <v/>
      </c>
      <c r="T32" s="12" t="str">
        <f>IFERROR(VLOOKUP(D32,[1]!SearchCT[#Data],2,FALSE),"")</f>
        <v/>
      </c>
      <c r="U32" s="11" t="str">
        <f>IFERROR(VLOOKUP(D32,[1]!SearchCT[#Data],3,FALSE),"")</f>
        <v/>
      </c>
    </row>
    <row r="33" spans="4:21" x14ac:dyDescent="0.25">
      <c r="D33" s="40" t="s">
        <v>251</v>
      </c>
      <c r="E33" s="39" t="s">
        <v>251</v>
      </c>
      <c r="F33" s="38" t="s">
        <v>251</v>
      </c>
      <c r="G33" s="37"/>
      <c r="H33" s="21"/>
      <c r="J33" s="19" t="str">
        <f>VLOOKUP(D33,[1]!Dictionary[#All],3,FALSE)</f>
        <v>Spinal cord</v>
      </c>
      <c r="K33" s="18">
        <f>VLOOKUP(D33,[1]!Dictionary[#All],4,FALSE)</f>
        <v>7647</v>
      </c>
      <c r="L33" s="18" t="str">
        <f>VLOOKUP(D33,[1]!Dictionary[#All],5,FALSE)</f>
        <v>FMA</v>
      </c>
      <c r="M33" s="17" t="str">
        <f>VLOOKUP(D33,[1]!Dictionary[#All],6,FALSE)</f>
        <v>3.2</v>
      </c>
      <c r="N33" s="16" t="str">
        <f>VLOOKUP(D33,[1]!VolumeType[#All],2,FALSE)</f>
        <v>Organ</v>
      </c>
      <c r="O33" s="15" t="str">
        <f>VLOOKUP(D33,[1]!VolumeType[#All],3,FALSE)</f>
        <v>Organ</v>
      </c>
      <c r="P33" s="14" t="str">
        <f>VLOOKUP(D33,[1]!Colors[#All],3,FALSE)</f>
        <v>z Spinal Canal</v>
      </c>
      <c r="Q33" s="12" t="str">
        <f>IFERROR(VLOOKUP(D33,[1]!DVH_lines[#Data],2,FALSE),"")</f>
        <v/>
      </c>
      <c r="R33" s="13" t="str">
        <f>IFERROR(VLOOKUP(D33,[1]!DVH_lines[#Data],3,FALSE),"")</f>
        <v/>
      </c>
      <c r="S33" s="11" t="str">
        <f>IFERROR(VLOOKUP(D33,[1]!DVH_lines[#Data],4,FALSE),"")</f>
        <v/>
      </c>
      <c r="T33" s="12">
        <f>IFERROR(VLOOKUP(D33,[1]!SearchCT[#Data],2,FALSE),"")</f>
        <v>20</v>
      </c>
      <c r="U33" s="11">
        <f>IFERROR(VLOOKUP(D33,[1]!SearchCT[#Data],3,FALSE),"")</f>
        <v>40</v>
      </c>
    </row>
    <row r="34" spans="4:21" x14ac:dyDescent="0.25">
      <c r="D34" s="40" t="s">
        <v>78</v>
      </c>
      <c r="E34" s="39" t="s">
        <v>253</v>
      </c>
      <c r="F34" s="38" t="s">
        <v>253</v>
      </c>
      <c r="G34" s="37"/>
      <c r="H34" s="21"/>
      <c r="J34" s="19" t="str">
        <f>VLOOKUP(D34,[1]!Dictionary[#All],3,FALSE)</f>
        <v>Vagina</v>
      </c>
      <c r="K34" s="18">
        <f>VLOOKUP(D34,[1]!Dictionary[#All],4,FALSE)</f>
        <v>19949</v>
      </c>
      <c r="L34" s="18" t="str">
        <f>VLOOKUP(D34,[1]!Dictionary[#All],5,FALSE)</f>
        <v>FMA</v>
      </c>
      <c r="M34" s="17" t="str">
        <f>VLOOKUP(D34,[1]!Dictionary[#All],6,FALSE)</f>
        <v>3.2</v>
      </c>
      <c r="N34" s="16" t="str">
        <f>VLOOKUP(D34,[1]!VolumeType[#All],2,FALSE)</f>
        <v>Organ</v>
      </c>
      <c r="O34" s="15" t="str">
        <f>VLOOKUP(D34,[1]!VolumeType[#All],3,FALSE)</f>
        <v>Organ</v>
      </c>
      <c r="P34" s="14" t="str">
        <f>VLOOKUP(D34,[1]!Colors[#All],3,FALSE)</f>
        <v>z Vagina</v>
      </c>
      <c r="Q34" s="12" t="str">
        <f>IFERROR(VLOOKUP(D34,[1]!DVH_lines[#Data],2,FALSE),"")</f>
        <v/>
      </c>
      <c r="R34" s="13" t="str">
        <f>IFERROR(VLOOKUP(D34,[1]!DVH_lines[#Data],3,FALSE),"")</f>
        <v/>
      </c>
      <c r="S34" s="11" t="str">
        <f>IFERROR(VLOOKUP(D34,[1]!DVH_lines[#Data],4,FALSE),"")</f>
        <v/>
      </c>
      <c r="T34" s="12" t="str">
        <f>IFERROR(VLOOKUP(D34,[1]!SearchCT[#Data],2,FALSE),"")</f>
        <v/>
      </c>
      <c r="U34" s="11" t="str">
        <f>IFERROR(VLOOKUP(D34,[1]!SearchCT[#Data],3,FALSE),"")</f>
        <v/>
      </c>
    </row>
    <row r="35" spans="4:21" x14ac:dyDescent="0.25">
      <c r="D35" s="40" t="s">
        <v>78</v>
      </c>
      <c r="E35" s="39" t="s">
        <v>252</v>
      </c>
      <c r="F35" s="38" t="s">
        <v>252</v>
      </c>
      <c r="G35" s="37"/>
      <c r="H35" s="21"/>
      <c r="J35" s="19" t="str">
        <f>VLOOKUP(D35,[1]!Dictionary[#All],3,FALSE)</f>
        <v>Vagina</v>
      </c>
      <c r="K35" s="18">
        <f>VLOOKUP(D35,[1]!Dictionary[#All],4,FALSE)</f>
        <v>19949</v>
      </c>
      <c r="L35" s="18" t="str">
        <f>VLOOKUP(D35,[1]!Dictionary[#All],5,FALSE)</f>
        <v>FMA</v>
      </c>
      <c r="M35" s="17" t="str">
        <f>VLOOKUP(D35,[1]!Dictionary[#All],6,FALSE)</f>
        <v>3.2</v>
      </c>
      <c r="N35" s="16" t="str">
        <f>VLOOKUP(D35,[1]!VolumeType[#All],2,FALSE)</f>
        <v>Organ</v>
      </c>
      <c r="O35" s="15" t="str">
        <f>VLOOKUP(D35,[1]!VolumeType[#All],3,FALSE)</f>
        <v>Organ</v>
      </c>
      <c r="P35" s="14" t="str">
        <f>VLOOKUP(D35,[1]!Colors[#All],3,FALSE)</f>
        <v>z Vagina</v>
      </c>
      <c r="Q35" s="12" t="str">
        <f>IFERROR(VLOOKUP(D35,[1]!DVH_lines[#Data],2,FALSE),"")</f>
        <v/>
      </c>
      <c r="R35" s="13" t="str">
        <f>IFERROR(VLOOKUP(D35,[1]!DVH_lines[#Data],3,FALSE),"")</f>
        <v/>
      </c>
      <c r="S35" s="11" t="str">
        <f>IFERROR(VLOOKUP(D35,[1]!DVH_lines[#Data],4,FALSE),"")</f>
        <v/>
      </c>
      <c r="T35" s="12" t="str">
        <f>IFERROR(VLOOKUP(D35,[1]!SearchCT[#Data],2,FALSE),"")</f>
        <v/>
      </c>
      <c r="U35" s="11" t="str">
        <f>IFERROR(VLOOKUP(D35,[1]!SearchCT[#Data],3,FALSE),"")</f>
        <v/>
      </c>
    </row>
    <row r="36" spans="4:21" x14ac:dyDescent="0.25">
      <c r="D36" s="40" t="s">
        <v>107</v>
      </c>
      <c r="E36" s="39" t="s">
        <v>109</v>
      </c>
      <c r="F36" s="38" t="s">
        <v>105</v>
      </c>
      <c r="G36" s="37"/>
      <c r="H36" s="21"/>
      <c r="J36" s="19" t="str">
        <f>VLOOKUP(D36,[1]!Dictionary[#All],3,FALSE)</f>
        <v>Artifact</v>
      </c>
      <c r="K36" s="18">
        <f>VLOOKUP(D36,[1]!Dictionary[#All],4,FALSE)</f>
        <v>11296</v>
      </c>
      <c r="L36" s="18" t="str">
        <f>VLOOKUP(D36,[1]!Dictionary[#All],5,FALSE)</f>
        <v>RADLEX</v>
      </c>
      <c r="M36" s="17">
        <f>VLOOKUP(D36,[1]!Dictionary[#All],6,FALSE)</f>
        <v>3.8</v>
      </c>
      <c r="N36" s="16" t="str">
        <f>VLOOKUP(D36,[1]!VolumeType[#All],2,FALSE)</f>
        <v>Artifact</v>
      </c>
      <c r="O36" s="15" t="str">
        <f>VLOOKUP(D36,[1]!VolumeType[#All],3,FALSE)</f>
        <v>None</v>
      </c>
      <c r="P36" s="14" t="str">
        <f>VLOOKUP(D36,[1]!Colors[#All],3,FALSE)</f>
        <v>z RO Helper</v>
      </c>
      <c r="Q36" s="12" t="str">
        <f>IFERROR(VLOOKUP(D36,[1]!DVH_lines[#Data],2,FALSE),"")</f>
        <v/>
      </c>
      <c r="R36" s="13" t="str">
        <f>IFERROR(VLOOKUP(D36,[1]!DVH_lines[#Data],3,FALSE),"")</f>
        <v/>
      </c>
      <c r="S36" s="11" t="str">
        <f>IFERROR(VLOOKUP(D36,[1]!DVH_lines[#Data],4,FALSE),"")</f>
        <v/>
      </c>
      <c r="T36" s="12" t="str">
        <f>IFERROR(VLOOKUP(D36,[1]!SearchCT[#Data],2,FALSE),"")</f>
        <v/>
      </c>
      <c r="U36" s="11" t="str">
        <f>IFERROR(VLOOKUP(D36,[1]!SearchCT[#Data],3,FALSE),"")</f>
        <v/>
      </c>
    </row>
    <row r="37" spans="4:21" x14ac:dyDescent="0.25">
      <c r="D37" s="40" t="s">
        <v>107</v>
      </c>
      <c r="E37" s="39" t="s">
        <v>108</v>
      </c>
      <c r="F37" s="38" t="s">
        <v>105</v>
      </c>
      <c r="G37" s="37"/>
      <c r="H37" s="21"/>
      <c r="J37" s="19" t="str">
        <f>VLOOKUP(D37,[1]!Dictionary[#All],3,FALSE)</f>
        <v>Artifact</v>
      </c>
      <c r="K37" s="18">
        <f>VLOOKUP(D37,[1]!Dictionary[#All],4,FALSE)</f>
        <v>11296</v>
      </c>
      <c r="L37" s="18" t="str">
        <f>VLOOKUP(D37,[1]!Dictionary[#All],5,FALSE)</f>
        <v>RADLEX</v>
      </c>
      <c r="M37" s="17">
        <f>VLOOKUP(D37,[1]!Dictionary[#All],6,FALSE)</f>
        <v>3.8</v>
      </c>
      <c r="N37" s="16" t="str">
        <f>VLOOKUP(D37,[1]!VolumeType[#All],2,FALSE)</f>
        <v>Artifact</v>
      </c>
      <c r="O37" s="15" t="str">
        <f>VLOOKUP(D37,[1]!VolumeType[#All],3,FALSE)</f>
        <v>None</v>
      </c>
      <c r="P37" s="14" t="str">
        <f>VLOOKUP(D37,[1]!Colors[#All],3,FALSE)</f>
        <v>z RO Helper</v>
      </c>
      <c r="Q37" s="12" t="str">
        <f>IFERROR(VLOOKUP(D37,[1]!DVH_lines[#Data],2,FALSE),"")</f>
        <v/>
      </c>
      <c r="R37" s="13" t="str">
        <f>IFERROR(VLOOKUP(D37,[1]!DVH_lines[#Data],3,FALSE),"")</f>
        <v/>
      </c>
      <c r="S37" s="11" t="str">
        <f>IFERROR(VLOOKUP(D37,[1]!DVH_lines[#Data],4,FALSE),"")</f>
        <v/>
      </c>
      <c r="T37" s="12" t="str">
        <f>IFERROR(VLOOKUP(D37,[1]!SearchCT[#Data],2,FALSE),"")</f>
        <v/>
      </c>
      <c r="U37" s="11" t="str">
        <f>IFERROR(VLOOKUP(D37,[1]!SearchCT[#Data],3,FALSE),"")</f>
        <v/>
      </c>
    </row>
    <row r="38" spans="4:21" ht="15.75" thickBot="1" x14ac:dyDescent="0.3">
      <c r="D38" s="1" t="s">
        <v>107</v>
      </c>
      <c r="E38" s="39" t="s">
        <v>106</v>
      </c>
      <c r="F38" s="38" t="s">
        <v>105</v>
      </c>
      <c r="G38" s="37"/>
      <c r="H38" s="21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5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5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85546875" style="1" bestFit="1" customWidth="1"/>
    <col min="3" max="3" width="5.42578125" style="1" customWidth="1"/>
    <col min="4" max="5" width="13.5703125" style="1" bestFit="1" customWidth="1"/>
    <col min="6" max="6" width="19.85546875" style="1" bestFit="1" customWidth="1"/>
    <col min="7" max="7" width="5.85546875" style="1" bestFit="1" customWidth="1"/>
    <col min="8" max="8" width="19.8554687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72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71</v>
      </c>
      <c r="C3" s="22"/>
      <c r="D3" t="s">
        <v>70</v>
      </c>
      <c r="E3" t="s">
        <v>70</v>
      </c>
      <c r="F3" t="s">
        <v>69</v>
      </c>
      <c r="H3" s="19" t="str">
        <f>VLOOKUP(Table533353756606264[[#This Row],[Structure]],[1]!Dictionary[#All],3,FALSE)</f>
        <v>Left seminal vesicle</v>
      </c>
      <c r="I3" s="18">
        <f>VLOOKUP(Table533353756606264[[#This Row],[Structure]],[1]!Dictionary[#All],4,FALSE)</f>
        <v>19388</v>
      </c>
      <c r="J3" s="18" t="str">
        <f>VLOOKUP(Table533353756606264[[#This Row],[Structure]],[1]!Dictionary[#All],5,FALSE)</f>
        <v>FMA</v>
      </c>
      <c r="K3" s="17" t="str">
        <f>VLOOKUP(Table533353756606264[[#This Row],[Structure]],[1]!Dictionary[#All],6,FALSE)</f>
        <v>3.2</v>
      </c>
      <c r="L3" s="16" t="str">
        <f>VLOOKUP(Table533353756606264[[#This Row],[Structure]],[1]!VolumeType[#All],2,FALSE)</f>
        <v>Organ</v>
      </c>
      <c r="M3" s="15" t="str">
        <f>VLOOKUP(Table533353756606264[[#This Row],[Structure]],[1]!VolumeType[#All],3,FALSE)</f>
        <v>Organ</v>
      </c>
      <c r="N3" s="14" t="str">
        <f>VLOOKUP(Table533353756606264[[#This Row],[Structure]],[1]!Colors[#All],3,FALSE)</f>
        <v>z Seminal Ves L</v>
      </c>
      <c r="O3" s="12" t="str">
        <f>IFERROR(VLOOKUP(Table533353756606264[[#This Row],[Structure]],[1]!DVH_lines[#Data],2,FALSE),"")</f>
        <v/>
      </c>
      <c r="P3" s="13" t="str">
        <f>IFERROR(VLOOKUP(Table533353756606264[[#This Row],[Structure]],[1]!DVH_lines[#Data],3,FALSE),"")</f>
        <v/>
      </c>
      <c r="Q3" s="11" t="str">
        <f>IFERROR(VLOOKUP(Table533353756606264[[#This Row],[Structure]],[1]!DVH_lines[#Data],4,FALSE),"")</f>
        <v/>
      </c>
      <c r="R3" s="12" t="str">
        <f>IFERROR(VLOOKUP(Table533353756606264[[#This Row],[Structure]],[1]!SearchCT[#Data],2,FALSE),"")</f>
        <v/>
      </c>
      <c r="S3" s="11" t="str">
        <f>IFERROR(VLOOKUP(Table533353756606264[[#This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68</v>
      </c>
      <c r="E4" t="s">
        <v>68</v>
      </c>
      <c r="F4" t="s">
        <v>67</v>
      </c>
      <c r="H4" s="19" t="str">
        <f>VLOOKUP(Table533353756606264[[#This Row],[Structure]],[1]!Dictionary[#All],3,FALSE)</f>
        <v>Right seminal vesicle</v>
      </c>
      <c r="I4" s="18">
        <f>VLOOKUP(Table533353756606264[[#This Row],[Structure]],[1]!Dictionary[#All],4,FALSE)</f>
        <v>19387</v>
      </c>
      <c r="J4" s="18" t="str">
        <f>VLOOKUP(Table533353756606264[[#This Row],[Structure]],[1]!Dictionary[#All],5,FALSE)</f>
        <v>FMA</v>
      </c>
      <c r="K4" s="17" t="str">
        <f>VLOOKUP(Table533353756606264[[#This Row],[Structure]],[1]!Dictionary[#All],6,FALSE)</f>
        <v>3.2</v>
      </c>
      <c r="L4" s="16" t="str">
        <f>VLOOKUP(Table533353756606264[[#This Row],[Structure]],[1]!VolumeType[#All],2,FALSE)</f>
        <v>Organ</v>
      </c>
      <c r="M4" s="15" t="str">
        <f>VLOOKUP(Table533353756606264[[#This Row],[Structure]],[1]!VolumeType[#All],3,FALSE)</f>
        <v>Organ</v>
      </c>
      <c r="N4" s="14" t="str">
        <f>VLOOKUP(Table533353756606264[[#This Row],[Structure]],[1]!Colors[#All],3,FALSE)</f>
        <v>z Seminal Ves R</v>
      </c>
      <c r="O4" s="12" t="str">
        <f>IFERROR(VLOOKUP(Table533353756606264[[#This Row],[Structure]],[1]!DVH_lines[#Data],2,FALSE),"")</f>
        <v/>
      </c>
      <c r="P4" s="13" t="str">
        <f>IFERROR(VLOOKUP(Table533353756606264[[#This Row],[Structure]],[1]!DVH_lines[#Data],3,FALSE),"")</f>
        <v/>
      </c>
      <c r="Q4" s="11" t="str">
        <f>IFERROR(VLOOKUP(Table533353756606264[[#This Row],[Structure]],[1]!DVH_lines[#Data],4,FALSE),"")</f>
        <v/>
      </c>
      <c r="R4" s="12" t="str">
        <f>IFERROR(VLOOKUP(Table533353756606264[[#This Row],[Structure]],[1]!SearchCT[#Data],2,FALSE),"")</f>
        <v/>
      </c>
      <c r="S4" s="11" t="str">
        <f>IFERROR(VLOOKUP(Table533353756606264[[#This Row],[Structure]],[1]!SearchCT[#Data],3,FALSE),"")</f>
        <v/>
      </c>
    </row>
    <row r="5" spans="1:19" x14ac:dyDescent="0.25">
      <c r="A5" s="46" t="s">
        <v>34</v>
      </c>
      <c r="B5" s="1" t="s">
        <v>66</v>
      </c>
      <c r="C5" s="22"/>
      <c r="D5" t="s">
        <v>65</v>
      </c>
      <c r="E5" t="s">
        <v>65</v>
      </c>
      <c r="F5" t="s">
        <v>65</v>
      </c>
      <c r="H5" s="19" t="str">
        <f>VLOOKUP(Table533353756606264[[#This Row],[Structure]],[1]!Dictionary[#All],3,FALSE)</f>
        <v>Prostate</v>
      </c>
      <c r="I5" s="18">
        <f>VLOOKUP(Table533353756606264[[#This Row],[Structure]],[1]!Dictionary[#All],4,FALSE)</f>
        <v>9600</v>
      </c>
      <c r="J5" s="18" t="str">
        <f>VLOOKUP(Table533353756606264[[#This Row],[Structure]],[1]!Dictionary[#All],5,FALSE)</f>
        <v>FMA</v>
      </c>
      <c r="K5" s="17" t="str">
        <f>VLOOKUP(Table533353756606264[[#This Row],[Structure]],[1]!Dictionary[#All],6,FALSE)</f>
        <v>3.2</v>
      </c>
      <c r="L5" s="16" t="str">
        <f>VLOOKUP(Table533353756606264[[#This Row],[Structure]],[1]!VolumeType[#All],2,FALSE)</f>
        <v>Organ</v>
      </c>
      <c r="M5" s="15" t="str">
        <f>VLOOKUP(Table533353756606264[[#This Row],[Structure]],[1]!VolumeType[#All],3,FALSE)</f>
        <v>Organ</v>
      </c>
      <c r="N5" s="14" t="str">
        <f>VLOOKUP(Table533353756606264[[#This Row],[Structure]],[1]!Colors[#All],3,FALSE)</f>
        <v>z Prostate</v>
      </c>
      <c r="O5" s="12" t="str">
        <f>IFERROR(VLOOKUP(Table533353756606264[[#This Row],[Structure]],[1]!DVH_lines[#Data],2,FALSE),"")</f>
        <v/>
      </c>
      <c r="P5" s="13" t="str">
        <f>IFERROR(VLOOKUP(Table533353756606264[[#This Row],[Structure]],[1]!DVH_lines[#Data],3,FALSE),"")</f>
        <v/>
      </c>
      <c r="Q5" s="11" t="str">
        <f>IFERROR(VLOOKUP(Table533353756606264[[#This Row],[Structure]],[1]!DVH_lines[#Data],4,FALSE),"")</f>
        <v/>
      </c>
      <c r="R5" s="12" t="str">
        <f>IFERROR(VLOOKUP(Table533353756606264[[#This Row],[Structure]],[1]!SearchCT[#Data],2,FALSE),"")</f>
        <v/>
      </c>
      <c r="S5" s="11" t="str">
        <f>IFERROR(VLOOKUP(Table533353756606264[[#This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64</v>
      </c>
      <c r="E6" t="s">
        <v>64</v>
      </c>
      <c r="F6" t="s">
        <v>64</v>
      </c>
      <c r="H6" s="19" t="str">
        <f>VLOOKUP(Table533353756606264[[#This Row],[Structure]],[1]!Dictionary[#All],3,FALSE)</f>
        <v>Bulb of penis</v>
      </c>
      <c r="I6" s="18">
        <f>VLOOKUP(Table533353756606264[[#This Row],[Structure]],[1]!Dictionary[#All],4,FALSE)</f>
        <v>19614</v>
      </c>
      <c r="J6" s="18" t="str">
        <f>VLOOKUP(Table533353756606264[[#This Row],[Structure]],[1]!Dictionary[#All],5,FALSE)</f>
        <v>FMA</v>
      </c>
      <c r="K6" s="17" t="str">
        <f>VLOOKUP(Table533353756606264[[#This Row],[Structure]],[1]!Dictionary[#All],6,FALSE)</f>
        <v>3.2</v>
      </c>
      <c r="L6" s="16" t="str">
        <f>VLOOKUP(Table533353756606264[[#This Row],[Structure]],[1]!VolumeType[#All],2,FALSE)</f>
        <v>Organ</v>
      </c>
      <c r="M6" s="15" t="str">
        <f>VLOOKUP(Table533353756606264[[#This Row],[Structure]],[1]!VolumeType[#All],3,FALSE)</f>
        <v>Organ</v>
      </c>
      <c r="N6" s="14" t="str">
        <f>VLOOKUP(Table533353756606264[[#This Row],[Structure]],[1]!Colors[#All],3,FALSE)</f>
        <v>z Penile  bulb</v>
      </c>
      <c r="O6" s="12" t="str">
        <f>IFERROR(VLOOKUP(Table533353756606264[[#This Row],[Structure]],[1]!DVH_lines[#Data],2,FALSE),"")</f>
        <v/>
      </c>
      <c r="P6" s="13" t="str">
        <f>IFERROR(VLOOKUP(Table533353756606264[[#This Row],[Structure]],[1]!DVH_lines[#Data],3,FALSE),"")</f>
        <v/>
      </c>
      <c r="Q6" s="11" t="str">
        <f>IFERROR(VLOOKUP(Table533353756606264[[#This Row],[Structure]],[1]!DVH_lines[#Data],4,FALSE),"")</f>
        <v/>
      </c>
      <c r="R6" s="12" t="str">
        <f>IFERROR(VLOOKUP(Table533353756606264[[#This Row],[Structure]],[1]!SearchCT[#Data],2,FALSE),"")</f>
        <v/>
      </c>
      <c r="S6" s="11" t="str">
        <f>IFERROR(VLOOKUP(Table533353756606264[[#This Row],[Structure]],[1]!SearchCT[#Data],3,FALSE),"")</f>
        <v/>
      </c>
    </row>
    <row r="7" spans="1:19" x14ac:dyDescent="0.25">
      <c r="A7" s="46" t="s">
        <v>30</v>
      </c>
      <c r="D7" t="s">
        <v>63</v>
      </c>
      <c r="E7" t="s">
        <v>63</v>
      </c>
      <c r="F7" t="s">
        <v>63</v>
      </c>
      <c r="H7" s="19" t="str">
        <f>VLOOKUP(Table533353756606264[[#This Row],[Structure]],[1]!Dictionary[#All],3,FALSE)</f>
        <v>Urethra</v>
      </c>
      <c r="I7" s="18">
        <f>VLOOKUP(Table533353756606264[[#This Row],[Structure]],[1]!Dictionary[#All],4,FALSE)</f>
        <v>19667</v>
      </c>
      <c r="J7" s="18" t="str">
        <f>VLOOKUP(Table533353756606264[[#This Row],[Structure]],[1]!Dictionary[#All],5,FALSE)</f>
        <v>FMA</v>
      </c>
      <c r="K7" s="17" t="str">
        <f>VLOOKUP(Table533353756606264[[#This Row],[Structure]],[1]!Dictionary[#All],6,FALSE)</f>
        <v>3.2</v>
      </c>
      <c r="L7" s="16" t="str">
        <f>VLOOKUP(Table533353756606264[[#This Row],[Structure]],[1]!VolumeType[#All],2,FALSE)</f>
        <v>Organ</v>
      </c>
      <c r="M7" s="15" t="str">
        <f>VLOOKUP(Table533353756606264[[#This Row],[Structure]],[1]!VolumeType[#All],3,FALSE)</f>
        <v>Organ</v>
      </c>
      <c r="N7" s="14" t="str">
        <f>VLOOKUP(Table533353756606264[[#This Row],[Structure]],[1]!Colors[#All],3,FALSE)</f>
        <v>z Urethra</v>
      </c>
      <c r="O7" s="12" t="str">
        <f>IFERROR(VLOOKUP(Table533353756606264[[#This Row],[Structure]],[1]!DVH_lines[#Data],2,FALSE),"")</f>
        <v/>
      </c>
      <c r="P7" s="13" t="str">
        <f>IFERROR(VLOOKUP(Table533353756606264[[#This Row],[Structure]],[1]!DVH_lines[#Data],3,FALSE),"")</f>
        <v/>
      </c>
      <c r="Q7" s="11" t="str">
        <f>IFERROR(VLOOKUP(Table533353756606264[[#This Row],[Structure]],[1]!DVH_lines[#Data],4,FALSE),"")</f>
        <v/>
      </c>
      <c r="R7" s="12" t="str">
        <f>IFERROR(VLOOKUP(Table533353756606264[[#This Row],[Structure]],[1]!SearchCT[#Data],2,FALSE),"")</f>
        <v/>
      </c>
      <c r="S7" s="11" t="str">
        <f>IFERROR(VLOOKUP(Table533353756606264[[#This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VLOOKUP(Table533353756606264[[#This Row],[Structure]],[1]!Dictionary[#All],3,FALSE)</f>
        <v>External genitalia</v>
      </c>
      <c r="I8" s="9">
        <f>VLOOKUP(Table533353756606264[[#This Row],[Structure]],[1]!Dictionary[#All],4,FALSE)</f>
        <v>45643</v>
      </c>
      <c r="J8" s="9" t="str">
        <f>VLOOKUP(Table533353756606264[[#This Row],[Structure]],[1]!Dictionary[#All],5,FALSE)</f>
        <v>FMA</v>
      </c>
      <c r="K8" s="8" t="str">
        <f>VLOOKUP(Table533353756606264[[#This Row],[Structure]],[1]!Dictionary[#All],6,FALSE)</f>
        <v>3.2</v>
      </c>
      <c r="L8" s="7" t="str">
        <f>VLOOKUP(Table533353756606264[[#This Row],[Structure]],[1]!VolumeType[#All],2,FALSE)</f>
        <v>Organ</v>
      </c>
      <c r="M8" s="6" t="str">
        <f>VLOOKUP(Table533353756606264[[#This Row],[Structure]],[1]!VolumeType[#All],3,FALSE)</f>
        <v>Organ</v>
      </c>
      <c r="N8" s="5" t="str">
        <f>VLOOKUP(Table533353756606264[[#This Row],[Structure]],[1]!Colors[#All],3,FALSE)</f>
        <v>z Genitalia</v>
      </c>
      <c r="O8" s="3" t="str">
        <f>IFERROR(VLOOKUP(Table533353756606264[[#This Row],[Structure]],[1]!DVH_lines[#Data],2,FALSE),"")</f>
        <v/>
      </c>
      <c r="P8" s="4" t="str">
        <f>IFERROR(VLOOKUP(Table533353756606264[[#This Row],[Structure]],[1]!DVH_lines[#Data],3,FALSE),"")</f>
        <v/>
      </c>
      <c r="Q8" s="2" t="str">
        <f>IFERROR(VLOOKUP(Table533353756606264[[#This Row],[Structure]],[1]!DVH_lines[#Data],4,FALSE),"")</f>
        <v/>
      </c>
      <c r="R8" s="3" t="str">
        <f>IFERROR(VLOOKUP(Table533353756606264[[#This Row],[Structure]],[1]!SearchCT[#Data],2,FALSE),"")</f>
        <v/>
      </c>
      <c r="S8" s="2" t="str">
        <f>IFERROR(VLOOKUP(Table533353756606264[[#This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ht="16.5" customHeight="1" x14ac:dyDescent="0.25">
      <c r="A11" s="46" t="s">
        <v>294</v>
      </c>
      <c r="B11" s="1" t="s">
        <v>263</v>
      </c>
      <c r="F11"/>
    </row>
    <row r="12" spans="1:19" x14ac:dyDescent="0.25">
      <c r="A12" s="46" t="s">
        <v>260</v>
      </c>
      <c r="B12" s="1" t="s">
        <v>24</v>
      </c>
      <c r="D12"/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</row>
    <row r="16" spans="1:19" x14ac:dyDescent="0.25">
      <c r="D16"/>
    </row>
    <row r="17" spans="4:6" x14ac:dyDescent="0.25">
      <c r="D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6.140625" style="1" bestFit="1" customWidth="1"/>
    <col min="3" max="3" width="5.42578125" style="1" customWidth="1"/>
    <col min="4" max="4" width="10.28515625" style="1" bestFit="1" customWidth="1"/>
    <col min="5" max="5" width="9" style="1" bestFit="1" customWidth="1"/>
    <col min="6" max="6" width="10.7109375" style="1" customWidth="1"/>
    <col min="7" max="7" width="5.85546875" style="1" bestFit="1" customWidth="1"/>
    <col min="8" max="8" width="16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80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79</v>
      </c>
      <c r="C3" s="22"/>
      <c r="D3" t="s">
        <v>78</v>
      </c>
      <c r="E3" t="s">
        <v>78</v>
      </c>
      <c r="F3" t="s">
        <v>78</v>
      </c>
      <c r="H3" s="19" t="str">
        <f>VLOOKUP(Table5333537566062[[#This Row],[Structure]],[1]!Dictionary[#All],3,FALSE)</f>
        <v>Vagina</v>
      </c>
      <c r="I3" s="18">
        <f>VLOOKUP(Table5333537566062[[#This Row],[Structure]],[1]!Dictionary[#All],4,FALSE)</f>
        <v>19949</v>
      </c>
      <c r="J3" s="18" t="str">
        <f>VLOOKUP(Table5333537566062[[#This Row],[Structure]],[1]!Dictionary[#All],5,FALSE)</f>
        <v>FMA</v>
      </c>
      <c r="K3" s="17" t="str">
        <f>VLOOKUP(Table5333537566062[[#This Row],[Structure]],[1]!Dictionary[#All],6,FALSE)</f>
        <v>3.2</v>
      </c>
      <c r="L3" s="16" t="str">
        <f>VLOOKUP(Table5333537566062[[#This Row],[Structure]],[1]!VolumeType[#All],2,FALSE)</f>
        <v>Organ</v>
      </c>
      <c r="M3" s="15" t="str">
        <f>VLOOKUP(Table5333537566062[[#This Row],[Structure]],[1]!VolumeType[#All],3,FALSE)</f>
        <v>Organ</v>
      </c>
      <c r="N3" s="14" t="str">
        <f>VLOOKUP(Table5333537566062[[#This Row],[Structure]],[1]!Colors[#All],3,FALSE)</f>
        <v>z Vagina</v>
      </c>
      <c r="O3" s="12" t="str">
        <f>IFERROR(VLOOKUP(Table5333537566062[[#This Row],[Structure]],[1]!DVH_lines[#Data],2,FALSE),"")</f>
        <v/>
      </c>
      <c r="P3" s="13" t="str">
        <f>IFERROR(VLOOKUP(Table5333537566062[[#This Row],[Structure]],[1]!DVH_lines[#Data],3,FALSE),"")</f>
        <v/>
      </c>
      <c r="Q3" s="11" t="str">
        <f>IFERROR(VLOOKUP(Table5333537566062[[#This Row],[Structure]],[1]!DVH_lines[#Data],4,FALSE),"")</f>
        <v/>
      </c>
      <c r="R3" s="12" t="str">
        <f>IFERROR(VLOOKUP(Table5333537566062[[#This Row],[Structure]],[1]!SearchCT[#Data],2,FALSE),"")</f>
        <v/>
      </c>
      <c r="S3" s="11" t="str">
        <f>IFERROR(VLOOKUP(Table5333537566062[[#This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t="s">
        <v>77</v>
      </c>
      <c r="E4" t="s">
        <v>77</v>
      </c>
      <c r="F4" t="s">
        <v>77</v>
      </c>
      <c r="H4" s="19" t="str">
        <f>VLOOKUP(Table5333537566062[[#This Row],[Structure]],[1]!Dictionary[#All],3,FALSE)</f>
        <v>Cervix of uterus</v>
      </c>
      <c r="I4" s="18">
        <f>VLOOKUP(Table5333537566062[[#This Row],[Structure]],[1]!Dictionary[#All],4,FALSE)</f>
        <v>17740</v>
      </c>
      <c r="J4" s="18" t="str">
        <f>VLOOKUP(Table5333537566062[[#This Row],[Structure]],[1]!Dictionary[#All],5,FALSE)</f>
        <v>FMA</v>
      </c>
      <c r="K4" s="17" t="str">
        <f>VLOOKUP(Table5333537566062[[#This Row],[Structure]],[1]!Dictionary[#All],6,FALSE)</f>
        <v>3.2</v>
      </c>
      <c r="L4" s="16" t="str">
        <f>VLOOKUP(Table5333537566062[[#This Row],[Structure]],[1]!VolumeType[#All],2,FALSE)</f>
        <v>Organ</v>
      </c>
      <c r="M4" s="15" t="str">
        <f>VLOOKUP(Table5333537566062[[#This Row],[Structure]],[1]!VolumeType[#All],3,FALSE)</f>
        <v>Organ</v>
      </c>
      <c r="N4" s="14" t="str">
        <f>VLOOKUP(Table5333537566062[[#This Row],[Structure]],[1]!Colors[#All],3,FALSE)</f>
        <v>z Cervix</v>
      </c>
      <c r="O4" s="12" t="str">
        <f>IFERROR(VLOOKUP(Table5333537566062[[#This Row],[Structure]],[1]!DVH_lines[#Data],2,FALSE),"")</f>
        <v/>
      </c>
      <c r="P4" s="13" t="str">
        <f>IFERROR(VLOOKUP(Table5333537566062[[#This Row],[Structure]],[1]!DVH_lines[#Data],3,FALSE),"")</f>
        <v/>
      </c>
      <c r="Q4" s="11" t="str">
        <f>IFERROR(VLOOKUP(Table5333537566062[[#This Row],[Structure]],[1]!DVH_lines[#Data],4,FALSE),"")</f>
        <v/>
      </c>
      <c r="R4" s="12" t="str">
        <f>IFERROR(VLOOKUP(Table5333537566062[[#This Row],[Structure]],[1]!SearchCT[#Data],2,FALSE),"")</f>
        <v/>
      </c>
      <c r="S4" s="11" t="str">
        <f>IFERROR(VLOOKUP(Table5333537566062[[#This Row],[Structure]],[1]!SearchCT[#Data],3,FALSE),"")</f>
        <v/>
      </c>
    </row>
    <row r="5" spans="1:19" x14ac:dyDescent="0.25">
      <c r="A5" s="46" t="s">
        <v>34</v>
      </c>
      <c r="B5" s="1" t="s">
        <v>76</v>
      </c>
      <c r="C5" s="22"/>
      <c r="D5" t="s">
        <v>75</v>
      </c>
      <c r="E5" t="s">
        <v>75</v>
      </c>
      <c r="F5" t="s">
        <v>75</v>
      </c>
      <c r="H5" s="19" t="str">
        <f>VLOOKUP(Table5333537566062[[#This Row],[Structure]],[1]!Dictionary[#All],3,FALSE)</f>
        <v>Uterus</v>
      </c>
      <c r="I5" s="18">
        <f>VLOOKUP(Table5333537566062[[#This Row],[Structure]],[1]!Dictionary[#All],4,FALSE)</f>
        <v>17558</v>
      </c>
      <c r="J5" s="18" t="str">
        <f>VLOOKUP(Table5333537566062[[#This Row],[Structure]],[1]!Dictionary[#All],5,FALSE)</f>
        <v>FMA</v>
      </c>
      <c r="K5" s="17" t="str">
        <f>VLOOKUP(Table5333537566062[[#This Row],[Structure]],[1]!Dictionary[#All],6,FALSE)</f>
        <v>3.2</v>
      </c>
      <c r="L5" s="16" t="str">
        <f>VLOOKUP(Table5333537566062[[#This Row],[Structure]],[1]!VolumeType[#All],2,FALSE)</f>
        <v>Organ</v>
      </c>
      <c r="M5" s="15" t="str">
        <f>VLOOKUP(Table5333537566062[[#This Row],[Structure]],[1]!VolumeType[#All],3,FALSE)</f>
        <v>Organ</v>
      </c>
      <c r="N5" s="14" t="str">
        <f>VLOOKUP(Table5333537566062[[#This Row],[Structure]],[1]!Colors[#All],3,FALSE)</f>
        <v>z Uterus</v>
      </c>
      <c r="O5" s="12" t="str">
        <f>IFERROR(VLOOKUP(Table5333537566062[[#This Row],[Structure]],[1]!DVH_lines[#Data],2,FALSE),"")</f>
        <v/>
      </c>
      <c r="P5" s="13" t="str">
        <f>IFERROR(VLOOKUP(Table5333537566062[[#This Row],[Structure]],[1]!DVH_lines[#Data],3,FALSE),"")</f>
        <v/>
      </c>
      <c r="Q5" s="11" t="str">
        <f>IFERROR(VLOOKUP(Table5333537566062[[#This Row],[Structure]],[1]!DVH_lines[#Data],4,FALSE),"")</f>
        <v/>
      </c>
      <c r="R5" s="12" t="str">
        <f>IFERROR(VLOOKUP(Table5333537566062[[#This Row],[Structure]],[1]!SearchCT[#Data],2,FALSE),"")</f>
        <v/>
      </c>
      <c r="S5" s="11" t="str">
        <f>IFERROR(VLOOKUP(Table5333537566062[[#This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t="s">
        <v>74</v>
      </c>
      <c r="E6" t="s">
        <v>74</v>
      </c>
      <c r="F6" t="s">
        <v>74</v>
      </c>
      <c r="H6" s="19" t="str">
        <f>VLOOKUP(Table5333537566062[[#This Row],[Structure]],[1]!Dictionary[#All],3,FALSE)</f>
        <v>Left ovary</v>
      </c>
      <c r="I6" s="18">
        <f>VLOOKUP(Table5333537566062[[#This Row],[Structure]],[1]!Dictionary[#All],4,FALSE)</f>
        <v>7214</v>
      </c>
      <c r="J6" s="18" t="str">
        <f>VLOOKUP(Table5333537566062[[#This Row],[Structure]],[1]!Dictionary[#All],5,FALSE)</f>
        <v>FMA</v>
      </c>
      <c r="K6" s="17" t="str">
        <f>VLOOKUP(Table5333537566062[[#This Row],[Structure]],[1]!Dictionary[#All],6,FALSE)</f>
        <v>3.2</v>
      </c>
      <c r="L6" s="16" t="str">
        <f>VLOOKUP(Table5333537566062[[#This Row],[Structure]],[1]!VolumeType[#All],2,FALSE)</f>
        <v>Organ</v>
      </c>
      <c r="M6" s="15" t="str">
        <f>VLOOKUP(Table5333537566062[[#This Row],[Structure]],[1]!VolumeType[#All],3,FALSE)</f>
        <v>Organ</v>
      </c>
      <c r="N6" s="14" t="str">
        <f>VLOOKUP(Table5333537566062[[#This Row],[Structure]],[1]!Colors[#All],3,FALSE)</f>
        <v>z Ovary L</v>
      </c>
      <c r="O6" s="12" t="str">
        <f>IFERROR(VLOOKUP(Table5333537566062[[#This Row],[Structure]],[1]!DVH_lines[#Data],2,FALSE),"")</f>
        <v/>
      </c>
      <c r="P6" s="13" t="str">
        <f>IFERROR(VLOOKUP(Table5333537566062[[#This Row],[Structure]],[1]!DVH_lines[#Data],3,FALSE),"")</f>
        <v/>
      </c>
      <c r="Q6" s="11" t="str">
        <f>IFERROR(VLOOKUP(Table5333537566062[[#This Row],[Structure]],[1]!DVH_lines[#Data],4,FALSE),"")</f>
        <v/>
      </c>
      <c r="R6" s="12" t="str">
        <f>IFERROR(VLOOKUP(Table5333537566062[[#This Row],[Structure]],[1]!SearchCT[#Data],2,FALSE),"")</f>
        <v/>
      </c>
      <c r="S6" s="11" t="str">
        <f>IFERROR(VLOOKUP(Table5333537566062[[#This Row],[Structure]],[1]!SearchCT[#Data],3,FALSE),"")</f>
        <v/>
      </c>
    </row>
    <row r="7" spans="1:19" x14ac:dyDescent="0.25">
      <c r="A7" s="46" t="s">
        <v>30</v>
      </c>
      <c r="D7" t="s">
        <v>73</v>
      </c>
      <c r="E7" t="s">
        <v>73</v>
      </c>
      <c r="F7" t="s">
        <v>73</v>
      </c>
      <c r="H7" s="19" t="str">
        <f>VLOOKUP(Table5333537566062[[#This Row],[Structure]],[1]!Dictionary[#All],3,FALSE)</f>
        <v>Right ovary</v>
      </c>
      <c r="I7" s="18">
        <f>VLOOKUP(Table5333537566062[[#This Row],[Structure]],[1]!Dictionary[#All],4,FALSE)</f>
        <v>7213</v>
      </c>
      <c r="J7" s="18" t="str">
        <f>VLOOKUP(Table5333537566062[[#This Row],[Structure]],[1]!Dictionary[#All],5,FALSE)</f>
        <v>FMA</v>
      </c>
      <c r="K7" s="17" t="str">
        <f>VLOOKUP(Table5333537566062[[#This Row],[Structure]],[1]!Dictionary[#All],6,FALSE)</f>
        <v>3.2</v>
      </c>
      <c r="L7" s="16" t="str">
        <f>VLOOKUP(Table5333537566062[[#This Row],[Structure]],[1]!VolumeType[#All],2,FALSE)</f>
        <v>Organ</v>
      </c>
      <c r="M7" s="15" t="str">
        <f>VLOOKUP(Table5333537566062[[#This Row],[Structure]],[1]!VolumeType[#All],3,FALSE)</f>
        <v>Organ</v>
      </c>
      <c r="N7" s="14" t="str">
        <f>VLOOKUP(Table5333537566062[[#This Row],[Structure]],[1]!Colors[#All],3,FALSE)</f>
        <v>z Ovary R</v>
      </c>
      <c r="O7" s="12" t="str">
        <f>IFERROR(VLOOKUP(Table5333537566062[[#This Row],[Structure]],[1]!DVH_lines[#Data],2,FALSE),"")</f>
        <v/>
      </c>
      <c r="P7" s="13" t="str">
        <f>IFERROR(VLOOKUP(Table5333537566062[[#This Row],[Structure]],[1]!DVH_lines[#Data],3,FALSE),"")</f>
        <v/>
      </c>
      <c r="Q7" s="11" t="str">
        <f>IFERROR(VLOOKUP(Table5333537566062[[#This Row],[Structure]],[1]!DVH_lines[#Data],4,FALSE),"")</f>
        <v/>
      </c>
      <c r="R7" s="12" t="str">
        <f>IFERROR(VLOOKUP(Table5333537566062[[#This Row],[Structure]],[1]!SearchCT[#Data],2,FALSE),"")</f>
        <v/>
      </c>
      <c r="S7" s="11" t="str">
        <f>IFERROR(VLOOKUP(Table5333537566062[[#This Row],[Structure]],[1]!SearchCT[#Data],3,FALSE),"")</f>
        <v/>
      </c>
    </row>
    <row r="8" spans="1:19" ht="15.75" thickBot="1" x14ac:dyDescent="0.3">
      <c r="A8" s="46" t="s">
        <v>27</v>
      </c>
      <c r="D8" t="s">
        <v>6</v>
      </c>
      <c r="E8" t="s">
        <v>6</v>
      </c>
      <c r="F8" t="s">
        <v>6</v>
      </c>
      <c r="H8" s="10" t="str">
        <f>VLOOKUP(Table5333537566062[[#This Row],[Structure]],[1]!Dictionary[#All],3,FALSE)</f>
        <v>External genitalia</v>
      </c>
      <c r="I8" s="9">
        <f>VLOOKUP(Table5333537566062[[#This Row],[Structure]],[1]!Dictionary[#All],4,FALSE)</f>
        <v>45643</v>
      </c>
      <c r="J8" s="9" t="str">
        <f>VLOOKUP(Table5333537566062[[#This Row],[Structure]],[1]!Dictionary[#All],5,FALSE)</f>
        <v>FMA</v>
      </c>
      <c r="K8" s="8" t="str">
        <f>VLOOKUP(Table5333537566062[[#This Row],[Structure]],[1]!Dictionary[#All],6,FALSE)</f>
        <v>3.2</v>
      </c>
      <c r="L8" s="7" t="str">
        <f>VLOOKUP(Table5333537566062[[#This Row],[Structure]],[1]!VolumeType[#All],2,FALSE)</f>
        <v>Organ</v>
      </c>
      <c r="M8" s="6" t="str">
        <f>VLOOKUP(Table5333537566062[[#This Row],[Structure]],[1]!VolumeType[#All],3,FALSE)</f>
        <v>Organ</v>
      </c>
      <c r="N8" s="5" t="str">
        <f>VLOOKUP(Table5333537566062[[#This Row],[Structure]],[1]!Colors[#All],3,FALSE)</f>
        <v>z Genitalia</v>
      </c>
      <c r="O8" s="3" t="str">
        <f>IFERROR(VLOOKUP(Table5333537566062[[#This Row],[Structure]],[1]!DVH_lines[#Data],2,FALSE),"")</f>
        <v/>
      </c>
      <c r="P8" s="4" t="str">
        <f>IFERROR(VLOOKUP(Table5333537566062[[#This Row],[Structure]],[1]!DVH_lines[#Data],3,FALSE),"")</f>
        <v/>
      </c>
      <c r="Q8" s="2" t="str">
        <f>IFERROR(VLOOKUP(Table5333537566062[[#This Row],[Structure]],[1]!DVH_lines[#Data],4,FALSE),"")</f>
        <v/>
      </c>
      <c r="R8" s="3" t="str">
        <f>IFERROR(VLOOKUP(Table5333537566062[[#This Row],[Structure]],[1]!SearchCT[#Data],2,FALSE),"")</f>
        <v/>
      </c>
      <c r="S8" s="2" t="str">
        <f>IFERROR(VLOOKUP(Table5333537566062[[#This Row],[Structure]],[1]!SearchCT[#Data],3,FALSE),"")</f>
        <v/>
      </c>
    </row>
    <row r="9" spans="1:19" x14ac:dyDescent="0.25">
      <c r="A9" s="46" t="s">
        <v>276</v>
      </c>
      <c r="B9" s="1" t="s">
        <v>261</v>
      </c>
    </row>
    <row r="10" spans="1:19" x14ac:dyDescent="0.25">
      <c r="A10" s="46" t="s">
        <v>258</v>
      </c>
      <c r="B10" s="1" t="s">
        <v>259</v>
      </c>
    </row>
    <row r="11" spans="1:19" x14ac:dyDescent="0.25">
      <c r="A11" s="46" t="s">
        <v>294</v>
      </c>
      <c r="B11" s="1" t="s">
        <v>264</v>
      </c>
      <c r="F11"/>
    </row>
    <row r="12" spans="1:19" x14ac:dyDescent="0.25">
      <c r="A12" s="46" t="s">
        <v>260</v>
      </c>
      <c r="B12" s="1" t="s">
        <v>24</v>
      </c>
      <c r="F12"/>
    </row>
    <row r="13" spans="1:19" x14ac:dyDescent="0.25">
      <c r="A13" s="46" t="s">
        <v>21</v>
      </c>
      <c r="B13" s="1" t="s">
        <v>20</v>
      </c>
      <c r="D13"/>
      <c r="F13"/>
    </row>
    <row r="14" spans="1:19" x14ac:dyDescent="0.25">
      <c r="A14" s="20"/>
      <c r="B14" s="20"/>
      <c r="D14"/>
      <c r="F14"/>
    </row>
    <row r="15" spans="1:19" x14ac:dyDescent="0.25">
      <c r="D15"/>
      <c r="F15"/>
    </row>
    <row r="16" spans="1:19" x14ac:dyDescent="0.25">
      <c r="D16"/>
    </row>
    <row r="17" spans="4:6" x14ac:dyDescent="0.25">
      <c r="D17"/>
    </row>
    <row r="18" spans="4:6" x14ac:dyDescent="0.25">
      <c r="D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F27"/>
    </row>
    <row r="28" spans="4:6" x14ac:dyDescent="0.25">
      <c r="F28"/>
    </row>
    <row r="29" spans="4:6" x14ac:dyDescent="0.25">
      <c r="D29"/>
      <c r="F29"/>
    </row>
    <row r="30" spans="4:6" x14ac:dyDescent="0.25">
      <c r="D30"/>
      <c r="F30"/>
    </row>
    <row r="31" spans="4:6" x14ac:dyDescent="0.25">
      <c r="D31"/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8.42578125" style="1" bestFit="1" customWidth="1"/>
    <col min="3" max="3" width="5.42578125" style="1" customWidth="1"/>
    <col min="4" max="5" width="15.7109375" style="1" bestFit="1" customWidth="1"/>
    <col min="6" max="6" width="32.7109375" style="1" bestFit="1" customWidth="1"/>
    <col min="7" max="7" width="5.85546875" style="1" bestFit="1" customWidth="1"/>
    <col min="8" max="8" width="32" style="1" bestFit="1" customWidth="1"/>
    <col min="9" max="9" width="7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1" t="s">
        <v>104</v>
      </c>
      <c r="B1" s="51"/>
      <c r="C1" s="33"/>
      <c r="D1" s="51" t="s">
        <v>61</v>
      </c>
      <c r="E1" s="51"/>
      <c r="F1" s="51"/>
      <c r="H1" s="49" t="s">
        <v>60</v>
      </c>
      <c r="I1" s="52"/>
      <c r="J1" s="52"/>
      <c r="K1" s="50"/>
      <c r="L1" s="49" t="s">
        <v>59</v>
      </c>
      <c r="M1" s="52"/>
      <c r="N1" s="32" t="s">
        <v>58</v>
      </c>
      <c r="O1" s="49" t="s">
        <v>57</v>
      </c>
      <c r="P1" s="52"/>
      <c r="Q1" s="50"/>
      <c r="R1" s="49" t="s">
        <v>56</v>
      </c>
      <c r="S1" s="50"/>
    </row>
    <row r="2" spans="1:19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H2" s="27" t="s">
        <v>52</v>
      </c>
      <c r="I2" s="25" t="s">
        <v>51</v>
      </c>
      <c r="J2" s="25" t="s">
        <v>50</v>
      </c>
      <c r="K2" s="23" t="s">
        <v>49</v>
      </c>
      <c r="L2" s="24" t="s">
        <v>48</v>
      </c>
      <c r="M2" s="25" t="s">
        <v>47</v>
      </c>
      <c r="N2" s="26" t="s">
        <v>46</v>
      </c>
      <c r="O2" s="24" t="s">
        <v>45</v>
      </c>
      <c r="P2" s="25" t="s">
        <v>44</v>
      </c>
      <c r="Q2" s="23" t="s">
        <v>43</v>
      </c>
      <c r="R2" s="24" t="s">
        <v>42</v>
      </c>
      <c r="S2" s="23" t="s">
        <v>41</v>
      </c>
    </row>
    <row r="3" spans="1:19" x14ac:dyDescent="0.25">
      <c r="A3" s="46" t="s">
        <v>275</v>
      </c>
      <c r="B3" s="1" t="s">
        <v>104</v>
      </c>
      <c r="C3" s="22"/>
      <c r="D3" s="35" t="s">
        <v>103</v>
      </c>
      <c r="E3" s="35" t="s">
        <v>103</v>
      </c>
      <c r="F3" s="34" t="s">
        <v>102</v>
      </c>
      <c r="H3" s="19" t="str">
        <f>VLOOKUP(Table53335375660[[#This Row],[Structure]],[1]!Dictionary[#All],3,FALSE)</f>
        <v>Left internal iliac lymphatic chain</v>
      </c>
      <c r="I3" s="18">
        <f>VLOOKUP(Table53335375660[[#This Row],[Structure]],[1]!Dictionary[#All],4,FALSE)</f>
        <v>224279</v>
      </c>
      <c r="J3" s="18" t="str">
        <f>VLOOKUP(Table53335375660[[#This Row],[Structure]],[1]!Dictionary[#All],5,FALSE)</f>
        <v>FMA</v>
      </c>
      <c r="K3" s="17" t="str">
        <f>VLOOKUP(Table53335375660[[#This Row],[Structure]],[1]!Dictionary[#All],6,FALSE)</f>
        <v>3.2</v>
      </c>
      <c r="L3" s="16" t="str">
        <f>VLOOKUP(Table53335375660[[#This Row],[Structure]],[1]!VolumeType[#All],2,FALSE)</f>
        <v>CTV</v>
      </c>
      <c r="M3" s="15" t="str">
        <f>VLOOKUP(Table53335375660[[#This Row],[Structure]],[1]!VolumeType[#All],3,FALSE)</f>
        <v>Nodes</v>
      </c>
      <c r="N3" s="14" t="str">
        <f>VLOOKUP(Table53335375660[[#This Row],[Structure]],[1]!Colors[#All],3,FALSE)</f>
        <v>zNode Intiliac L</v>
      </c>
      <c r="O3" s="12" t="str">
        <f>IFERROR(VLOOKUP(Table53335375660[[#This Row],[Structure]],[1]!DVH_lines[#Data],2,FALSE),"")</f>
        <v/>
      </c>
      <c r="P3" s="13" t="str">
        <f>IFERROR(VLOOKUP(Table53335375660[[#This Row],[Structure]],[1]!DVH_lines[#Data],3,FALSE),"")</f>
        <v/>
      </c>
      <c r="Q3" s="11" t="str">
        <f>IFERROR(VLOOKUP(Table53335375660[[#This Row],[Structure]],[1]!DVH_lines[#Data],4,FALSE),"")</f>
        <v/>
      </c>
      <c r="R3" s="12" t="str">
        <f>IFERROR(VLOOKUP(Table53335375660[[#This Row],[Structure]],[1]!SearchCT[#Data],2,FALSE),"")</f>
        <v/>
      </c>
      <c r="S3" s="11" t="str">
        <f>IFERROR(VLOOKUP(Table53335375660[[#This Row],[Structure]],[1]!SearchCT[#Data],3,FALSE),"")</f>
        <v/>
      </c>
    </row>
    <row r="4" spans="1:19" x14ac:dyDescent="0.25">
      <c r="A4" s="46" t="s">
        <v>277</v>
      </c>
      <c r="B4" s="1" t="s">
        <v>36</v>
      </c>
      <c r="C4" s="22"/>
      <c r="D4" s="35" t="s">
        <v>101</v>
      </c>
      <c r="E4" s="35" t="s">
        <v>101</v>
      </c>
      <c r="F4" s="34" t="s">
        <v>100</v>
      </c>
      <c r="H4" s="19" t="str">
        <f>VLOOKUP(Table53335375660[[#This Row],[Structure]],[1]!Dictionary[#All],3,FALSE)</f>
        <v>Right internal iliac lymphatic chain</v>
      </c>
      <c r="I4" s="18">
        <f>VLOOKUP(Table53335375660[[#This Row],[Structure]],[1]!Dictionary[#All],4,FALSE)</f>
        <v>224277</v>
      </c>
      <c r="J4" s="18" t="str">
        <f>VLOOKUP(Table53335375660[[#This Row],[Structure]],[1]!Dictionary[#All],5,FALSE)</f>
        <v>FMA</v>
      </c>
      <c r="K4" s="17" t="str">
        <f>VLOOKUP(Table53335375660[[#This Row],[Structure]],[1]!Dictionary[#All],6,FALSE)</f>
        <v>3.2</v>
      </c>
      <c r="L4" s="16" t="str">
        <f>VLOOKUP(Table53335375660[[#This Row],[Structure]],[1]!VolumeType[#All],2,FALSE)</f>
        <v>CTV</v>
      </c>
      <c r="M4" s="15" t="str">
        <f>VLOOKUP(Table53335375660[[#This Row],[Structure]],[1]!VolumeType[#All],3,FALSE)</f>
        <v>Nodes</v>
      </c>
      <c r="N4" s="14" t="str">
        <f>VLOOKUP(Table53335375660[[#This Row],[Structure]],[1]!Colors[#All],3,FALSE)</f>
        <v>zNode Intiliac R</v>
      </c>
      <c r="O4" s="12" t="str">
        <f>IFERROR(VLOOKUP(Table53335375660[[#This Row],[Structure]],[1]!DVH_lines[#Data],2,FALSE),"")</f>
        <v/>
      </c>
      <c r="P4" s="13" t="str">
        <f>IFERROR(VLOOKUP(Table53335375660[[#This Row],[Structure]],[1]!DVH_lines[#Data],3,FALSE),"")</f>
        <v/>
      </c>
      <c r="Q4" s="11" t="str">
        <f>IFERROR(VLOOKUP(Table53335375660[[#This Row],[Structure]],[1]!DVH_lines[#Data],4,FALSE),"")</f>
        <v/>
      </c>
      <c r="R4" s="12" t="str">
        <f>IFERROR(VLOOKUP(Table53335375660[[#This Row],[Structure]],[1]!SearchCT[#Data],2,FALSE),"")</f>
        <v/>
      </c>
      <c r="S4" s="11" t="str">
        <f>IFERROR(VLOOKUP(Table53335375660[[#This Row],[Structure]],[1]!SearchCT[#Data],3,FALSE),"")</f>
        <v/>
      </c>
    </row>
    <row r="5" spans="1:19" x14ac:dyDescent="0.25">
      <c r="A5" s="46" t="s">
        <v>34</v>
      </c>
      <c r="B5" s="1" t="s">
        <v>99</v>
      </c>
      <c r="C5" s="22"/>
      <c r="D5" s="35" t="s">
        <v>98</v>
      </c>
      <c r="E5" s="35" t="s">
        <v>98</v>
      </c>
      <c r="F5" s="34" t="s">
        <v>97</v>
      </c>
      <c r="H5" s="19" t="str">
        <f>VLOOKUP(Table53335375660[[#This Row],[Structure]],[1]!Dictionary[#All],3,FALSE)</f>
        <v>Sacral lymphatic chain</v>
      </c>
      <c r="I5" s="18">
        <f>VLOOKUP(Table53335375660[[#This Row],[Structure]],[1]!Dictionary[#All],4,FALSE)</f>
        <v>234280</v>
      </c>
      <c r="J5" s="18" t="str">
        <f>VLOOKUP(Table53335375660[[#This Row],[Structure]],[1]!Dictionary[#All],5,FALSE)</f>
        <v>FMA</v>
      </c>
      <c r="K5" s="17" t="str">
        <f>VLOOKUP(Table53335375660[[#This Row],[Structure]],[1]!Dictionary[#All],6,FALSE)</f>
        <v>3.2</v>
      </c>
      <c r="L5" s="16" t="str">
        <f>VLOOKUP(Table53335375660[[#This Row],[Structure]],[1]!VolumeType[#All],2,FALSE)</f>
        <v>CTV</v>
      </c>
      <c r="M5" s="15" t="str">
        <f>VLOOKUP(Table53335375660[[#This Row],[Structure]],[1]!VolumeType[#All],3,FALSE)</f>
        <v>Nodes</v>
      </c>
      <c r="N5" s="14" t="str">
        <f>VLOOKUP(Table53335375660[[#This Row],[Structure]],[1]!Colors[#All],3,FALSE)</f>
        <v>z Node Sacral</v>
      </c>
      <c r="O5" s="12" t="str">
        <f>IFERROR(VLOOKUP(Table53335375660[[#This Row],[Structure]],[1]!DVH_lines[#Data],2,FALSE),"")</f>
        <v/>
      </c>
      <c r="P5" s="13" t="str">
        <f>IFERROR(VLOOKUP(Table53335375660[[#This Row],[Structure]],[1]!DVH_lines[#Data],3,FALSE),"")</f>
        <v/>
      </c>
      <c r="Q5" s="11" t="str">
        <f>IFERROR(VLOOKUP(Table53335375660[[#This Row],[Structure]],[1]!DVH_lines[#Data],4,FALSE),"")</f>
        <v/>
      </c>
      <c r="R5" s="12" t="str">
        <f>IFERROR(VLOOKUP(Table53335375660[[#This Row],[Structure]],[1]!SearchCT[#Data],2,FALSE),"")</f>
        <v/>
      </c>
      <c r="S5" s="11" t="str">
        <f>IFERROR(VLOOKUP(Table53335375660[[#This Row],[Structure]],[1]!SearchCT[#Data],3,FALSE),"")</f>
        <v/>
      </c>
    </row>
    <row r="6" spans="1:19" x14ac:dyDescent="0.25">
      <c r="A6" s="46" t="s">
        <v>257</v>
      </c>
      <c r="B6" s="1">
        <v>3</v>
      </c>
      <c r="C6" s="22"/>
      <c r="D6" s="35" t="s">
        <v>96</v>
      </c>
      <c r="E6" s="35" t="s">
        <v>96</v>
      </c>
      <c r="F6" s="34" t="s">
        <v>95</v>
      </c>
      <c r="H6" s="19" t="str">
        <f>VLOOKUP(Table53335375660[[#This Row],[Structure]],[1]!Dictionary[#All],3,FALSE)</f>
        <v>Obturator lymph node</v>
      </c>
      <c r="I6" s="18">
        <f>VLOOKUP(Table53335375660[[#This Row],[Structure]],[1]!Dictionary[#All],4,FALSE)</f>
        <v>16656</v>
      </c>
      <c r="J6" s="18" t="str">
        <f>VLOOKUP(Table53335375660[[#This Row],[Structure]],[1]!Dictionary[#All],5,FALSE)</f>
        <v>FMA</v>
      </c>
      <c r="K6" s="17" t="str">
        <f>VLOOKUP(Table53335375660[[#This Row],[Structure]],[1]!Dictionary[#All],6,FALSE)</f>
        <v>3.2</v>
      </c>
      <c r="L6" s="16" t="str">
        <f>VLOOKUP(Table53335375660[[#This Row],[Structure]],[1]!VolumeType[#All],2,FALSE)</f>
        <v>CTV</v>
      </c>
      <c r="M6" s="15" t="str">
        <f>VLOOKUP(Table53335375660[[#This Row],[Structure]],[1]!VolumeType[#All],3,FALSE)</f>
        <v>Nodes</v>
      </c>
      <c r="N6" s="14" t="str">
        <f>VLOOKUP(Table53335375660[[#This Row],[Structure]],[1]!Colors[#All],3,FALSE)</f>
        <v>z Node Obturator</v>
      </c>
      <c r="O6" s="12" t="str">
        <f>IFERROR(VLOOKUP(Table53335375660[[#This Row],[Structure]],[1]!DVH_lines[#Data],2,FALSE),"")</f>
        <v/>
      </c>
      <c r="P6" s="13" t="str">
        <f>IFERROR(VLOOKUP(Table53335375660[[#This Row],[Structure]],[1]!DVH_lines[#Data],3,FALSE),"")</f>
        <v/>
      </c>
      <c r="Q6" s="11" t="str">
        <f>IFERROR(VLOOKUP(Table53335375660[[#This Row],[Structure]],[1]!DVH_lines[#Data],4,FALSE),"")</f>
        <v/>
      </c>
      <c r="R6" s="12" t="str">
        <f>IFERROR(VLOOKUP(Table53335375660[[#This Row],[Structure]],[1]!SearchCT[#Data],2,FALSE),"")</f>
        <v/>
      </c>
      <c r="S6" s="11" t="str">
        <f>IFERROR(VLOOKUP(Table53335375660[[#This Row],[Structure]],[1]!SearchCT[#Data],3,FALSE),"")</f>
        <v/>
      </c>
    </row>
    <row r="7" spans="1:19" x14ac:dyDescent="0.25">
      <c r="A7" s="46" t="s">
        <v>30</v>
      </c>
      <c r="D7" s="35" t="s">
        <v>94</v>
      </c>
      <c r="E7" s="35" t="s">
        <v>94</v>
      </c>
      <c r="F7" s="34" t="s">
        <v>93</v>
      </c>
      <c r="H7" s="19" t="str">
        <f>VLOOKUP(Table53335375660[[#This Row],[Structure]],[1]!Dictionary[#All],3,FALSE)</f>
        <v>Internal iliac lymphatic chain</v>
      </c>
      <c r="I7" s="18">
        <f>VLOOKUP(Table53335375660[[#This Row],[Structure]],[1]!Dictionary[#All],4,FALSE)</f>
        <v>224275</v>
      </c>
      <c r="J7" s="18" t="str">
        <f>VLOOKUP(Table53335375660[[#This Row],[Structure]],[1]!Dictionary[#All],5,FALSE)</f>
        <v>FMA</v>
      </c>
      <c r="K7" s="17" t="str">
        <f>VLOOKUP(Table53335375660[[#This Row],[Structure]],[1]!Dictionary[#All],6,FALSE)</f>
        <v>3.2</v>
      </c>
      <c r="L7" s="16" t="str">
        <f>VLOOKUP(Table53335375660[[#This Row],[Structure]],[1]!VolumeType[#All],2,FALSE)</f>
        <v>CTV</v>
      </c>
      <c r="M7" s="15" t="str">
        <f>VLOOKUP(Table53335375660[[#This Row],[Structure]],[1]!VolumeType[#All],3,FALSE)</f>
        <v>Nodes</v>
      </c>
      <c r="N7" s="14" t="str">
        <f>VLOOKUP(Table53335375660[[#This Row],[Structure]],[1]!Colors[#All],3,FALSE)</f>
        <v>z Node Int iliac</v>
      </c>
      <c r="O7" s="12" t="str">
        <f>IFERROR(VLOOKUP(Table53335375660[[#This Row],[Structure]],[1]!DVH_lines[#Data],2,FALSE),"")</f>
        <v/>
      </c>
      <c r="P7" s="13" t="str">
        <f>IFERROR(VLOOKUP(Table53335375660[[#This Row],[Structure]],[1]!DVH_lines[#Data],3,FALSE),"")</f>
        <v/>
      </c>
      <c r="Q7" s="11" t="str">
        <f>IFERROR(VLOOKUP(Table53335375660[[#This Row],[Structure]],[1]!DVH_lines[#Data],4,FALSE),"")</f>
        <v/>
      </c>
      <c r="R7" s="12" t="str">
        <f>IFERROR(VLOOKUP(Table53335375660[[#This Row],[Structure]],[1]!SearchCT[#Data],2,FALSE),"")</f>
        <v/>
      </c>
      <c r="S7" s="11" t="str">
        <f>IFERROR(VLOOKUP(Table53335375660[[#This Row],[Structure]],[1]!SearchCT[#Data],3,FALSE),"")</f>
        <v/>
      </c>
    </row>
    <row r="8" spans="1:19" x14ac:dyDescent="0.25">
      <c r="A8" s="46" t="s">
        <v>27</v>
      </c>
      <c r="D8" s="35" t="s">
        <v>92</v>
      </c>
      <c r="E8" s="35" t="s">
        <v>92</v>
      </c>
      <c r="F8" s="34" t="s">
        <v>91</v>
      </c>
      <c r="H8" s="19" t="str">
        <f>VLOOKUP(Table53335375660[[#This Row],[Structure]],[1]!Dictionary[#All],3,FALSE)</f>
        <v>Common iliac lymphatic chain</v>
      </c>
      <c r="I8" s="18">
        <f>VLOOKUP(Table53335375660[[#This Row],[Structure]],[1]!Dictionary[#All],4,FALSE)</f>
        <v>224269</v>
      </c>
      <c r="J8" s="18" t="str">
        <f>VLOOKUP(Table53335375660[[#This Row],[Structure]],[1]!Dictionary[#All],5,FALSE)</f>
        <v>FMA</v>
      </c>
      <c r="K8" s="17" t="str">
        <f>VLOOKUP(Table53335375660[[#This Row],[Structure]],[1]!Dictionary[#All],6,FALSE)</f>
        <v>3.2</v>
      </c>
      <c r="L8" s="16" t="str">
        <f>VLOOKUP(Table53335375660[[#This Row],[Structure]],[1]!VolumeType[#All],2,FALSE)</f>
        <v>CTV</v>
      </c>
      <c r="M8" s="15" t="str">
        <f>VLOOKUP(Table53335375660[[#This Row],[Structure]],[1]!VolumeType[#All],3,FALSE)</f>
        <v>Nodes</v>
      </c>
      <c r="N8" s="14" t="str">
        <f>VLOOKUP(Table53335375660[[#This Row],[Structure]],[1]!Colors[#All],3,FALSE)</f>
        <v>z Node com iliac</v>
      </c>
      <c r="O8" s="12" t="str">
        <f>IFERROR(VLOOKUP(Table53335375660[[#This Row],[Structure]],[1]!DVH_lines[#Data],2,FALSE),"")</f>
        <v/>
      </c>
      <c r="P8" s="13" t="str">
        <f>IFERROR(VLOOKUP(Table53335375660[[#This Row],[Structure]],[1]!DVH_lines[#Data],3,FALSE),"")</f>
        <v/>
      </c>
      <c r="Q8" s="11" t="str">
        <f>IFERROR(VLOOKUP(Table53335375660[[#This Row],[Structure]],[1]!DVH_lines[#Data],4,FALSE),"")</f>
        <v/>
      </c>
      <c r="R8" s="12" t="str">
        <f>IFERROR(VLOOKUP(Table53335375660[[#This Row],[Structure]],[1]!SearchCT[#Data],2,FALSE),"")</f>
        <v/>
      </c>
      <c r="S8" s="11" t="str">
        <f>IFERROR(VLOOKUP(Table53335375660[[#This Row],[Structure]],[1]!SearchCT[#Data],3,FALSE),"")</f>
        <v/>
      </c>
    </row>
    <row r="9" spans="1:19" x14ac:dyDescent="0.25">
      <c r="A9" s="46" t="s">
        <v>276</v>
      </c>
      <c r="B9" s="1" t="s">
        <v>118</v>
      </c>
      <c r="D9" s="35" t="s">
        <v>90</v>
      </c>
      <c r="E9" s="35" t="s">
        <v>90</v>
      </c>
      <c r="F9" s="34" t="s">
        <v>89</v>
      </c>
      <c r="H9" s="19" t="str">
        <f>VLOOKUP(Table53335375660[[#This Row],[Structure]],[1]!Dictionary[#All],3,FALSE)</f>
        <v>Right common iliac lymphatic chain</v>
      </c>
      <c r="I9" s="18">
        <f>VLOOKUP(Table53335375660[[#This Row],[Structure]],[1]!Dictionary[#All],4,FALSE)</f>
        <v>224271</v>
      </c>
      <c r="J9" s="18" t="str">
        <f>VLOOKUP(Table53335375660[[#This Row],[Structure]],[1]!Dictionary[#All],5,FALSE)</f>
        <v>FMA</v>
      </c>
      <c r="K9" s="17" t="str">
        <f>VLOOKUP(Table53335375660[[#This Row],[Structure]],[1]!Dictionary[#All],6,FALSE)</f>
        <v>3.2</v>
      </c>
      <c r="L9" s="16" t="str">
        <f>VLOOKUP(Table53335375660[[#This Row],[Structure]],[1]!VolumeType[#All],2,FALSE)</f>
        <v>CTV</v>
      </c>
      <c r="M9" s="15" t="str">
        <f>VLOOKUP(Table53335375660[[#This Row],[Structure]],[1]!VolumeType[#All],3,FALSE)</f>
        <v>Nodes</v>
      </c>
      <c r="N9" s="14" t="str">
        <f>VLOOKUP(Table53335375660[[#This Row],[Structure]],[1]!Colors[#All],3,FALSE)</f>
        <v>zNode comiliac L</v>
      </c>
      <c r="O9" s="12" t="str">
        <f>IFERROR(VLOOKUP(Table53335375660[[#This Row],[Structure]],[1]!DVH_lines[#Data],2,FALSE),"")</f>
        <v/>
      </c>
      <c r="P9" s="13" t="str">
        <f>IFERROR(VLOOKUP(Table53335375660[[#This Row],[Structure]],[1]!DVH_lines[#Data],3,FALSE),"")</f>
        <v/>
      </c>
      <c r="Q9" s="11" t="str">
        <f>IFERROR(VLOOKUP(Table53335375660[[#This Row],[Structure]],[1]!DVH_lines[#Data],4,FALSE),"")</f>
        <v/>
      </c>
      <c r="R9" s="12" t="str">
        <f>IFERROR(VLOOKUP(Table53335375660[[#This Row],[Structure]],[1]!SearchCT[#Data],2,FALSE),"")</f>
        <v/>
      </c>
      <c r="S9" s="11" t="str">
        <f>IFERROR(VLOOKUP(Table53335375660[[#This Row],[Structure]],[1]!SearchCT[#Data],3,FALSE),"")</f>
        <v/>
      </c>
    </row>
    <row r="10" spans="1:19" x14ac:dyDescent="0.25">
      <c r="A10" s="46" t="s">
        <v>258</v>
      </c>
      <c r="B10" s="1" t="s">
        <v>259</v>
      </c>
      <c r="D10" s="35" t="s">
        <v>88</v>
      </c>
      <c r="E10" s="35" t="s">
        <v>88</v>
      </c>
      <c r="F10" s="34" t="s">
        <v>87</v>
      </c>
      <c r="H10" s="19" t="str">
        <f>VLOOKUP(Table53335375660[[#This Row],[Structure]],[1]!Dictionary[#All],3,FALSE)</f>
        <v>Left common iliac lymphatic chain</v>
      </c>
      <c r="I10" s="18">
        <f>VLOOKUP(Table53335375660[[#This Row],[Structure]],[1]!Dictionary[#All],4,FALSE)</f>
        <v>224273</v>
      </c>
      <c r="J10" s="18" t="str">
        <f>VLOOKUP(Table53335375660[[#This Row],[Structure]],[1]!Dictionary[#All],5,FALSE)</f>
        <v>FMA</v>
      </c>
      <c r="K10" s="17" t="str">
        <f>VLOOKUP(Table53335375660[[#This Row],[Structure]],[1]!Dictionary[#All],6,FALSE)</f>
        <v>3.2</v>
      </c>
      <c r="L10" s="16" t="str">
        <f>VLOOKUP(Table53335375660[[#This Row],[Structure]],[1]!VolumeType[#All],2,FALSE)</f>
        <v>CTV</v>
      </c>
      <c r="M10" s="15" t="str">
        <f>VLOOKUP(Table53335375660[[#This Row],[Structure]],[1]!VolumeType[#All],3,FALSE)</f>
        <v>Nodes</v>
      </c>
      <c r="N10" s="14" t="str">
        <f>VLOOKUP(Table53335375660[[#This Row],[Structure]],[1]!Colors[#All],3,FALSE)</f>
        <v>zNode comiliac R</v>
      </c>
      <c r="O10" s="12" t="str">
        <f>IFERROR(VLOOKUP(Table53335375660[[#This Row],[Structure]],[1]!DVH_lines[#Data],2,FALSE),"")</f>
        <v/>
      </c>
      <c r="P10" s="13" t="str">
        <f>IFERROR(VLOOKUP(Table53335375660[[#This Row],[Structure]],[1]!DVH_lines[#Data],3,FALSE),"")</f>
        <v/>
      </c>
      <c r="Q10" s="11" t="str">
        <f>IFERROR(VLOOKUP(Table53335375660[[#This Row],[Structure]],[1]!DVH_lines[#Data],4,FALSE),"")</f>
        <v/>
      </c>
      <c r="R10" s="12" t="str">
        <f>IFERROR(VLOOKUP(Table53335375660[[#This Row],[Structure]],[1]!SearchCT[#Data],2,FALSE),"")</f>
        <v/>
      </c>
      <c r="S10" s="11" t="str">
        <f>IFERROR(VLOOKUP(Table53335375660[[#This Row],[Structure]],[1]!SearchCT[#Data],3,FALSE),"")</f>
        <v/>
      </c>
    </row>
    <row r="11" spans="1:19" x14ac:dyDescent="0.25">
      <c r="A11" s="46" t="s">
        <v>294</v>
      </c>
      <c r="B11" s="1" t="s">
        <v>265</v>
      </c>
      <c r="D11" s="35" t="s">
        <v>86</v>
      </c>
      <c r="E11" s="35" t="s">
        <v>86</v>
      </c>
      <c r="F11" s="34" t="s">
        <v>85</v>
      </c>
      <c r="H11" s="19" t="str">
        <f>VLOOKUP(Table53335375660[[#This Row],[Structure]],[1]!Dictionary[#All],3,FALSE)</f>
        <v>External iliac lymphatic chain</v>
      </c>
      <c r="I11" s="18">
        <f>VLOOKUP(Table53335375660[[#This Row],[Structure]],[1]!Dictionary[#All],4,FALSE)</f>
        <v>229177</v>
      </c>
      <c r="J11" s="18" t="str">
        <f>VLOOKUP(Table53335375660[[#This Row],[Structure]],[1]!Dictionary[#All],5,FALSE)</f>
        <v>FMA</v>
      </c>
      <c r="K11" s="17" t="str">
        <f>VLOOKUP(Table53335375660[[#This Row],[Structure]],[1]!Dictionary[#All],6,FALSE)</f>
        <v>3.2</v>
      </c>
      <c r="L11" s="16" t="str">
        <f>VLOOKUP(Table53335375660[[#This Row],[Structure]],[1]!VolumeType[#All],2,FALSE)</f>
        <v>CTV</v>
      </c>
      <c r="M11" s="15" t="str">
        <f>VLOOKUP(Table53335375660[[#This Row],[Structure]],[1]!VolumeType[#All],3,FALSE)</f>
        <v>Nodes</v>
      </c>
      <c r="N11" s="14" t="str">
        <f>VLOOKUP(Table53335375660[[#This Row],[Structure]],[1]!Colors[#All],3,FALSE)</f>
        <v>z Node ext iliac</v>
      </c>
      <c r="O11" s="12" t="str">
        <f>IFERROR(VLOOKUP(Table53335375660[[#This Row],[Structure]],[1]!DVH_lines[#Data],2,FALSE),"")</f>
        <v/>
      </c>
      <c r="P11" s="13" t="str">
        <f>IFERROR(VLOOKUP(Table53335375660[[#This Row],[Structure]],[1]!DVH_lines[#Data],3,FALSE),"")</f>
        <v/>
      </c>
      <c r="Q11" s="11" t="str">
        <f>IFERROR(VLOOKUP(Table53335375660[[#This Row],[Structure]],[1]!DVH_lines[#Data],4,FALSE),"")</f>
        <v/>
      </c>
      <c r="R11" s="12" t="str">
        <f>IFERROR(VLOOKUP(Table53335375660[[#This Row],[Structure]],[1]!SearchCT[#Data],2,FALSE),"")</f>
        <v/>
      </c>
      <c r="S11" s="11" t="str">
        <f>IFERROR(VLOOKUP(Table53335375660[[#This Row],[Structure]],[1]!SearchCT[#Data],3,FALSE),"")</f>
        <v/>
      </c>
    </row>
    <row r="12" spans="1:19" x14ac:dyDescent="0.25">
      <c r="A12" s="46" t="s">
        <v>260</v>
      </c>
      <c r="B12" s="1" t="s">
        <v>24</v>
      </c>
      <c r="D12" s="35" t="s">
        <v>84</v>
      </c>
      <c r="E12" s="35" t="s">
        <v>84</v>
      </c>
      <c r="F12" s="34" t="s">
        <v>83</v>
      </c>
      <c r="H12" s="19" t="str">
        <f>VLOOKUP(Table53335375660[[#This Row],[Structure]],[1]!Dictionary[#All],3,FALSE)</f>
        <v>Right external iliac lymphatic chain</v>
      </c>
      <c r="I12" s="18">
        <f>VLOOKUP(Table53335375660[[#This Row],[Structure]],[1]!Dictionary[#All],4,FALSE)</f>
        <v>229179</v>
      </c>
      <c r="J12" s="18" t="str">
        <f>VLOOKUP(Table53335375660[[#This Row],[Structure]],[1]!Dictionary[#All],5,FALSE)</f>
        <v>FMA</v>
      </c>
      <c r="K12" s="17" t="str">
        <f>VLOOKUP(Table53335375660[[#This Row],[Structure]],[1]!Dictionary[#All],6,FALSE)</f>
        <v>3.2</v>
      </c>
      <c r="L12" s="16" t="str">
        <f>VLOOKUP(Table53335375660[[#This Row],[Structure]],[1]!VolumeType[#All],2,FALSE)</f>
        <v>CTV</v>
      </c>
      <c r="M12" s="15" t="str">
        <f>VLOOKUP(Table53335375660[[#This Row],[Structure]],[1]!VolumeType[#All],3,FALSE)</f>
        <v>Nodes</v>
      </c>
      <c r="N12" s="14" t="str">
        <f>VLOOKUP(Table53335375660[[#This Row],[Structure]],[1]!Colors[#All],3,FALSE)</f>
        <v>zNode extiliac L</v>
      </c>
      <c r="O12" s="12" t="str">
        <f>IFERROR(VLOOKUP(Table53335375660[[#This Row],[Structure]],[1]!DVH_lines[#Data],2,FALSE),"")</f>
        <v/>
      </c>
      <c r="P12" s="13" t="str">
        <f>IFERROR(VLOOKUP(Table53335375660[[#This Row],[Structure]],[1]!DVH_lines[#Data],3,FALSE),"")</f>
        <v/>
      </c>
      <c r="Q12" s="11" t="str">
        <f>IFERROR(VLOOKUP(Table53335375660[[#This Row],[Structure]],[1]!DVH_lines[#Data],4,FALSE),"")</f>
        <v/>
      </c>
      <c r="R12" s="12" t="str">
        <f>IFERROR(VLOOKUP(Table53335375660[[#This Row],[Structure]],[1]!SearchCT[#Data],2,FALSE),"")</f>
        <v/>
      </c>
      <c r="S12" s="11" t="str">
        <f>IFERROR(VLOOKUP(Table53335375660[[#This Row],[Structure]],[1]!SearchCT[#Data],3,FALSE),"")</f>
        <v/>
      </c>
    </row>
    <row r="13" spans="1:19" ht="15.75" thickBot="1" x14ac:dyDescent="0.3">
      <c r="A13" s="46" t="s">
        <v>21</v>
      </c>
      <c r="B13" s="1" t="s">
        <v>20</v>
      </c>
      <c r="D13" s="35" t="s">
        <v>82</v>
      </c>
      <c r="E13" s="35" t="s">
        <v>82</v>
      </c>
      <c r="F13" s="34" t="s">
        <v>81</v>
      </c>
      <c r="H13" s="10" t="str">
        <f>VLOOKUP(Table53335375660[[#This Row],[Structure]],[1]!Dictionary[#All],3,FALSE)</f>
        <v>Left external iliac lymphatic chain</v>
      </c>
      <c r="I13" s="9">
        <f>VLOOKUP(Table53335375660[[#This Row],[Structure]],[1]!Dictionary[#All],4,FALSE)</f>
        <v>229181</v>
      </c>
      <c r="J13" s="9" t="str">
        <f>VLOOKUP(Table53335375660[[#This Row],[Structure]],[1]!Dictionary[#All],5,FALSE)</f>
        <v>FMA</v>
      </c>
      <c r="K13" s="8" t="str">
        <f>VLOOKUP(Table53335375660[[#This Row],[Structure]],[1]!Dictionary[#All],6,FALSE)</f>
        <v>3.2</v>
      </c>
      <c r="L13" s="7" t="str">
        <f>VLOOKUP(Table53335375660[[#This Row],[Structure]],[1]!VolumeType[#All],2,FALSE)</f>
        <v>CTV</v>
      </c>
      <c r="M13" s="6" t="str">
        <f>VLOOKUP(Table53335375660[[#This Row],[Structure]],[1]!VolumeType[#All],3,FALSE)</f>
        <v>Nodes</v>
      </c>
      <c r="N13" s="5" t="str">
        <f>VLOOKUP(Table53335375660[[#This Row],[Structure]],[1]!Colors[#All],3,FALSE)</f>
        <v>zNode extiliac R</v>
      </c>
      <c r="O13" s="3" t="str">
        <f>IFERROR(VLOOKUP(Table53335375660[[#This Row],[Structure]],[1]!DVH_lines[#Data],2,FALSE),"")</f>
        <v/>
      </c>
      <c r="P13" s="4" t="str">
        <f>IFERROR(VLOOKUP(Table53335375660[[#This Row],[Structure]],[1]!DVH_lines[#Data],3,FALSE),"")</f>
        <v/>
      </c>
      <c r="Q13" s="2" t="str">
        <f>IFERROR(VLOOKUP(Table53335375660[[#This Row],[Structure]],[1]!DVH_lines[#Data],4,FALSE),"")</f>
        <v/>
      </c>
      <c r="R13" s="3" t="str">
        <f>IFERROR(VLOOKUP(Table53335375660[[#This Row],[Structure]],[1]!SearchCT[#Data],2,FALSE),"")</f>
        <v/>
      </c>
      <c r="S13" s="2" t="str">
        <f>IFERROR(VLOOKUP(Table53335375660[[#This Row],[Structure]],[1]!SearchCT[#Data],3,FALSE),"")</f>
        <v/>
      </c>
    </row>
    <row r="14" spans="1:19" x14ac:dyDescent="0.25">
      <c r="A14" s="20"/>
      <c r="B14" s="20"/>
    </row>
    <row r="17" spans="4:6" x14ac:dyDescent="0.25">
      <c r="F17"/>
    </row>
    <row r="18" spans="4:6" x14ac:dyDescent="0.25">
      <c r="F18"/>
    </row>
    <row r="19" spans="4:6" x14ac:dyDescent="0.25">
      <c r="F19"/>
    </row>
    <row r="20" spans="4:6" x14ac:dyDescent="0.25">
      <c r="F20"/>
    </row>
    <row r="21" spans="4:6" x14ac:dyDescent="0.25">
      <c r="F21"/>
    </row>
    <row r="22" spans="4:6" x14ac:dyDescent="0.25">
      <c r="F22"/>
    </row>
    <row r="23" spans="4:6" x14ac:dyDescent="0.25">
      <c r="F23"/>
    </row>
    <row r="24" spans="4:6" x14ac:dyDescent="0.25">
      <c r="F24"/>
    </row>
    <row r="25" spans="4:6" x14ac:dyDescent="0.25">
      <c r="F25"/>
    </row>
    <row r="26" spans="4:6" x14ac:dyDescent="0.25">
      <c r="F26"/>
    </row>
    <row r="27" spans="4:6" x14ac:dyDescent="0.25">
      <c r="D27"/>
      <c r="F27"/>
    </row>
    <row r="28" spans="4:6" x14ac:dyDescent="0.25">
      <c r="D28"/>
      <c r="F28"/>
    </row>
    <row r="29" spans="4:6" x14ac:dyDescent="0.25">
      <c r="D29"/>
      <c r="F29"/>
    </row>
    <row r="30" spans="4:6" x14ac:dyDescent="0.25">
      <c r="F30"/>
    </row>
    <row r="31" spans="4:6" x14ac:dyDescent="0.25">
      <c r="F31"/>
    </row>
    <row r="32" spans="4:6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F13" sqref="F13"/>
    </sheetView>
  </sheetViews>
  <sheetFormatPr defaultRowHeight="15" x14ac:dyDescent="0.25"/>
  <cols>
    <col min="1" max="1" width="14.5703125" style="1" bestFit="1" customWidth="1"/>
    <col min="2" max="2" width="14.28515625" style="1" bestFit="1" customWidth="1"/>
    <col min="3" max="3" width="5.42578125" style="1" customWidth="1"/>
    <col min="4" max="5" width="15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35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35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124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122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115</v>
      </c>
      <c r="F7" s="38" t="s">
        <v>114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116</v>
      </c>
      <c r="D8" s="36" t="s">
        <v>113</v>
      </c>
      <c r="E8" s="40" t="s">
        <v>113</v>
      </c>
      <c r="F8" s="38" t="s">
        <v>112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38</v>
      </c>
      <c r="E9" s="40" t="s">
        <v>38</v>
      </c>
      <c r="F9" s="38" t="s">
        <v>37</v>
      </c>
      <c r="G9" s="37"/>
      <c r="H9" s="21"/>
      <c r="J9" s="19" t="str">
        <f>VLOOKUP(D9,[1]!Dictionary[#All],3,FALSE)</f>
        <v>Urinary bladder</v>
      </c>
      <c r="K9" s="18">
        <f>VLOOKUP(D9,[1]!Dictionary[#All],4,FALSE)</f>
        <v>15900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Bladder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20</v>
      </c>
      <c r="U9" s="11">
        <f>IFERROR(VLOOKUP(D9,[1]!SearchCT[#Data],3,FALSE),"")</f>
        <v>80</v>
      </c>
    </row>
    <row r="10" spans="1:21" x14ac:dyDescent="0.25">
      <c r="A10" s="46" t="s">
        <v>258</v>
      </c>
      <c r="B10" s="1" t="s">
        <v>259</v>
      </c>
      <c r="D10" s="1" t="s">
        <v>35</v>
      </c>
      <c r="E10" s="39" t="s">
        <v>35</v>
      </c>
      <c r="F10" s="39" t="s">
        <v>35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Rectum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>
        <f>IFERROR(VLOOKUP(D10,[1]!SearchCT[#Data],2,FALSE),"")</f>
        <v>-20</v>
      </c>
      <c r="U10" s="11">
        <f>IFERROR(VLOOKUP(D10,[1]!SearchCT[#Data],3,FALSE),"")</f>
        <v>40</v>
      </c>
    </row>
    <row r="11" spans="1:21" x14ac:dyDescent="0.25">
      <c r="A11" s="46" t="s">
        <v>294</v>
      </c>
      <c r="B11" s="1" t="s">
        <v>267</v>
      </c>
      <c r="D11" s="1" t="s">
        <v>2</v>
      </c>
      <c r="E11" s="1" t="s">
        <v>2</v>
      </c>
      <c r="F11" s="39" t="s">
        <v>1</v>
      </c>
      <c r="G11" s="37"/>
      <c r="H11" s="21"/>
      <c r="J11" s="19" t="str">
        <f>VLOOKUP(D11,[1]!Dictionary[#All],3,FALSE)</f>
        <v>Region of mesentery</v>
      </c>
      <c r="K11" s="18">
        <f>VLOOKUP(D11,[1]!Dictionary[#All],4,FALSE)</f>
        <v>259286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MesoRectum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26</v>
      </c>
      <c r="E12" s="40" t="s">
        <v>26</v>
      </c>
      <c r="F12" s="38" t="s">
        <v>25</v>
      </c>
      <c r="G12" s="37"/>
      <c r="H12" s="21"/>
      <c r="J12" s="19" t="str">
        <f>VLOOKUP(D12,[1]!Dictionary[#All],3,FALSE)</f>
        <v>Small intestine</v>
      </c>
      <c r="K12" s="18">
        <f>VLOOKUP(D12,[1]!Dictionary[#All],4,FALSE)</f>
        <v>7200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Small Bowel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32</v>
      </c>
      <c r="E13" s="39" t="s">
        <v>32</v>
      </c>
      <c r="F13" s="38" t="s">
        <v>31</v>
      </c>
      <c r="G13" s="37"/>
      <c r="H13" s="21"/>
      <c r="J13" s="19" t="str">
        <f>VLOOKUP(D13,[1]!Dictionary[#All],3,FALSE)</f>
        <v>Head of right femur</v>
      </c>
      <c r="K13" s="18">
        <f>VLOOKUP(D13,[1]!Dictionary[#All],4,FALSE)</f>
        <v>55011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Femoral Head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29</v>
      </c>
      <c r="E14" s="39" t="s">
        <v>29</v>
      </c>
      <c r="F14" s="38" t="s">
        <v>28</v>
      </c>
      <c r="G14" s="37"/>
      <c r="H14" s="21"/>
      <c r="J14" s="19" t="str">
        <f>VLOOKUP(D14,[1]!Dictionary[#All],3,FALSE)</f>
        <v>Head of left femur</v>
      </c>
      <c r="K14" s="18">
        <f>VLOOKUP(D14,[1]!Dictionary[#All],4,FALSE)</f>
        <v>55012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Femoral Head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103</v>
      </c>
      <c r="E15" s="35" t="s">
        <v>103</v>
      </c>
      <c r="F15" s="1" t="s">
        <v>300</v>
      </c>
      <c r="G15" s="37"/>
      <c r="H15" s="21"/>
      <c r="J15" s="19" t="str">
        <f>VLOOKUP(D15,[1]!Dictionary[#All],3,FALSE)</f>
        <v>Left internal iliac lymphatic chain</v>
      </c>
      <c r="K15" s="18">
        <f>VLOOKUP(D15,[1]!Dictionary[#All],4,FALSE)</f>
        <v>224279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Intiliac 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35" t="s">
        <v>101</v>
      </c>
      <c r="E16" s="35" t="s">
        <v>101</v>
      </c>
      <c r="F16" s="1" t="s">
        <v>301</v>
      </c>
      <c r="G16" s="37"/>
      <c r="H16" s="21"/>
      <c r="J16" s="19" t="str">
        <f>VLOOKUP(D16,[1]!Dictionary[#All],3,FALSE)</f>
        <v>Right internal iliac lymphatic chain</v>
      </c>
      <c r="K16" s="18">
        <f>VLOOKUP(D16,[1]!Dictionary[#All],4,FALSE)</f>
        <v>224277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Intiliac R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35" t="s">
        <v>84</v>
      </c>
      <c r="E17" s="35" t="s">
        <v>84</v>
      </c>
      <c r="F17" s="47" t="s">
        <v>81</v>
      </c>
      <c r="G17" s="37"/>
      <c r="H17" s="21"/>
      <c r="J17" s="19" t="str">
        <f>VLOOKUP(D17,[1]!Dictionary[#All],3,FALSE)</f>
        <v>Right external iliac lymphatic chain</v>
      </c>
      <c r="K17" s="18">
        <f>VLOOKUP(D17,[1]!Dictionary[#All],4,FALSE)</f>
        <v>229179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CTV</v>
      </c>
      <c r="O17" s="15" t="str">
        <f>VLOOKUP(D17,[1]!VolumeType[#All],3,FALSE)</f>
        <v>Nodes</v>
      </c>
      <c r="P17" s="14" t="str">
        <f>VLOOKUP(D17,[1]!Colors[#All],3,FALSE)</f>
        <v>zNode extiliac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5" t="s">
        <v>82</v>
      </c>
      <c r="E18" s="35" t="s">
        <v>82</v>
      </c>
      <c r="F18" s="34" t="s">
        <v>83</v>
      </c>
      <c r="G18" s="37"/>
      <c r="H18" s="21"/>
      <c r="J18" s="19" t="str">
        <f>VLOOKUP(D18,[1]!Dictionary[#All],3,FALSE)</f>
        <v>Left external iliac lymphatic chain</v>
      </c>
      <c r="K18" s="18">
        <f>VLOOKUP(D18,[1]!Dictionary[#All],4,FALSE)</f>
        <v>229181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zNode extiliac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8.7109375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18.57031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155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154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152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115</v>
      </c>
      <c r="E7" s="39" t="s">
        <v>150</v>
      </c>
      <c r="F7" s="38" t="s">
        <v>149</v>
      </c>
      <c r="G7" s="37"/>
      <c r="H7" s="21"/>
      <c r="J7" s="19" t="str">
        <f>VLOOKUP(D7,[1]!Dictionary[#All],3,FALSE)</f>
        <v>CTV Primary</v>
      </c>
      <c r="K7" s="18" t="str">
        <f>VLOOKUP(D7,[1]!Dictionary[#All],4,FALSE)</f>
        <v>CTVp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113</v>
      </c>
      <c r="E8" s="40" t="s">
        <v>148</v>
      </c>
      <c r="F8" s="38" t="s">
        <v>147</v>
      </c>
      <c r="G8" s="37"/>
      <c r="H8" s="21"/>
      <c r="J8" s="19" t="str">
        <f>VLOOKUP(D8,[1]!Dictionary[#All],3,FALSE)</f>
        <v>PTV Primary</v>
      </c>
      <c r="K8" s="18" t="str">
        <f>VLOOKUP(D8,[1]!Dictionary[#All],4,FALSE)</f>
        <v>PTVp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145</v>
      </c>
      <c r="F9" s="38" t="s">
        <v>144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142</v>
      </c>
      <c r="F10" s="38" t="s">
        <v>141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268</v>
      </c>
      <c r="D11" s="40" t="s">
        <v>140</v>
      </c>
      <c r="E11" s="40" t="s">
        <v>139</v>
      </c>
      <c r="F11" s="38" t="s">
        <v>138</v>
      </c>
      <c r="G11" s="37"/>
      <c r="H11" s="21"/>
      <c r="J11" s="19" t="str">
        <f>VLOOKUP(D11,[1]!Dictionary[#All],3,FALSE)</f>
        <v>Control Region</v>
      </c>
      <c r="K11" s="18" t="str">
        <f>VLOOKUP(D11,[1]!Dictionary[#All],4,FALSE)</f>
        <v>Control</v>
      </c>
      <c r="L11" s="18" t="str">
        <f>VLOOKUP(D11,[1]!Dictionary[#All],5,FALSE)</f>
        <v>99VMS_STRUCTCODE</v>
      </c>
      <c r="M11" s="17" t="str">
        <f>VLOOKUP(D11,[1]!Dictionary[#All],6,FALSE)</f>
        <v>1.0</v>
      </c>
      <c r="N11" s="16" t="str">
        <f>VLOOKUP(D11,[1]!VolumeType[#All],2,FALSE)</f>
        <v>Control</v>
      </c>
      <c r="O11" s="15" t="str">
        <f>VLOOKUP(D11,[1]!VolumeType[#All],3,FALSE)</f>
        <v>Control</v>
      </c>
      <c r="P11" s="14" t="str">
        <f>VLOOKUP(D11,[1]!Colors[#All],3,FALSE)</f>
        <v>z Avoid a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137</v>
      </c>
      <c r="E12" s="40" t="s">
        <v>136</v>
      </c>
      <c r="F12" s="38" t="s">
        <v>135</v>
      </c>
      <c r="G12" s="37"/>
      <c r="H12" s="21"/>
      <c r="J12" s="19" t="str">
        <f>VLOOKUP(D12,[1]!Dictionary[#All],3,FALSE)</f>
        <v>Control Region</v>
      </c>
      <c r="K12" s="18" t="str">
        <f>VLOOKUP(D12,[1]!Dictionary[#All],4,FALSE)</f>
        <v>Control</v>
      </c>
      <c r="L12" s="18" t="str">
        <f>VLOOKUP(D12,[1]!Dictionary[#All],5,FALSE)</f>
        <v>99VMS_STRUCTCODE</v>
      </c>
      <c r="M12" s="17" t="str">
        <f>VLOOKUP(D12,[1]!Dictionary[#All],6,FALSE)</f>
        <v>1.0</v>
      </c>
      <c r="N12" s="16" t="str">
        <f>VLOOKUP(D12,[1]!VolumeType[#All],2,FALSE)</f>
        <v>Control</v>
      </c>
      <c r="O12" s="15" t="str">
        <f>VLOOKUP(D12,[1]!VolumeType[#All],3,FALSE)</f>
        <v>Control</v>
      </c>
      <c r="P12" s="14" t="str">
        <f>VLOOKUP(D12,[1]!Colors[#All],3,FALSE)</f>
        <v>z Avoid b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40" t="s">
        <v>38</v>
      </c>
      <c r="E13" s="40" t="s">
        <v>38</v>
      </c>
      <c r="F13" s="38" t="s">
        <v>37</v>
      </c>
      <c r="G13" s="37"/>
      <c r="H13" s="21"/>
      <c r="J13" s="19" t="str">
        <f>VLOOKUP(D13,[1]!Dictionary[#All],3,FALSE)</f>
        <v>Urinary bladder</v>
      </c>
      <c r="K13" s="18">
        <f>VLOOKUP(D13,[1]!Dictionary[#All],4,FALSE)</f>
        <v>15900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Organ</v>
      </c>
      <c r="O13" s="15" t="str">
        <f>VLOOKUP(D13,[1]!VolumeType[#All],3,FALSE)</f>
        <v>Organ</v>
      </c>
      <c r="P13" s="14" t="str">
        <f>VLOOKUP(D13,[1]!Colors[#All],3,FALSE)</f>
        <v>z Bladder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>
        <f>IFERROR(VLOOKUP(D13,[1]!SearchCT[#Data],2,FALSE),"")</f>
        <v>20</v>
      </c>
      <c r="U13" s="11">
        <f>IFERROR(VLOOKUP(D13,[1]!SearchCT[#Data],3,FALSE),"")</f>
        <v>80</v>
      </c>
    </row>
    <row r="14" spans="1:21" x14ac:dyDescent="0.25">
      <c r="D14" s="40" t="s">
        <v>13</v>
      </c>
      <c r="E14" s="40" t="s">
        <v>134</v>
      </c>
      <c r="F14" s="38" t="s">
        <v>133</v>
      </c>
      <c r="G14" s="37"/>
      <c r="H14" s="21"/>
      <c r="J14" s="19" t="str">
        <f>VLOOKUP(D14,[1]!Dictionary[#All],3,FALSE)</f>
        <v>Intestine</v>
      </c>
      <c r="K14" s="18">
        <f>VLOOKUP(D14,[1]!Dictionary[#All],4,FALSE)</f>
        <v>7199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Organ</v>
      </c>
      <c r="O14" s="15" t="str">
        <f>VLOOKUP(D14,[1]!VolumeType[#All],3,FALSE)</f>
        <v>Organ</v>
      </c>
      <c r="P14" s="14" t="str">
        <f>VLOOKUP(D14,[1]!Colors[#All],3,FALSE)</f>
        <v>z Bowel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26</v>
      </c>
      <c r="E15" s="40" t="s">
        <v>26</v>
      </c>
      <c r="F15" s="40" t="s">
        <v>25</v>
      </c>
      <c r="G15" s="37"/>
      <c r="H15" s="21"/>
      <c r="J15" s="19" t="str">
        <f>VLOOKUP(D15,[1]!Dictionary[#All],3,FALSE)</f>
        <v>Small intestine</v>
      </c>
      <c r="K15" s="18">
        <f>VLOOKUP(D15,[1]!Dictionary[#All],4,FALSE)</f>
        <v>7200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Organ</v>
      </c>
      <c r="O15" s="15" t="str">
        <f>VLOOKUP(D15,[1]!VolumeType[#All],3,FALSE)</f>
        <v>Organ</v>
      </c>
      <c r="P15" s="14" t="str">
        <f>VLOOKUP(D15,[1]!Colors[#All],3,FALSE)</f>
        <v>z Small Bowel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23</v>
      </c>
      <c r="E16" s="40" t="s">
        <v>23</v>
      </c>
      <c r="F16" s="38" t="s">
        <v>22</v>
      </c>
      <c r="G16" s="37"/>
      <c r="H16" s="21"/>
      <c r="J16" s="19" t="str">
        <f>VLOOKUP(D16,[1]!Dictionary[#All],3,FALSE)</f>
        <v>Large intestine</v>
      </c>
      <c r="K16" s="18">
        <f>VLOOKUP(D16,[1]!Dictionary[#All],4,FALSE)</f>
        <v>7201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Organ</v>
      </c>
      <c r="O16" s="15" t="str">
        <f>VLOOKUP(D16,[1]!VolumeType[#All],3,FALSE)</f>
        <v>Organ</v>
      </c>
      <c r="P16" s="14" t="str">
        <f>VLOOKUP(D16,[1]!Colors[#All],3,FALSE)</f>
        <v>z Large Bowel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35</v>
      </c>
      <c r="E17" s="40" t="s">
        <v>35</v>
      </c>
      <c r="F17" s="40" t="s">
        <v>35</v>
      </c>
      <c r="G17" s="37"/>
      <c r="H17" s="21"/>
      <c r="J17" s="19" t="str">
        <f>VLOOKUP(D17,[1]!Dictionary[#All],3,FALSE)</f>
        <v>Rectum</v>
      </c>
      <c r="K17" s="18">
        <f>VLOOKUP(D17,[1]!Dictionary[#All],4,FALSE)</f>
        <v>14544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Rectum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-20</v>
      </c>
      <c r="U17" s="11">
        <f>IFERROR(VLOOKUP(D17,[1]!SearchCT[#Data],3,FALSE),"")</f>
        <v>40</v>
      </c>
    </row>
    <row r="18" spans="4:21" x14ac:dyDescent="0.25">
      <c r="D18" s="40" t="s">
        <v>132</v>
      </c>
      <c r="E18" s="40" t="s">
        <v>131</v>
      </c>
      <c r="F18" s="38" t="s">
        <v>130</v>
      </c>
      <c r="G18" s="37"/>
      <c r="H18" s="21"/>
      <c r="J18" s="19" t="str">
        <f>VLOOKUP(D18,[1]!Dictionary[#All],3,FALSE)</f>
        <v>Rectum</v>
      </c>
      <c r="K18" s="18">
        <f>VLOOKUP(D18,[1]!Dictionary[#All],4,FALSE)</f>
        <v>14544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Control</v>
      </c>
      <c r="O18" s="15" t="str">
        <f>VLOOKUP(D18,[1]!VolumeType[#All],3,FALSE)</f>
        <v>Avoidance</v>
      </c>
      <c r="P18" s="14" t="str">
        <f>VLOOKUP(D18,[1]!Colors[#All],3,FALSE)</f>
        <v>z Rectum</v>
      </c>
      <c r="Q18" s="12">
        <f>IFERROR(VLOOKUP(D18,[1]!DVH_lines[#Data],2,FALSE),"")</f>
        <v>-16777216</v>
      </c>
      <c r="R18" s="13">
        <f>IFERROR(VLOOKUP(D18,[1]!DVH_lines[#Data],3,FALSE),"")</f>
        <v>1</v>
      </c>
      <c r="S18" s="11">
        <f>IFERROR(VLOOKUP(D18,[1]!DVH_lines[#Data],4,FALSE),"")</f>
        <v>3</v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32</v>
      </c>
      <c r="E19" s="39" t="s">
        <v>32</v>
      </c>
      <c r="F19" s="38" t="s">
        <v>31</v>
      </c>
      <c r="G19" s="37"/>
      <c r="H19" s="21"/>
      <c r="J19" s="19" t="str">
        <f>VLOOKUP(D19,[1]!Dictionary[#All],3,FALSE)</f>
        <v>Head of right femur</v>
      </c>
      <c r="K19" s="18">
        <f>VLOOKUP(D19,[1]!Dictionary[#All],4,FALSE)</f>
        <v>55011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Femoral Head 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29</v>
      </c>
      <c r="E20" s="39" t="s">
        <v>29</v>
      </c>
      <c r="F20" s="38" t="s">
        <v>28</v>
      </c>
      <c r="G20" s="37"/>
      <c r="H20" s="21"/>
      <c r="J20" s="19" t="str">
        <f>VLOOKUP(D20,[1]!Dictionary[#All],3,FALSE)</f>
        <v>Head of left femur</v>
      </c>
      <c r="K20" s="18">
        <f>VLOOKUP(D20,[1]!Dictionary[#All],4,FALSE)</f>
        <v>55012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Femoral Head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1" t="s">
        <v>107</v>
      </c>
      <c r="E21" s="39" t="s">
        <v>109</v>
      </c>
      <c r="F21" s="38" t="s">
        <v>105</v>
      </c>
      <c r="G21" s="37"/>
      <c r="H21" s="21"/>
      <c r="J21" s="19" t="str">
        <f>VLOOKUP(D21,[1]!Dictionary[#All],3,FALSE)</f>
        <v>Artifact</v>
      </c>
      <c r="K21" s="18">
        <f>VLOOKUP(D21,[1]!Dictionary[#All],4,FALSE)</f>
        <v>11296</v>
      </c>
      <c r="L21" s="18" t="str">
        <f>VLOOKUP(D21,[1]!Dictionary[#All],5,FALSE)</f>
        <v>RADLEX</v>
      </c>
      <c r="M21" s="17">
        <f>VLOOKUP(D21,[1]!Dictionary[#All],6,FALSE)</f>
        <v>3.8</v>
      </c>
      <c r="N21" s="16" t="str">
        <f>VLOOKUP(D21,[1]!VolumeType[#All],2,FALSE)</f>
        <v>Artifact</v>
      </c>
      <c r="O21" s="15" t="str">
        <f>VLOOKUP(D21,[1]!VolumeType[#All],3,FALSE)</f>
        <v>None</v>
      </c>
      <c r="P21" s="14" t="str">
        <f>VLOOKUP(D21,[1]!Colors[#All],3,FALSE)</f>
        <v>z RO Helper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1" t="s">
        <v>107</v>
      </c>
      <c r="E22" s="39" t="s">
        <v>108</v>
      </c>
      <c r="F22" s="38" t="s">
        <v>105</v>
      </c>
      <c r="G22" s="37"/>
      <c r="H22" s="21"/>
      <c r="J22" s="19" t="str">
        <f>VLOOKUP(D22,[1]!Dictionary[#All],3,FALSE)</f>
        <v>Artifact</v>
      </c>
      <c r="K22" s="18">
        <f>VLOOKUP(D22,[1]!Dictionary[#All],4,FALSE)</f>
        <v>11296</v>
      </c>
      <c r="L22" s="18" t="str">
        <f>VLOOKUP(D22,[1]!Dictionary[#All],5,FALSE)</f>
        <v>RADLEX</v>
      </c>
      <c r="M22" s="17">
        <f>VLOOKUP(D22,[1]!Dictionary[#All],6,FALSE)</f>
        <v>3.8</v>
      </c>
      <c r="N22" s="16" t="str">
        <f>VLOOKUP(D22,[1]!VolumeType[#All],2,FALSE)</f>
        <v>Artifact</v>
      </c>
      <c r="O22" s="15" t="str">
        <f>VLOOKUP(D22,[1]!VolumeType[#All],3,FALSE)</f>
        <v>None</v>
      </c>
      <c r="P22" s="14" t="str">
        <f>VLOOKUP(D22,[1]!Colors[#All],3,FALSE)</f>
        <v>z RO Helper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ht="15.75" thickBot="1" x14ac:dyDescent="0.3">
      <c r="D23" s="1" t="s">
        <v>107</v>
      </c>
      <c r="E23" s="39" t="s">
        <v>106</v>
      </c>
      <c r="F23" s="38" t="s">
        <v>105</v>
      </c>
      <c r="G23" s="37"/>
      <c r="H23" s="21"/>
      <c r="J23" s="10" t="str">
        <f>VLOOKUP(D23,[1]!Dictionary[#All],3,FALSE)</f>
        <v>Artifact</v>
      </c>
      <c r="K23" s="9">
        <f>VLOOKUP(D23,[1]!Dictionary[#All],4,FALSE)</f>
        <v>11296</v>
      </c>
      <c r="L23" s="9" t="str">
        <f>VLOOKUP(D23,[1]!Dictionary[#All],5,FALSE)</f>
        <v>RADLEX</v>
      </c>
      <c r="M23" s="8">
        <f>VLOOKUP(D23,[1]!Dictionary[#All],6,FALSE)</f>
        <v>3.8</v>
      </c>
      <c r="N23" s="7" t="str">
        <f>VLOOKUP(D23,[1]!VolumeType[#All],2,FALSE)</f>
        <v>Artifact</v>
      </c>
      <c r="O23" s="6" t="str">
        <f>VLOOKUP(D23,[1]!VolumeType[#All],3,FALSE)</f>
        <v>None</v>
      </c>
      <c r="P23" s="5" t="str">
        <f>VLOOKUP(D23,[1]!Colors[#All],3,FALSE)</f>
        <v>z RO Helper</v>
      </c>
      <c r="Q23" s="3" t="str">
        <f>IFERROR(VLOOKUP(D23,[1]!DVH_lines[#Data],2,FALSE),"")</f>
        <v/>
      </c>
      <c r="R23" s="4" t="str">
        <f>IFERROR(VLOOKUP(D23,[1]!DVH_lines[#Data],3,FALSE),"")</f>
        <v/>
      </c>
      <c r="S23" s="2" t="str">
        <f>IFERROR(VLOOKUP(D23,[1]!DVH_lines[#Data],4,FALSE),"")</f>
        <v/>
      </c>
      <c r="T23" s="3" t="str">
        <f>IFERROR(VLOOKUP(D23,[1]!SearchCT[#Data],2,FALSE),"")</f>
        <v/>
      </c>
      <c r="U23" s="2" t="str">
        <f>IFERROR(VLOOKUP(D23,[1]!SearchCT[#Data],3,FALSE),"")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workbookViewId="0">
      <selection activeCell="B9" sqref="B9"/>
    </sheetView>
  </sheetViews>
  <sheetFormatPr defaultRowHeight="15" x14ac:dyDescent="0.25"/>
  <cols>
    <col min="1" max="1" width="14.5703125" style="1" bestFit="1" customWidth="1"/>
    <col min="2" max="2" width="27" style="1" bestFit="1" customWidth="1"/>
    <col min="3" max="3" width="5.42578125" style="1" customWidth="1"/>
    <col min="4" max="5" width="15" style="1" bestFit="1" customWidth="1"/>
    <col min="6" max="6" width="34.8554687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167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167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153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166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119</v>
      </c>
      <c r="E6" s="40" t="s">
        <v>118</v>
      </c>
      <c r="F6" s="38" t="s">
        <v>117</v>
      </c>
      <c r="G6" s="37"/>
      <c r="H6" s="21"/>
      <c r="J6" s="19" t="str">
        <f>VLOOKUP(D6,[1]!Dictionary[#All],3,FALSE)</f>
        <v>GTV Nodal</v>
      </c>
      <c r="K6" s="18" t="str">
        <f>VLOOKUP(D6,[1]!Dictionary[#All],4,FALSE)</f>
        <v>GTVn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GTV</v>
      </c>
      <c r="O6" s="15" t="str">
        <f>VLOOKUP(D6,[1]!VolumeType[#All],3,FALSE)</f>
        <v>Nodes</v>
      </c>
      <c r="P6" s="14" t="str">
        <f>VLOOKUP(D6,[1]!Colors[#All],3,FALSE)</f>
        <v>z GTV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165</v>
      </c>
      <c r="E7" s="39" t="s">
        <v>164</v>
      </c>
      <c r="F7" s="38" t="s">
        <v>163</v>
      </c>
      <c r="G7" s="37"/>
      <c r="H7" s="21"/>
      <c r="J7" s="19" t="str">
        <f>VLOOKUP(D7,[1]!Dictionary[#All],3,FALSE)</f>
        <v>CTV High Risk</v>
      </c>
      <c r="K7" s="18" t="str">
        <f>VLOOKUP(D7,[1]!Dictionary[#All],4,FALSE)</f>
        <v>CTV_High</v>
      </c>
      <c r="L7" s="18" t="str">
        <f>VLOOKUP(D7,[1]!Dictionary[#All],5,FALSE)</f>
        <v>99VMS_STRUCTCODE</v>
      </c>
      <c r="M7" s="17" t="str">
        <f>VLOOKUP(D7,[1]!Dictionary[#All],6,FALSE)</f>
        <v>1.0</v>
      </c>
      <c r="N7" s="16" t="str">
        <f>VLOOKUP(D7,[1]!VolumeType[#All],2,FALSE)</f>
        <v>CTV</v>
      </c>
      <c r="O7" s="15" t="str">
        <f>VLOOKUP(D7,[1]!VolumeType[#All],3,FALSE)</f>
        <v>CTV</v>
      </c>
      <c r="P7" s="14" t="str">
        <f>VLOOKUP(D7,[1]!Colors[#All],3,FALSE)</f>
        <v>z CTV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 t="str">
        <f>IFERROR(VLOOKUP(D7,[1]!SearchCT[#Data],2,FALSE),"")</f>
        <v/>
      </c>
      <c r="U7" s="11" t="str">
        <f>IFERROR(VLOOKUP(D7,[1]!SearchCT[#Data],3,FALSE),"")</f>
        <v/>
      </c>
    </row>
    <row r="8" spans="1:21" x14ac:dyDescent="0.25">
      <c r="A8" s="46" t="s">
        <v>27</v>
      </c>
      <c r="B8" s="1" t="s">
        <v>151</v>
      </c>
      <c r="D8" s="36" t="s">
        <v>162</v>
      </c>
      <c r="E8" s="40" t="s">
        <v>161</v>
      </c>
      <c r="F8" s="38" t="s">
        <v>160</v>
      </c>
      <c r="G8" s="37"/>
      <c r="H8" s="21"/>
      <c r="J8" s="19" t="str">
        <f>VLOOKUP(D8,[1]!Dictionary[#All],3,FALSE)</f>
        <v>PTV High Risk</v>
      </c>
      <c r="K8" s="18" t="str">
        <f>VLOOKUP(D8,[1]!Dictionary[#All],4,FALSE)</f>
        <v>PTV_High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PTV</v>
      </c>
      <c r="O8" s="15" t="str">
        <f>VLOOKUP(D8,[1]!VolumeType[#All],3,FALSE)</f>
        <v>PTV</v>
      </c>
      <c r="P8" s="14" t="str">
        <f>VLOOKUP(D8,[1]!Colors[#All],3,FALSE)</f>
        <v>z PTV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146</v>
      </c>
      <c r="E9" s="40" t="s">
        <v>159</v>
      </c>
      <c r="F9" s="38" t="s">
        <v>158</v>
      </c>
      <c r="G9" s="37"/>
      <c r="H9" s="21"/>
      <c r="J9" s="19" t="str">
        <f>VLOOKUP(D9,[1]!Dictionary[#All],3,FALSE)</f>
        <v>PTV Primary</v>
      </c>
      <c r="K9" s="18" t="str">
        <f>VLOOKUP(D9,[1]!Dictionary[#All],4,FALSE)</f>
        <v>PTVp</v>
      </c>
      <c r="L9" s="18" t="str">
        <f>VLOOKUP(D9,[1]!Dictionary[#All],5,FALSE)</f>
        <v>99VMS_STRUCTCODE</v>
      </c>
      <c r="M9" s="17" t="str">
        <f>VLOOKUP(D9,[1]!Dictionary[#All],6,FALSE)</f>
        <v>1.0</v>
      </c>
      <c r="N9" s="16" t="str">
        <f>VLOOKUP(D9,[1]!VolumeType[#All],2,FALSE)</f>
        <v>PTV</v>
      </c>
      <c r="O9" s="15" t="str">
        <f>VLOOKUP(D9,[1]!VolumeType[#All],3,FALSE)</f>
        <v>PTV</v>
      </c>
      <c r="P9" s="14" t="str">
        <f>VLOOKUP(D9,[1]!Colors[#All],3,FALSE)</f>
        <v>z PTV eval</v>
      </c>
      <c r="Q9" s="12">
        <f>IFERROR(VLOOKUP(D9,[1]!DVH_lines[#Data],2,FALSE),"")</f>
        <v>-16777216</v>
      </c>
      <c r="R9" s="13">
        <f>IFERROR(VLOOKUP(D9,[1]!DVH_lines[#Data],3,FALSE),"")</f>
        <v>0</v>
      </c>
      <c r="S9" s="11">
        <f>IFERROR(VLOOKUP(D9,[1]!DVH_lines[#Data],4,FALSE),"")</f>
        <v>5</v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143</v>
      </c>
      <c r="E10" s="40" t="s">
        <v>157</v>
      </c>
      <c r="F10" s="38" t="s">
        <v>156</v>
      </c>
      <c r="G10" s="37"/>
      <c r="H10" s="21"/>
      <c r="J10" s="19" t="str">
        <f>VLOOKUP(D10,[1]!Dictionary[#All],3,FALSE)</f>
        <v>PTV Primary</v>
      </c>
      <c r="K10" s="18" t="str">
        <f>VLOOKUP(D10,[1]!Dictionary[#All],4,FALSE)</f>
        <v>PTVp</v>
      </c>
      <c r="L10" s="18" t="str">
        <f>VLOOKUP(D10,[1]!Dictionary[#All],5,FALSE)</f>
        <v>99VMS_STRUCTCODE</v>
      </c>
      <c r="M10" s="17" t="str">
        <f>VLOOKUP(D10,[1]!Dictionary[#All],6,FALSE)</f>
        <v>1.0</v>
      </c>
      <c r="N10" s="16" t="str">
        <f>VLOOKUP(D10,[1]!VolumeType[#All],2,FALSE)</f>
        <v>PTV</v>
      </c>
      <c r="O10" s="15" t="str">
        <f>VLOOKUP(D10,[1]!VolumeType[#All],3,FALSE)</f>
        <v>PTV</v>
      </c>
      <c r="P10" s="14" t="str">
        <f>VLOOKUP(D10,[1]!Colors[#All],3,FALSE)</f>
        <v>z PTV opt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269</v>
      </c>
      <c r="D11" s="35" t="s">
        <v>103</v>
      </c>
      <c r="E11" s="35" t="s">
        <v>103</v>
      </c>
      <c r="F11" s="38" t="s">
        <v>110</v>
      </c>
      <c r="G11" s="37"/>
      <c r="H11" s="21"/>
      <c r="J11" s="19" t="str">
        <f>VLOOKUP(D11,[1]!Dictionary[#All],3,FALSE)</f>
        <v>Left internal iliac lymphatic chain</v>
      </c>
      <c r="K11" s="18">
        <f>VLOOKUP(D11,[1]!Dictionary[#All],4,FALSE)</f>
        <v>224279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CTV</v>
      </c>
      <c r="O11" s="15" t="str">
        <f>VLOOKUP(D11,[1]!VolumeType[#All],3,FALSE)</f>
        <v>Nodes</v>
      </c>
      <c r="P11" s="14" t="str">
        <f>VLOOKUP(D11,[1]!Colors[#All],3,FALSE)</f>
        <v>zNode Intiliac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101</v>
      </c>
      <c r="E12" s="35" t="s">
        <v>101</v>
      </c>
      <c r="F12" s="38" t="s">
        <v>111</v>
      </c>
      <c r="G12" s="37"/>
      <c r="H12" s="21"/>
      <c r="J12" s="19" t="str">
        <f>VLOOKUP(D12,[1]!Dictionary[#All],3,FALSE)</f>
        <v>Right internal iliac lymphatic chain</v>
      </c>
      <c r="K12" s="18">
        <f>VLOOKUP(D12,[1]!Dictionary[#All],4,FALSE)</f>
        <v>224277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R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84</v>
      </c>
      <c r="E13" s="35" t="s">
        <v>84</v>
      </c>
      <c r="F13" s="34" t="s">
        <v>83</v>
      </c>
      <c r="G13" s="37"/>
      <c r="H13" s="21"/>
      <c r="J13" s="19" t="str">
        <f>VLOOKUP(D13,[1]!Dictionary[#All],3,FALSE)</f>
        <v>Right external iliac lymphatic chain</v>
      </c>
      <c r="K13" s="18">
        <f>VLOOKUP(D13,[1]!Dictionary[#All],4,FALSE)</f>
        <v>229179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extiliac L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D14" s="35" t="s">
        <v>82</v>
      </c>
      <c r="E14" s="35" t="s">
        <v>82</v>
      </c>
      <c r="F14" s="34" t="s">
        <v>81</v>
      </c>
      <c r="G14" s="37"/>
      <c r="H14" s="21"/>
      <c r="J14" s="19" t="str">
        <f>VLOOKUP(D14,[1]!Dictionary[#All],3,FALSE)</f>
        <v>Left external iliac lymphatic chain</v>
      </c>
      <c r="K14" s="18">
        <f>VLOOKUP(D14,[1]!Dictionary[#All],4,FALSE)</f>
        <v>229181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R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140</v>
      </c>
      <c r="E15" s="40" t="s">
        <v>139</v>
      </c>
      <c r="F15" s="38" t="s">
        <v>138</v>
      </c>
      <c r="G15" s="37"/>
      <c r="H15" s="21"/>
      <c r="J15" s="19" t="str">
        <f>VLOOKUP(D15,[1]!Dictionary[#All],3,FALSE)</f>
        <v>Control Region</v>
      </c>
      <c r="K15" s="18" t="str">
        <f>VLOOKUP(D15,[1]!Dictionary[#All],4,FALSE)</f>
        <v>Control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Control</v>
      </c>
      <c r="O15" s="15" t="str">
        <f>VLOOKUP(D15,[1]!VolumeType[#All],3,FALSE)</f>
        <v>Control</v>
      </c>
      <c r="P15" s="14" t="str">
        <f>VLOOKUP(D15,[1]!Colors[#All],3,FALSE)</f>
        <v>z Avoid a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137</v>
      </c>
      <c r="E16" s="40" t="s">
        <v>136</v>
      </c>
      <c r="F16" s="38" t="s">
        <v>135</v>
      </c>
      <c r="G16" s="37"/>
      <c r="H16" s="21"/>
      <c r="J16" s="19" t="str">
        <f>VLOOKUP(D16,[1]!Dictionary[#All],3,FALSE)</f>
        <v>Control Region</v>
      </c>
      <c r="K16" s="18" t="str">
        <f>VLOOKUP(D16,[1]!Dictionary[#All],4,FALSE)</f>
        <v>Control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Control</v>
      </c>
      <c r="O16" s="15" t="str">
        <f>VLOOKUP(D16,[1]!VolumeType[#All],3,FALSE)</f>
        <v>Control</v>
      </c>
      <c r="P16" s="14" t="str">
        <f>VLOOKUP(D16,[1]!Colors[#All],3,FALSE)</f>
        <v>z Avoid b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38</v>
      </c>
      <c r="E17" s="40" t="s">
        <v>38</v>
      </c>
      <c r="F17" s="38" t="s">
        <v>37</v>
      </c>
      <c r="G17" s="37"/>
      <c r="H17" s="21"/>
      <c r="J17" s="19" t="str">
        <f>VLOOKUP(D17,[1]!Dictionary[#All],3,FALSE)</f>
        <v>Urinary bladder</v>
      </c>
      <c r="K17" s="18">
        <f>VLOOKUP(D17,[1]!Dictionary[#All],4,FALSE)</f>
        <v>15900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Bladder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>
        <f>IFERROR(VLOOKUP(D17,[1]!SearchCT[#Data],2,FALSE),"")</f>
        <v>20</v>
      </c>
      <c r="U17" s="11">
        <f>IFERROR(VLOOKUP(D17,[1]!SearchCT[#Data],3,FALSE),"")</f>
        <v>80</v>
      </c>
    </row>
    <row r="18" spans="4:21" x14ac:dyDescent="0.25">
      <c r="D18" s="40" t="s">
        <v>13</v>
      </c>
      <c r="E18" s="40" t="s">
        <v>134</v>
      </c>
      <c r="F18" s="38" t="s">
        <v>133</v>
      </c>
      <c r="G18" s="37"/>
      <c r="H18" s="21"/>
      <c r="J18" s="19" t="str">
        <f>VLOOKUP(D18,[1]!Dictionary[#All],3,FALSE)</f>
        <v>Intestine</v>
      </c>
      <c r="K18" s="18">
        <f>VLOOKUP(D18,[1]!Dictionary[#All],4,FALSE)</f>
        <v>7199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Bowel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26</v>
      </c>
      <c r="E19" s="40" t="s">
        <v>26</v>
      </c>
      <c r="F19" s="40" t="s">
        <v>25</v>
      </c>
      <c r="G19" s="37"/>
      <c r="H19" s="21"/>
      <c r="J19" s="19" t="str">
        <f>VLOOKUP(D19,[1]!Dictionary[#All],3,FALSE)</f>
        <v>Small intestine</v>
      </c>
      <c r="K19" s="18">
        <f>VLOOKUP(D19,[1]!Dictionary[#All],4,FALSE)</f>
        <v>7200</v>
      </c>
      <c r="L19" s="18" t="str">
        <f>VLOOKUP(D19,[1]!Dictionary[#All],5,FALSE)</f>
        <v>FMA</v>
      </c>
      <c r="M19" s="17" t="str">
        <f>VLOOKUP(D19,[1]!Dictionary[#All],6,FALSE)</f>
        <v>3.2</v>
      </c>
      <c r="N19" s="16" t="str">
        <f>VLOOKUP(D19,[1]!VolumeType[#All],2,FALSE)</f>
        <v>Organ</v>
      </c>
      <c r="O19" s="15" t="str">
        <f>VLOOKUP(D19,[1]!VolumeType[#All],3,FALSE)</f>
        <v>Organ</v>
      </c>
      <c r="P19" s="14" t="str">
        <f>VLOOKUP(D19,[1]!Colors[#All],3,FALSE)</f>
        <v>z Small Bowel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40" t="s">
        <v>23</v>
      </c>
      <c r="E20" s="40" t="s">
        <v>23</v>
      </c>
      <c r="F20" s="38" t="s">
        <v>22</v>
      </c>
      <c r="G20" s="37"/>
      <c r="H20" s="21"/>
      <c r="J20" s="19" t="str">
        <f>VLOOKUP(D20,[1]!Dictionary[#All],3,FALSE)</f>
        <v>Large intestine</v>
      </c>
      <c r="K20" s="18">
        <f>VLOOKUP(D20,[1]!Dictionary[#All],4,FALSE)</f>
        <v>7201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Organ</v>
      </c>
      <c r="O20" s="15" t="str">
        <f>VLOOKUP(D20,[1]!VolumeType[#All],3,FALSE)</f>
        <v>Organ</v>
      </c>
      <c r="P20" s="14" t="str">
        <f>VLOOKUP(D20,[1]!Colors[#All],3,FALSE)</f>
        <v>z Large Bowel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40" t="s">
        <v>35</v>
      </c>
      <c r="E21" s="40" t="s">
        <v>35</v>
      </c>
      <c r="F21" s="40" t="s">
        <v>35</v>
      </c>
      <c r="G21" s="37"/>
      <c r="H21" s="21"/>
      <c r="J21" s="19" t="str">
        <f>VLOOKUP(D21,[1]!Dictionary[#All],3,FALSE)</f>
        <v>Rectum</v>
      </c>
      <c r="K21" s="18">
        <f>VLOOKUP(D21,[1]!Dictionary[#All],4,FALSE)</f>
        <v>14544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Organ</v>
      </c>
      <c r="O21" s="15" t="str">
        <f>VLOOKUP(D21,[1]!VolumeType[#All],3,FALSE)</f>
        <v>Organ</v>
      </c>
      <c r="P21" s="14" t="str">
        <f>VLOOKUP(D21,[1]!Colors[#All],3,FALSE)</f>
        <v>z Rectum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>
        <f>IFERROR(VLOOKUP(D21,[1]!SearchCT[#Data],2,FALSE),"")</f>
        <v>-20</v>
      </c>
      <c r="U21" s="11">
        <f>IFERROR(VLOOKUP(D21,[1]!SearchCT[#Data],3,FALSE),"")</f>
        <v>40</v>
      </c>
    </row>
    <row r="22" spans="4:21" x14ac:dyDescent="0.25">
      <c r="D22" s="40" t="s">
        <v>132</v>
      </c>
      <c r="E22" s="40" t="s">
        <v>131</v>
      </c>
      <c r="F22" s="38" t="s">
        <v>130</v>
      </c>
      <c r="G22" s="37"/>
      <c r="H22" s="21"/>
      <c r="J22" s="19" t="str">
        <f>VLOOKUP(D22,[1]!Dictionary[#All],3,FALSE)</f>
        <v>Rectum</v>
      </c>
      <c r="K22" s="18">
        <f>VLOOKUP(D22,[1]!Dictionary[#All],4,FALSE)</f>
        <v>14544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Control</v>
      </c>
      <c r="O22" s="15" t="str">
        <f>VLOOKUP(D22,[1]!VolumeType[#All],3,FALSE)</f>
        <v>Avoidance</v>
      </c>
      <c r="P22" s="14" t="str">
        <f>VLOOKUP(D22,[1]!Colors[#All],3,FALSE)</f>
        <v>z Rectum</v>
      </c>
      <c r="Q22" s="12">
        <f>IFERROR(VLOOKUP(D22,[1]!DVH_lines[#Data],2,FALSE),"")</f>
        <v>-16777216</v>
      </c>
      <c r="R22" s="13">
        <f>IFERROR(VLOOKUP(D22,[1]!DVH_lines[#Data],3,FALSE),"")</f>
        <v>1</v>
      </c>
      <c r="S22" s="11">
        <f>IFERROR(VLOOKUP(D22,[1]!DVH_lines[#Data],4,FALSE),"")</f>
        <v>3</v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40" t="s">
        <v>32</v>
      </c>
      <c r="E23" s="39" t="s">
        <v>32</v>
      </c>
      <c r="F23" s="38" t="s">
        <v>31</v>
      </c>
      <c r="G23" s="37"/>
      <c r="H23" s="21"/>
      <c r="J23" s="19" t="str">
        <f>VLOOKUP(D23,[1]!Dictionary[#All],3,FALSE)</f>
        <v>Head of right femur</v>
      </c>
      <c r="K23" s="18">
        <f>VLOOKUP(D23,[1]!Dictionary[#All],4,FALSE)</f>
        <v>55011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Organ</v>
      </c>
      <c r="O23" s="15" t="str">
        <f>VLOOKUP(D23,[1]!VolumeType[#All],3,FALSE)</f>
        <v>Organ</v>
      </c>
      <c r="P23" s="14" t="str">
        <f>VLOOKUP(D23,[1]!Colors[#All],3,FALSE)</f>
        <v>z Femoral Head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29</v>
      </c>
      <c r="E24" s="39" t="s">
        <v>29</v>
      </c>
      <c r="F24" s="38" t="s">
        <v>28</v>
      </c>
      <c r="G24" s="37"/>
      <c r="H24" s="21"/>
      <c r="J24" s="19" t="str">
        <f>VLOOKUP(D24,[1]!Dictionary[#All],3,FALSE)</f>
        <v>Head of left femur</v>
      </c>
      <c r="K24" s="18">
        <f>VLOOKUP(D24,[1]!Dictionary[#All],4,FALSE)</f>
        <v>55012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Femoral Head L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1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1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x14ac:dyDescent="0.25">
      <c r="D27" s="1" t="s">
        <v>107</v>
      </c>
      <c r="E27" s="39" t="s">
        <v>106</v>
      </c>
      <c r="F27" s="38" t="s">
        <v>105</v>
      </c>
      <c r="G27" s="37"/>
      <c r="H27" s="21"/>
      <c r="J27" s="19" t="str">
        <f>VLOOKUP(D27,[1]!Dictionary[#All],3,FALSE)</f>
        <v>Artifact</v>
      </c>
      <c r="K27" s="18">
        <f>VLOOKUP(D27,[1]!Dictionary[#All],4,FALSE)</f>
        <v>11296</v>
      </c>
      <c r="L27" s="18" t="str">
        <f>VLOOKUP(D27,[1]!Dictionary[#All],5,FALSE)</f>
        <v>RADLEX</v>
      </c>
      <c r="M27" s="17">
        <f>VLOOKUP(D27,[1]!Dictionary[#All],6,FALSE)</f>
        <v>3.8</v>
      </c>
      <c r="N27" s="16" t="str">
        <f>VLOOKUP(D27,[1]!VolumeType[#All],2,FALSE)</f>
        <v>Artifact</v>
      </c>
      <c r="O27" s="15" t="str">
        <f>VLOOKUP(D27,[1]!VolumeType[#All],3,FALSE)</f>
        <v>None</v>
      </c>
      <c r="P27" s="14" t="str">
        <f>VLOOKUP(D27,[1]!Colors[#All],3,FALSE)</f>
        <v>z RO Helper</v>
      </c>
      <c r="Q27" s="12" t="str">
        <f>IFERROR(VLOOKUP(D27,[1]!DVH_lines[#Data],2,FALSE),"")</f>
        <v/>
      </c>
      <c r="R27" s="13" t="str">
        <f>IFERROR(VLOOKUP(D27,[1]!DVH_lines[#Data],3,FALSE),"")</f>
        <v/>
      </c>
      <c r="S27" s="11" t="str">
        <f>IFERROR(VLOOKUP(D27,[1]!DVH_lines[#Data],4,FALSE),"")</f>
        <v/>
      </c>
      <c r="T27" s="12" t="str">
        <f>IFERROR(VLOOKUP(D27,[1]!SearchCT[#Data],2,FALSE),"")</f>
        <v/>
      </c>
      <c r="U27" s="11" t="str">
        <f>IFERROR(VLOOKUP(D27,[1]!SearchCT[#Data],3,FALSE),"")</f>
        <v/>
      </c>
    </row>
    <row r="28" spans="4:21" ht="15.75" thickBot="1" x14ac:dyDescent="0.3">
      <c r="D28" s="45" t="s">
        <v>11</v>
      </c>
      <c r="E28" s="44" t="s">
        <v>11</v>
      </c>
      <c r="F28" s="44" t="s">
        <v>11</v>
      </c>
      <c r="G28" s="43"/>
      <c r="H28" s="42"/>
      <c r="J28" s="10" t="str">
        <f>VLOOKUP(D28,[1]!Dictionary[#All],3,FALSE)</f>
        <v>Presacral space</v>
      </c>
      <c r="K28" s="9">
        <f>VLOOKUP(D28,[1]!Dictionary[#All],4,FALSE)</f>
        <v>265331</v>
      </c>
      <c r="L28" s="9" t="str">
        <f>VLOOKUP(D28,[1]!Dictionary[#All],5,FALSE)</f>
        <v>FMA</v>
      </c>
      <c r="M28" s="8" t="str">
        <f>VLOOKUP(D28,[1]!Dictionary[#All],6,FALSE)</f>
        <v>3.2</v>
      </c>
      <c r="N28" s="7" t="str">
        <f>VLOOKUP(D28,[1]!VolumeType[#All],2,FALSE)</f>
        <v>Organ</v>
      </c>
      <c r="O28" s="6" t="str">
        <f>VLOOKUP(D28,[1]!VolumeType[#All],3,FALSE)</f>
        <v>Organ</v>
      </c>
      <c r="P28" s="5" t="str">
        <f>VLOOKUP(D28,[1]!Colors[#All],3,FALSE)</f>
        <v>z PresacralSpace</v>
      </c>
      <c r="Q28" s="3" t="str">
        <f>IFERROR(VLOOKUP(D28,[1]!DVH_lines[#Data],2,FALSE),"")</f>
        <v/>
      </c>
      <c r="R28" s="4" t="str">
        <f>IFERROR(VLOOKUP(D28,[1]!DVH_lines[#Data],3,FALSE),"")</f>
        <v/>
      </c>
      <c r="S28" s="2" t="str">
        <f>IFERROR(VLOOKUP(D28,[1]!DVH_lines[#Data],4,FALSE),"")</f>
        <v/>
      </c>
      <c r="T28" s="3" t="str">
        <f>IFERROR(VLOOKUP(D28,[1]!SearchCT[#Data],2,FALSE),"")</f>
        <v/>
      </c>
      <c r="U28" s="2" t="str">
        <f>IFERROR(VLOOKUP(D28,[1]!SearchCT[#Data],3,FALSE),"")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14" style="1" bestFit="1" customWidth="1"/>
    <col min="3" max="3" width="5.42578125" style="1" customWidth="1"/>
    <col min="4" max="5" width="16" style="1" bestFit="1" customWidth="1"/>
    <col min="6" max="6" width="33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.425781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42578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181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181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180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179</v>
      </c>
      <c r="C5" s="22"/>
      <c r="D5" s="36" t="s">
        <v>121</v>
      </c>
      <c r="E5" s="39" t="s">
        <v>121</v>
      </c>
      <c r="F5" s="38" t="s">
        <v>120</v>
      </c>
      <c r="G5" s="37"/>
      <c r="H5" s="21"/>
      <c r="J5" s="19" t="str">
        <f>VLOOKUP(D5,[1]!Dictionary[#All],3,FALSE)</f>
        <v>GTV Primary</v>
      </c>
      <c r="K5" s="18" t="str">
        <f>VLOOKUP(D5,[1]!Dictionary[#All],4,FALSE)</f>
        <v>GTVp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GTV</v>
      </c>
      <c r="O5" s="15" t="str">
        <f>VLOOKUP(D5,[1]!VolumeType[#All],3,FALSE)</f>
        <v>GTV</v>
      </c>
      <c r="P5" s="14" t="str">
        <f>VLOOKUP(D5,[1]!Colors[#All],3,FALSE)</f>
        <v>z GTV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178</v>
      </c>
      <c r="E6" s="39" t="s">
        <v>78</v>
      </c>
      <c r="F6" s="38" t="s">
        <v>177</v>
      </c>
      <c r="G6" s="37"/>
      <c r="H6" s="21"/>
      <c r="J6" s="19" t="str">
        <f>VLOOKUP(D6,[1]!Dictionary[#All],3,FALSE)</f>
        <v>CTV Intermediate Risk</v>
      </c>
      <c r="K6" s="18" t="str">
        <f>VLOOKUP(D6,[1]!Dictionary[#All],4,FALSE)</f>
        <v>CTV_Intermediate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CTV</v>
      </c>
      <c r="O6" s="15" t="str">
        <f>VLOOKUP(D6,[1]!VolumeType[#All],3,FALSE)</f>
        <v>CTV</v>
      </c>
      <c r="P6" s="14" t="str">
        <f>VLOOKUP(D6,[1]!Colors[#All],3,FALSE)</f>
        <v>z CTV int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40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176</v>
      </c>
      <c r="D8" s="1" t="s">
        <v>35</v>
      </c>
      <c r="E8" s="39" t="s">
        <v>35</v>
      </c>
      <c r="F8" s="39" t="s">
        <v>35</v>
      </c>
      <c r="G8" s="37"/>
      <c r="H8" s="21"/>
      <c r="J8" s="19" t="str">
        <f>VLOOKUP(D8,[1]!Dictionary[#All],3,FALSE)</f>
        <v>Rectum</v>
      </c>
      <c r="K8" s="18">
        <f>VLOOKUP(D8,[1]!Dictionary[#All],4,FALSE)</f>
        <v>14544</v>
      </c>
      <c r="L8" s="18" t="str">
        <f>VLOOKUP(D8,[1]!Dictionary[#All],5,FALSE)</f>
        <v>FMA</v>
      </c>
      <c r="M8" s="17" t="str">
        <f>VLOOKUP(D8,[1]!Dictionary[#All],6,FALSE)</f>
        <v>3.2</v>
      </c>
      <c r="N8" s="16" t="str">
        <f>VLOOKUP(D8,[1]!VolumeType[#All],2,FALSE)</f>
        <v>Organ</v>
      </c>
      <c r="O8" s="15" t="str">
        <f>VLOOKUP(D8,[1]!VolumeType[#All],3,FALSE)</f>
        <v>Organ</v>
      </c>
      <c r="P8" s="14" t="str">
        <f>VLOOKUP(D8,[1]!Colors[#All],3,FALSE)</f>
        <v>z Rectum</v>
      </c>
      <c r="Q8" s="12" t="str">
        <f>IFERROR(VLOOKUP(D8,[1]!DVH_lines[#Data],2,FALSE),"")</f>
        <v/>
      </c>
      <c r="R8" s="13" t="str">
        <f>IFERROR(VLOOKUP(D8,[1]!DVH_lines[#Data],3,FALSE),"")</f>
        <v/>
      </c>
      <c r="S8" s="11" t="str">
        <f>IFERROR(VLOOKUP(D8,[1]!DVH_lines[#Data],4,FALSE),"")</f>
        <v/>
      </c>
      <c r="T8" s="12">
        <f>IFERROR(VLOOKUP(D8,[1]!SearchCT[#Data],2,FALSE),"")</f>
        <v>-20</v>
      </c>
      <c r="U8" s="11">
        <f>IFERROR(VLOOKUP(D8,[1]!SearchCT[#Data],3,FALSE),"")</f>
        <v>40</v>
      </c>
    </row>
    <row r="9" spans="1:21" x14ac:dyDescent="0.25">
      <c r="A9" s="46" t="s">
        <v>276</v>
      </c>
      <c r="B9" s="1" t="s">
        <v>266</v>
      </c>
      <c r="D9" s="40" t="s">
        <v>26</v>
      </c>
      <c r="E9" s="40" t="s">
        <v>26</v>
      </c>
      <c r="F9" s="38" t="s">
        <v>25</v>
      </c>
      <c r="G9" s="37"/>
      <c r="H9" s="21"/>
      <c r="J9" s="19" t="str">
        <f>VLOOKUP(D9,[1]!Dictionary[#All],3,FALSE)</f>
        <v>Small intestine</v>
      </c>
      <c r="K9" s="18">
        <f>VLOOKUP(D9,[1]!Dictionary[#All],4,FALSE)</f>
        <v>7200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Small Bowel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 t="str">
        <f>IFERROR(VLOOKUP(D9,[1]!SearchCT[#Data],2,FALSE),"")</f>
        <v/>
      </c>
      <c r="U9" s="11" t="str">
        <f>IFERROR(VLOOKUP(D9,[1]!SearchCT[#Data],3,FALSE),"")</f>
        <v/>
      </c>
    </row>
    <row r="10" spans="1:21" x14ac:dyDescent="0.25">
      <c r="A10" s="46" t="s">
        <v>258</v>
      </c>
      <c r="B10" s="1" t="s">
        <v>259</v>
      </c>
      <c r="D10" s="40" t="s">
        <v>32</v>
      </c>
      <c r="E10" s="39" t="s">
        <v>175</v>
      </c>
      <c r="F10" s="38" t="s">
        <v>31</v>
      </c>
      <c r="G10" s="37"/>
      <c r="H10" s="21"/>
      <c r="J10" s="19" t="str">
        <f>VLOOKUP(D10,[1]!Dictionary[#All],3,FALSE)</f>
        <v>Head of right femur</v>
      </c>
      <c r="K10" s="18">
        <f>VLOOKUP(D10,[1]!Dictionary[#All],4,FALSE)</f>
        <v>55011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Organ</v>
      </c>
      <c r="O10" s="15" t="str">
        <f>VLOOKUP(D10,[1]!VolumeType[#All],3,FALSE)</f>
        <v>Organ</v>
      </c>
      <c r="P10" s="14" t="str">
        <f>VLOOKUP(D10,[1]!Colors[#All],3,FALSE)</f>
        <v>z Femoral Head R</v>
      </c>
      <c r="Q10" s="12" t="str">
        <f>IFERROR(VLOOKUP(D10,[1]!DVH_lines[#Data],2,FALSE),"")</f>
        <v/>
      </c>
      <c r="R10" s="13" t="str">
        <f>IFERROR(VLOOKUP(D10,[1]!DVH_lines[#Data],3,FALSE),"")</f>
        <v/>
      </c>
      <c r="S10" s="11" t="str">
        <f>IFERROR(VLOOKUP(D10,[1]!DVH_lines[#Data],4,FALSE),"")</f>
        <v/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270</v>
      </c>
      <c r="D11" s="40" t="s">
        <v>29</v>
      </c>
      <c r="E11" s="39" t="s">
        <v>174</v>
      </c>
      <c r="F11" s="38" t="s">
        <v>28</v>
      </c>
      <c r="G11" s="37"/>
      <c r="H11" s="21"/>
      <c r="J11" s="19" t="str">
        <f>VLOOKUP(D11,[1]!Dictionary[#All],3,FALSE)</f>
        <v>Head of left femur</v>
      </c>
      <c r="K11" s="18">
        <f>VLOOKUP(D11,[1]!Dictionary[#All],4,FALSE)</f>
        <v>55012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L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35" t="s">
        <v>103</v>
      </c>
      <c r="E12" s="35" t="s">
        <v>103</v>
      </c>
      <c r="F12" s="1" t="s">
        <v>110</v>
      </c>
      <c r="G12" s="37"/>
      <c r="H12" s="21"/>
      <c r="J12" s="19" t="str">
        <f>VLOOKUP(D12,[1]!Dictionary[#All],3,FALSE)</f>
        <v>Left internal iliac lymphatic chain</v>
      </c>
      <c r="K12" s="18">
        <f>VLOOKUP(D12,[1]!Dictionary[#All],4,FALSE)</f>
        <v>224279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CTV</v>
      </c>
      <c r="O12" s="15" t="str">
        <f>VLOOKUP(D12,[1]!VolumeType[#All],3,FALSE)</f>
        <v>Nodes</v>
      </c>
      <c r="P12" s="14" t="str">
        <f>VLOOKUP(D12,[1]!Colors[#All],3,FALSE)</f>
        <v>zNode Intiliac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5" t="s">
        <v>101</v>
      </c>
      <c r="E13" s="35" t="s">
        <v>101</v>
      </c>
      <c r="F13" s="1" t="s">
        <v>111</v>
      </c>
      <c r="G13" s="37"/>
      <c r="H13" s="21"/>
      <c r="J13" s="19" t="str">
        <f>VLOOKUP(D13,[1]!Dictionary[#All],3,FALSE)</f>
        <v>Right internal iliac lymphatic chain</v>
      </c>
      <c r="K13" s="18">
        <f>VLOOKUP(D13,[1]!Dictionary[#All],4,FALSE)</f>
        <v>224277</v>
      </c>
      <c r="L13" s="18" t="str">
        <f>VLOOKUP(D13,[1]!Dictionary[#All],5,FALSE)</f>
        <v>FMA</v>
      </c>
      <c r="M13" s="17" t="str">
        <f>VLOOKUP(D13,[1]!Dictionary[#All],6,FALSE)</f>
        <v>3.2</v>
      </c>
      <c r="N13" s="16" t="str">
        <f>VLOOKUP(D13,[1]!VolumeType[#All],2,FALSE)</f>
        <v>CTV</v>
      </c>
      <c r="O13" s="15" t="str">
        <f>VLOOKUP(D13,[1]!VolumeType[#All],3,FALSE)</f>
        <v>Nodes</v>
      </c>
      <c r="P13" s="14" t="str">
        <f>VLOOKUP(D13,[1]!Colors[#All],3,FALSE)</f>
        <v>zNode Intiliac R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35" t="s">
        <v>84</v>
      </c>
      <c r="E14" s="35" t="s">
        <v>84</v>
      </c>
      <c r="F14" s="34" t="s">
        <v>83</v>
      </c>
      <c r="G14" s="37"/>
      <c r="H14" s="21"/>
      <c r="J14" s="19" t="str">
        <f>VLOOKUP(D14,[1]!Dictionary[#All],3,FALSE)</f>
        <v>Right external iliac lymphatic chain</v>
      </c>
      <c r="K14" s="18">
        <f>VLOOKUP(D14,[1]!Dictionary[#All],4,FALSE)</f>
        <v>229179</v>
      </c>
      <c r="L14" s="18" t="str">
        <f>VLOOKUP(D14,[1]!Dictionary[#All],5,FALSE)</f>
        <v>FMA</v>
      </c>
      <c r="M14" s="17" t="str">
        <f>VLOOKUP(D14,[1]!Dictionary[#All],6,FALSE)</f>
        <v>3.2</v>
      </c>
      <c r="N14" s="16" t="str">
        <f>VLOOKUP(D14,[1]!VolumeType[#All],2,FALSE)</f>
        <v>CTV</v>
      </c>
      <c r="O14" s="15" t="str">
        <f>VLOOKUP(D14,[1]!VolumeType[#All],3,FALSE)</f>
        <v>Nodes</v>
      </c>
      <c r="P14" s="14" t="str">
        <f>VLOOKUP(D14,[1]!Colors[#All],3,FALSE)</f>
        <v>zNode extiliac L</v>
      </c>
      <c r="Q14" s="12" t="str">
        <f>IFERROR(VLOOKUP(D14,[1]!DVH_lines[#Data],2,FALSE),"")</f>
        <v/>
      </c>
      <c r="R14" s="13" t="str">
        <f>IFERROR(VLOOKUP(D14,[1]!DVH_lines[#Data],3,FALSE),"")</f>
        <v/>
      </c>
      <c r="S14" s="11" t="str">
        <f>IFERROR(VLOOKUP(D14,[1]!DVH_lines[#Data],4,FALSE),"")</f>
        <v/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35" t="s">
        <v>82</v>
      </c>
      <c r="E15" s="35" t="s">
        <v>82</v>
      </c>
      <c r="F15" s="34" t="s">
        <v>81</v>
      </c>
      <c r="G15" s="37"/>
      <c r="H15" s="21"/>
      <c r="J15" s="19" t="str">
        <f>VLOOKUP(D15,[1]!Dictionary[#All],3,FALSE)</f>
        <v>Left external iliac lymphatic chain</v>
      </c>
      <c r="K15" s="18">
        <f>VLOOKUP(D15,[1]!Dictionary[#All],4,FALSE)</f>
        <v>229181</v>
      </c>
      <c r="L15" s="18" t="str">
        <f>VLOOKUP(D15,[1]!Dictionary[#All],5,FALSE)</f>
        <v>FMA</v>
      </c>
      <c r="M15" s="17" t="str">
        <f>VLOOKUP(D15,[1]!Dictionary[#All],6,FALSE)</f>
        <v>3.2</v>
      </c>
      <c r="N15" s="16" t="str">
        <f>VLOOKUP(D15,[1]!VolumeType[#All],2,FALSE)</f>
        <v>CTV</v>
      </c>
      <c r="O15" s="15" t="str">
        <f>VLOOKUP(D15,[1]!VolumeType[#All],3,FALSE)</f>
        <v>Nodes</v>
      </c>
      <c r="P15" s="14" t="str">
        <f>VLOOKUP(D15,[1]!Colors[#All],3,FALSE)</f>
        <v>zNode extiliac R</v>
      </c>
      <c r="Q15" s="12" t="str">
        <f>IFERROR(VLOOKUP(D15,[1]!DVH_lines[#Data],2,FALSE),"")</f>
        <v/>
      </c>
      <c r="R15" s="13" t="str">
        <f>IFERROR(VLOOKUP(D15,[1]!DVH_lines[#Data],3,FALSE),"")</f>
        <v/>
      </c>
      <c r="S15" s="11" t="str">
        <f>IFERROR(VLOOKUP(D15,[1]!DVH_lines[#Data],4,FALSE),"")</f>
        <v/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173</v>
      </c>
      <c r="E16" t="s">
        <v>173</v>
      </c>
      <c r="F16" s="38" t="s">
        <v>172</v>
      </c>
      <c r="G16" s="37"/>
      <c r="H16" s="21"/>
      <c r="J16" s="19" t="str">
        <f>VLOOKUP(D16,[1]!Dictionary[#All],3,FALSE)</f>
        <v>Parietal lumbar lymph node</v>
      </c>
      <c r="K16" s="18" t="str">
        <f>VLOOKUP(D16,[1]!Dictionary[#All],4,FALSE)</f>
        <v>84599</v>
      </c>
      <c r="L16" s="18" t="str">
        <f>VLOOKUP(D16,[1]!Dictionary[#All],5,FALSE)</f>
        <v>FMA</v>
      </c>
      <c r="M16" s="17" t="str">
        <f>VLOOKUP(D16,[1]!Dictionary[#All],6,FALSE)</f>
        <v>3.2</v>
      </c>
      <c r="N16" s="16" t="str">
        <f>VLOOKUP(D16,[1]!VolumeType[#All],2,FALSE)</f>
        <v>CTV</v>
      </c>
      <c r="O16" s="15" t="str">
        <f>VLOOKUP(D16,[1]!VolumeType[#All],3,FALSE)</f>
        <v>Nodes</v>
      </c>
      <c r="P16" s="14" t="str">
        <f>VLOOKUP(D16,[1]!Colors[#All],3,FALSE)</f>
        <v>zNode ParaAortic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171</v>
      </c>
      <c r="E17" s="39" t="s">
        <v>171</v>
      </c>
      <c r="F17" s="38" t="s">
        <v>170</v>
      </c>
      <c r="G17" s="37"/>
      <c r="H17" s="21"/>
      <c r="J17" s="19" t="str">
        <f>VLOOKUP(D17,[1]!Dictionary[#All],3,FALSE)</f>
        <v>Left kidney</v>
      </c>
      <c r="K17" s="18">
        <f>VLOOKUP(D17,[1]!Dictionary[#All],4,FALSE)</f>
        <v>7205</v>
      </c>
      <c r="L17" s="18" t="str">
        <f>VLOOKUP(D17,[1]!Dictionary[#All],5,FALSE)</f>
        <v>FMA</v>
      </c>
      <c r="M17" s="17" t="str">
        <f>VLOOKUP(D17,[1]!Dictionary[#All],6,FALSE)</f>
        <v>3.2</v>
      </c>
      <c r="N17" s="16" t="str">
        <f>VLOOKUP(D17,[1]!VolumeType[#All],2,FALSE)</f>
        <v>Organ</v>
      </c>
      <c r="O17" s="15" t="str">
        <f>VLOOKUP(D17,[1]!VolumeType[#All],3,FALSE)</f>
        <v>Organ</v>
      </c>
      <c r="P17" s="14" t="str">
        <f>VLOOKUP(D17,[1]!Colors[#All],3,FALSE)</f>
        <v>z Kidney L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40" t="s">
        <v>169</v>
      </c>
      <c r="E18" s="39" t="s">
        <v>169</v>
      </c>
      <c r="F18" s="38" t="s">
        <v>168</v>
      </c>
      <c r="G18" s="37"/>
      <c r="H18" s="21"/>
      <c r="J18" s="19" t="str">
        <f>VLOOKUP(D18,[1]!Dictionary[#All],3,FALSE)</f>
        <v>Right kidney</v>
      </c>
      <c r="K18" s="18">
        <f>VLOOKUP(D18,[1]!Dictionary[#All],4,FALSE)</f>
        <v>7204</v>
      </c>
      <c r="L18" s="18" t="str">
        <f>VLOOKUP(D18,[1]!Dictionary[#All],5,FALSE)</f>
        <v>FMA</v>
      </c>
      <c r="M18" s="17" t="str">
        <f>VLOOKUP(D18,[1]!Dictionary[#All],6,FALSE)</f>
        <v>3.2</v>
      </c>
      <c r="N18" s="16" t="str">
        <f>VLOOKUP(D18,[1]!VolumeType[#All],2,FALSE)</f>
        <v>Organ</v>
      </c>
      <c r="O18" s="15" t="str">
        <f>VLOOKUP(D18,[1]!VolumeType[#All],3,FALSE)</f>
        <v>Organ</v>
      </c>
      <c r="P18" s="14" t="str">
        <f>VLOOKUP(D18,[1]!Colors[#All],3,FALSE)</f>
        <v>z Kidney R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1" t="s">
        <v>107</v>
      </c>
      <c r="E19" s="39" t="s">
        <v>109</v>
      </c>
      <c r="F19" s="38" t="s">
        <v>105</v>
      </c>
      <c r="G19" s="37"/>
      <c r="H19" s="21"/>
      <c r="J19" s="19" t="str">
        <f>VLOOKUP(D19,[1]!Dictionary[#All],3,FALSE)</f>
        <v>Artifact</v>
      </c>
      <c r="K19" s="18">
        <f>VLOOKUP(D19,[1]!Dictionary[#All],4,FALSE)</f>
        <v>11296</v>
      </c>
      <c r="L19" s="18" t="str">
        <f>VLOOKUP(D19,[1]!Dictionary[#All],5,FALSE)</f>
        <v>RADLEX</v>
      </c>
      <c r="M19" s="17">
        <f>VLOOKUP(D19,[1]!Dictionary[#All],6,FALSE)</f>
        <v>3.8</v>
      </c>
      <c r="N19" s="16" t="str">
        <f>VLOOKUP(D19,[1]!VolumeType[#All],2,FALSE)</f>
        <v>Artifact</v>
      </c>
      <c r="O19" s="15" t="str">
        <f>VLOOKUP(D19,[1]!VolumeType[#All],3,FALSE)</f>
        <v>None</v>
      </c>
      <c r="P19" s="14" t="str">
        <f>VLOOKUP(D19,[1]!Colors[#All],3,FALSE)</f>
        <v>z RO Helper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1" t="s">
        <v>107</v>
      </c>
      <c r="E20" s="39" t="s">
        <v>108</v>
      </c>
      <c r="F20" s="38" t="s">
        <v>105</v>
      </c>
      <c r="G20" s="37"/>
      <c r="H20" s="21"/>
      <c r="J20" s="19" t="str">
        <f>VLOOKUP(D20,[1]!Dictionary[#All],3,FALSE)</f>
        <v>Artifact</v>
      </c>
      <c r="K20" s="18">
        <f>VLOOKUP(D20,[1]!Dictionary[#All],4,FALSE)</f>
        <v>11296</v>
      </c>
      <c r="L20" s="18" t="str">
        <f>VLOOKUP(D20,[1]!Dictionary[#All],5,FALSE)</f>
        <v>RADLEX</v>
      </c>
      <c r="M20" s="17">
        <f>VLOOKUP(D20,[1]!Dictionary[#All],6,FALSE)</f>
        <v>3.8</v>
      </c>
      <c r="N20" s="16" t="str">
        <f>VLOOKUP(D20,[1]!VolumeType[#All],2,FALSE)</f>
        <v>Artifact</v>
      </c>
      <c r="O20" s="15" t="str">
        <f>VLOOKUP(D20,[1]!VolumeType[#All],3,FALSE)</f>
        <v>None</v>
      </c>
      <c r="P20" s="14" t="str">
        <f>VLOOKUP(D20,[1]!Colors[#All],3,FALSE)</f>
        <v>z RO Helper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ht="15.75" thickBot="1" x14ac:dyDescent="0.3">
      <c r="D21" s="1" t="s">
        <v>107</v>
      </c>
      <c r="E21" s="39" t="s">
        <v>106</v>
      </c>
      <c r="F21" s="38" t="s">
        <v>105</v>
      </c>
      <c r="G21" s="37"/>
      <c r="H21" s="21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5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A2" sqref="A2"/>
    </sheetView>
  </sheetViews>
  <sheetFormatPr defaultRowHeight="15" x14ac:dyDescent="0.25"/>
  <cols>
    <col min="1" max="1" width="14.5703125" style="1" bestFit="1" customWidth="1"/>
    <col min="2" max="2" width="23.42578125" style="1" bestFit="1" customWidth="1"/>
    <col min="3" max="3" width="5.42578125" style="1" customWidth="1"/>
    <col min="4" max="5" width="15" style="1" bestFit="1" customWidth="1"/>
    <col min="6" max="6" width="44.140625" style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32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1" t="s">
        <v>65</v>
      </c>
      <c r="B1" s="51"/>
      <c r="C1" s="33"/>
      <c r="D1" s="51" t="s">
        <v>61</v>
      </c>
      <c r="E1" s="51"/>
      <c r="F1" s="51"/>
      <c r="G1" s="51"/>
      <c r="H1" s="51"/>
      <c r="J1" s="49" t="s">
        <v>60</v>
      </c>
      <c r="K1" s="52"/>
      <c r="L1" s="52"/>
      <c r="M1" s="50"/>
      <c r="N1" s="49" t="s">
        <v>59</v>
      </c>
      <c r="O1" s="52"/>
      <c r="P1" s="32" t="s">
        <v>58</v>
      </c>
      <c r="Q1" s="49" t="s">
        <v>57</v>
      </c>
      <c r="R1" s="52"/>
      <c r="S1" s="50"/>
      <c r="T1" s="49" t="s">
        <v>56</v>
      </c>
      <c r="U1" s="50"/>
    </row>
    <row r="2" spans="1:21" ht="15.75" x14ac:dyDescent="0.25">
      <c r="A2" s="30" t="s">
        <v>55</v>
      </c>
      <c r="B2" s="31" t="s">
        <v>54</v>
      </c>
      <c r="C2" s="22"/>
      <c r="D2" s="30" t="s">
        <v>36</v>
      </c>
      <c r="E2" s="29" t="s">
        <v>40</v>
      </c>
      <c r="F2" s="28" t="s">
        <v>53</v>
      </c>
      <c r="G2" s="28" t="s">
        <v>129</v>
      </c>
      <c r="H2" s="41" t="s">
        <v>128</v>
      </c>
      <c r="J2" s="27" t="s">
        <v>52</v>
      </c>
      <c r="K2" s="25" t="s">
        <v>51</v>
      </c>
      <c r="L2" s="25" t="s">
        <v>50</v>
      </c>
      <c r="M2" s="23" t="s">
        <v>49</v>
      </c>
      <c r="N2" s="24" t="s">
        <v>48</v>
      </c>
      <c r="O2" s="25" t="s">
        <v>47</v>
      </c>
      <c r="P2" s="26" t="s">
        <v>46</v>
      </c>
      <c r="Q2" s="24" t="s">
        <v>45</v>
      </c>
      <c r="R2" s="25" t="s">
        <v>44</v>
      </c>
      <c r="S2" s="23" t="s">
        <v>43</v>
      </c>
      <c r="T2" s="24" t="s">
        <v>42</v>
      </c>
      <c r="U2" s="23" t="s">
        <v>41</v>
      </c>
    </row>
    <row r="3" spans="1:21" x14ac:dyDescent="0.25">
      <c r="A3" s="46" t="s">
        <v>275</v>
      </c>
      <c r="B3" s="1" t="s">
        <v>65</v>
      </c>
      <c r="C3" s="22"/>
      <c r="D3" s="40" t="s">
        <v>127</v>
      </c>
      <c r="E3" s="39" t="s">
        <v>127</v>
      </c>
      <c r="F3" s="38" t="s">
        <v>127</v>
      </c>
      <c r="G3" s="37"/>
      <c r="H3" s="21"/>
      <c r="J3" s="19" t="str">
        <f>VLOOKUP(D3,[1]!Dictionary[#All],3,FALSE)</f>
        <v>Body</v>
      </c>
      <c r="K3" s="18" t="str">
        <f>VLOOKUP(D3,[1]!Dictionary[#All],4,FALSE)</f>
        <v>BODY</v>
      </c>
      <c r="L3" s="18" t="str">
        <f>VLOOKUP(D3,[1]!Dictionary[#All],5,FALSE)</f>
        <v>99VMS_STRUCTCODE</v>
      </c>
      <c r="M3" s="17" t="str">
        <f>VLOOKUP(D3,[1]!Dictionary[#All],6,FALSE)</f>
        <v>1.0</v>
      </c>
      <c r="N3" s="16" t="str">
        <f>VLOOKUP(D3,[1]!VolumeType[#All],2,FALSE)</f>
        <v>Special</v>
      </c>
      <c r="O3" s="15" t="str">
        <f>VLOOKUP(D3,[1]!VolumeType[#All],3,FALSE)</f>
        <v>BODY</v>
      </c>
      <c r="P3" s="14" t="str">
        <f>VLOOKUP(D3,[1]!Colors[#All],3,FALSE)</f>
        <v>z Body</v>
      </c>
      <c r="Q3" s="12" t="str">
        <f>IFERROR(VLOOKUP(D3,[1]!DVH_lines[#Data],2,FALSE),"")</f>
        <v/>
      </c>
      <c r="R3" s="13" t="str">
        <f>IFERROR(VLOOKUP(D3,[1]!DVH_lines[#Data],3,FALSE),"")</f>
        <v/>
      </c>
      <c r="S3" s="11" t="str">
        <f>IFERROR(VLOOKUP(D3,[1]!DVH_lines[#Data],4,FALSE),"")</f>
        <v/>
      </c>
      <c r="T3" s="12">
        <f>IFERROR(VLOOKUP(D3,[1]!SearchCT[#Data],2,FALSE),"")</f>
        <v>-350</v>
      </c>
      <c r="U3" s="11">
        <f>IFERROR(VLOOKUP(D3,[1]!SearchCT[#Data],3,FALSE),"")</f>
        <v>-50</v>
      </c>
    </row>
    <row r="4" spans="1:21" x14ac:dyDescent="0.25">
      <c r="A4" s="46" t="s">
        <v>277</v>
      </c>
      <c r="B4" s="1" t="s">
        <v>36</v>
      </c>
      <c r="C4" s="22"/>
      <c r="D4" s="36" t="s">
        <v>126</v>
      </c>
      <c r="E4" s="39" t="s">
        <v>126</v>
      </c>
      <c r="F4" s="38" t="s">
        <v>125</v>
      </c>
      <c r="G4" s="37" t="s">
        <v>197</v>
      </c>
      <c r="H4" s="21" t="s">
        <v>123</v>
      </c>
      <c r="J4" s="19" t="str">
        <f>VLOOKUP(D4,[1]!Dictionary[#All],3,FALSE)</f>
        <v>Treated Volume</v>
      </c>
      <c r="K4" s="18" t="str">
        <f>VLOOKUP(D4,[1]!Dictionary[#All],4,FALSE)</f>
        <v>Treated Volume</v>
      </c>
      <c r="L4" s="18" t="str">
        <f>VLOOKUP(D4,[1]!Dictionary[#All],5,FALSE)</f>
        <v>99VMS_STRUCTCODE</v>
      </c>
      <c r="M4" s="17" t="str">
        <f>VLOOKUP(D4,[1]!Dictionary[#All],6,FALSE)</f>
        <v>1.0</v>
      </c>
      <c r="N4" s="16" t="str">
        <f>VLOOKUP(D4,[1]!VolumeType[#All],2,FALSE)</f>
        <v>Special</v>
      </c>
      <c r="O4" s="15" t="str">
        <f>VLOOKUP(D4,[1]!VolumeType[#All],3,FALSE)</f>
        <v>PTV</v>
      </c>
      <c r="P4" s="14" t="str">
        <f>VLOOKUP(D4,[1]!Colors[#All],3,FALSE)</f>
        <v>z DPV</v>
      </c>
      <c r="Q4" s="12" t="str">
        <f>IFERROR(VLOOKUP(D4,[1]!DVH_lines[#Data],2,FALSE),"")</f>
        <v/>
      </c>
      <c r="R4" s="13" t="str">
        <f>IFERROR(VLOOKUP(D4,[1]!DVH_lines[#Data],3,FALSE),"")</f>
        <v/>
      </c>
      <c r="S4" s="11" t="str">
        <f>IFERROR(VLOOKUP(D4,[1]!DVH_lines[#Data],4,FALSE),"")</f>
        <v/>
      </c>
      <c r="T4" s="12" t="str">
        <f>IFERROR(VLOOKUP(D4,[1]!SearchCT[#Data],2,FALSE),"")</f>
        <v/>
      </c>
      <c r="U4" s="11" t="str">
        <f>IFERROR(VLOOKUP(D4,[1]!SearchCT[#Data],3,FALSE),"")</f>
        <v/>
      </c>
    </row>
    <row r="5" spans="1:21" x14ac:dyDescent="0.25">
      <c r="A5" s="46" t="s">
        <v>34</v>
      </c>
      <c r="B5" s="1" t="s">
        <v>196</v>
      </c>
      <c r="C5" s="22"/>
      <c r="D5" s="40" t="s">
        <v>140</v>
      </c>
      <c r="E5" s="40" t="s">
        <v>139</v>
      </c>
      <c r="F5" s="38" t="s">
        <v>138</v>
      </c>
      <c r="G5" s="37"/>
      <c r="H5" s="21"/>
      <c r="J5" s="19" t="str">
        <f>VLOOKUP(D5,[1]!Dictionary[#All],3,FALSE)</f>
        <v>Control Region</v>
      </c>
      <c r="K5" s="18" t="str">
        <f>VLOOKUP(D5,[1]!Dictionary[#All],4,FALSE)</f>
        <v>Control</v>
      </c>
      <c r="L5" s="18" t="str">
        <f>VLOOKUP(D5,[1]!Dictionary[#All],5,FALSE)</f>
        <v>99VMS_STRUCTCODE</v>
      </c>
      <c r="M5" s="17" t="str">
        <f>VLOOKUP(D5,[1]!Dictionary[#All],6,FALSE)</f>
        <v>1.0</v>
      </c>
      <c r="N5" s="16" t="str">
        <f>VLOOKUP(D5,[1]!VolumeType[#All],2,FALSE)</f>
        <v>Control</v>
      </c>
      <c r="O5" s="15" t="str">
        <f>VLOOKUP(D5,[1]!VolumeType[#All],3,FALSE)</f>
        <v>Control</v>
      </c>
      <c r="P5" s="14" t="str">
        <f>VLOOKUP(D5,[1]!Colors[#All],3,FALSE)</f>
        <v>z Avoid a</v>
      </c>
      <c r="Q5" s="12" t="str">
        <f>IFERROR(VLOOKUP(D5,[1]!DVH_lines[#Data],2,FALSE),"")</f>
        <v/>
      </c>
      <c r="R5" s="13" t="str">
        <f>IFERROR(VLOOKUP(D5,[1]!DVH_lines[#Data],3,FALSE),"")</f>
        <v/>
      </c>
      <c r="S5" s="11" t="str">
        <f>IFERROR(VLOOKUP(D5,[1]!DVH_lines[#Data],4,FALSE),"")</f>
        <v/>
      </c>
      <c r="T5" s="12" t="str">
        <f>IFERROR(VLOOKUP(D5,[1]!SearchCT[#Data],2,FALSE),"")</f>
        <v/>
      </c>
      <c r="U5" s="11" t="str">
        <f>IFERROR(VLOOKUP(D5,[1]!SearchCT[#Data],3,FALSE),"")</f>
        <v/>
      </c>
    </row>
    <row r="6" spans="1:21" x14ac:dyDescent="0.25">
      <c r="A6" s="46" t="s">
        <v>257</v>
      </c>
      <c r="B6" s="1">
        <v>5</v>
      </c>
      <c r="C6" s="22"/>
      <c r="D6" s="36" t="s">
        <v>137</v>
      </c>
      <c r="E6" s="39" t="s">
        <v>136</v>
      </c>
      <c r="F6" s="38" t="s">
        <v>135</v>
      </c>
      <c r="G6" s="37"/>
      <c r="H6" s="21"/>
      <c r="J6" s="19" t="str">
        <f>VLOOKUP(D6,[1]!Dictionary[#All],3,FALSE)</f>
        <v>Control Region</v>
      </c>
      <c r="K6" s="18" t="str">
        <f>VLOOKUP(D6,[1]!Dictionary[#All],4,FALSE)</f>
        <v>Control</v>
      </c>
      <c r="L6" s="18" t="str">
        <f>VLOOKUP(D6,[1]!Dictionary[#All],5,FALSE)</f>
        <v>99VMS_STRUCTCODE</v>
      </c>
      <c r="M6" s="17" t="str">
        <f>VLOOKUP(D6,[1]!Dictionary[#All],6,FALSE)</f>
        <v>1.0</v>
      </c>
      <c r="N6" s="16" t="str">
        <f>VLOOKUP(D6,[1]!VolumeType[#All],2,FALSE)</f>
        <v>Control</v>
      </c>
      <c r="O6" s="15" t="str">
        <f>VLOOKUP(D6,[1]!VolumeType[#All],3,FALSE)</f>
        <v>Control</v>
      </c>
      <c r="P6" s="14" t="str">
        <f>VLOOKUP(D6,[1]!Colors[#All],3,FALSE)</f>
        <v>z Avoid b</v>
      </c>
      <c r="Q6" s="12" t="str">
        <f>IFERROR(VLOOKUP(D6,[1]!DVH_lines[#Data],2,FALSE),"")</f>
        <v/>
      </c>
      <c r="R6" s="13" t="str">
        <f>IFERROR(VLOOKUP(D6,[1]!DVH_lines[#Data],3,FALSE),"")</f>
        <v/>
      </c>
      <c r="S6" s="11" t="str">
        <f>IFERROR(VLOOKUP(D6,[1]!DVH_lines[#Data],4,FALSE),"")</f>
        <v/>
      </c>
      <c r="T6" s="12" t="str">
        <f>IFERROR(VLOOKUP(D6,[1]!SearchCT[#Data],2,FALSE),"")</f>
        <v/>
      </c>
      <c r="U6" s="11" t="str">
        <f>IFERROR(VLOOKUP(D6,[1]!SearchCT[#Data],3,FALSE),"")</f>
        <v/>
      </c>
    </row>
    <row r="7" spans="1:21" x14ac:dyDescent="0.25">
      <c r="A7" s="46" t="s">
        <v>30</v>
      </c>
      <c r="D7" s="36" t="s">
        <v>38</v>
      </c>
      <c r="E7" s="39" t="s">
        <v>38</v>
      </c>
      <c r="F7" s="38" t="s">
        <v>37</v>
      </c>
      <c r="G7" s="37"/>
      <c r="H7" s="21"/>
      <c r="J7" s="19" t="str">
        <f>VLOOKUP(D7,[1]!Dictionary[#All],3,FALSE)</f>
        <v>Urinary bladder</v>
      </c>
      <c r="K7" s="18">
        <f>VLOOKUP(D7,[1]!Dictionary[#All],4,FALSE)</f>
        <v>15900</v>
      </c>
      <c r="L7" s="18" t="str">
        <f>VLOOKUP(D7,[1]!Dictionary[#All],5,FALSE)</f>
        <v>FMA</v>
      </c>
      <c r="M7" s="17" t="str">
        <f>VLOOKUP(D7,[1]!Dictionary[#All],6,FALSE)</f>
        <v>3.2</v>
      </c>
      <c r="N7" s="16" t="str">
        <f>VLOOKUP(D7,[1]!VolumeType[#All],2,FALSE)</f>
        <v>Organ</v>
      </c>
      <c r="O7" s="15" t="str">
        <f>VLOOKUP(D7,[1]!VolumeType[#All],3,FALSE)</f>
        <v>Organ</v>
      </c>
      <c r="P7" s="14" t="str">
        <f>VLOOKUP(D7,[1]!Colors[#All],3,FALSE)</f>
        <v>z Bladder</v>
      </c>
      <c r="Q7" s="12" t="str">
        <f>IFERROR(VLOOKUP(D7,[1]!DVH_lines[#Data],2,FALSE),"")</f>
        <v/>
      </c>
      <c r="R7" s="13" t="str">
        <f>IFERROR(VLOOKUP(D7,[1]!DVH_lines[#Data],3,FALSE),"")</f>
        <v/>
      </c>
      <c r="S7" s="11" t="str">
        <f>IFERROR(VLOOKUP(D7,[1]!DVH_lines[#Data],4,FALSE),"")</f>
        <v/>
      </c>
      <c r="T7" s="12">
        <f>IFERROR(VLOOKUP(D7,[1]!SearchCT[#Data],2,FALSE),"")</f>
        <v>20</v>
      </c>
      <c r="U7" s="11">
        <f>IFERROR(VLOOKUP(D7,[1]!SearchCT[#Data],3,FALSE),"")</f>
        <v>80</v>
      </c>
    </row>
    <row r="8" spans="1:21" x14ac:dyDescent="0.25">
      <c r="A8" s="46" t="s">
        <v>27</v>
      </c>
      <c r="B8" s="1" t="s">
        <v>195</v>
      </c>
      <c r="D8" s="39" t="s">
        <v>194</v>
      </c>
      <c r="E8" s="39" t="s">
        <v>193</v>
      </c>
      <c r="F8" s="38" t="s">
        <v>192</v>
      </c>
      <c r="G8" s="37"/>
      <c r="H8" s="21"/>
      <c r="J8" s="19" t="str">
        <f>VLOOKUP(D8,[1]!Dictionary[#All],3,FALSE)</f>
        <v>Bladder sub PTVs</v>
      </c>
      <c r="K8" s="18" t="str">
        <f>VLOOKUP(D8,[1]!Dictionary[#All],4,FALSE)</f>
        <v>bladder-ptvs</v>
      </c>
      <c r="L8" s="18" t="str">
        <f>VLOOKUP(D8,[1]!Dictionary[#All],5,FALSE)</f>
        <v>99VMS_STRUCTCODE</v>
      </c>
      <c r="M8" s="17" t="str">
        <f>VLOOKUP(D8,[1]!Dictionary[#All],6,FALSE)</f>
        <v>1.0</v>
      </c>
      <c r="N8" s="16" t="str">
        <f>VLOOKUP(D8,[1]!VolumeType[#All],2,FALSE)</f>
        <v>Control</v>
      </c>
      <c r="O8" s="15" t="str">
        <f>VLOOKUP(D8,[1]!VolumeType[#All],3,FALSE)</f>
        <v>Avoidance</v>
      </c>
      <c r="P8" s="14" t="str">
        <f>VLOOKUP(D8,[1]!Colors[#All],3,FALSE)</f>
        <v>z Bladder</v>
      </c>
      <c r="Q8" s="12">
        <f>IFERROR(VLOOKUP(D8,[1]!DVH_lines[#Data],2,FALSE),"")</f>
        <v>-16777216</v>
      </c>
      <c r="R8" s="13">
        <f>IFERROR(VLOOKUP(D8,[1]!DVH_lines[#Data],3,FALSE),"")</f>
        <v>1</v>
      </c>
      <c r="S8" s="11">
        <f>IFERROR(VLOOKUP(D8,[1]!DVH_lines[#Data],4,FALSE),"")</f>
        <v>3</v>
      </c>
      <c r="T8" s="12" t="str">
        <f>IFERROR(VLOOKUP(D8,[1]!SearchCT[#Data],2,FALSE),"")</f>
        <v/>
      </c>
      <c r="U8" s="11" t="str">
        <f>IFERROR(VLOOKUP(D8,[1]!SearchCT[#Data],3,FALSE),"")</f>
        <v/>
      </c>
    </row>
    <row r="9" spans="1:21" x14ac:dyDescent="0.25">
      <c r="A9" s="46" t="s">
        <v>276</v>
      </c>
      <c r="B9" s="1" t="s">
        <v>266</v>
      </c>
      <c r="D9" s="36" t="s">
        <v>35</v>
      </c>
      <c r="E9" s="39" t="s">
        <v>35</v>
      </c>
      <c r="F9" s="39" t="s">
        <v>35</v>
      </c>
      <c r="G9" s="37"/>
      <c r="H9" s="21"/>
      <c r="J9" s="19" t="str">
        <f>VLOOKUP(D9,[1]!Dictionary[#All],3,FALSE)</f>
        <v>Rectum</v>
      </c>
      <c r="K9" s="18">
        <f>VLOOKUP(D9,[1]!Dictionary[#All],4,FALSE)</f>
        <v>14544</v>
      </c>
      <c r="L9" s="18" t="str">
        <f>VLOOKUP(D9,[1]!Dictionary[#All],5,FALSE)</f>
        <v>FMA</v>
      </c>
      <c r="M9" s="17" t="str">
        <f>VLOOKUP(D9,[1]!Dictionary[#All],6,FALSE)</f>
        <v>3.2</v>
      </c>
      <c r="N9" s="16" t="str">
        <f>VLOOKUP(D9,[1]!VolumeType[#All],2,FALSE)</f>
        <v>Organ</v>
      </c>
      <c r="O9" s="15" t="str">
        <f>VLOOKUP(D9,[1]!VolumeType[#All],3,FALSE)</f>
        <v>Organ</v>
      </c>
      <c r="P9" s="14" t="str">
        <f>VLOOKUP(D9,[1]!Colors[#All],3,FALSE)</f>
        <v>z Rectum</v>
      </c>
      <c r="Q9" s="12" t="str">
        <f>IFERROR(VLOOKUP(D9,[1]!DVH_lines[#Data],2,FALSE),"")</f>
        <v/>
      </c>
      <c r="R9" s="13" t="str">
        <f>IFERROR(VLOOKUP(D9,[1]!DVH_lines[#Data],3,FALSE),"")</f>
        <v/>
      </c>
      <c r="S9" s="11" t="str">
        <f>IFERROR(VLOOKUP(D9,[1]!DVH_lines[#Data],4,FALSE),"")</f>
        <v/>
      </c>
      <c r="T9" s="12">
        <f>IFERROR(VLOOKUP(D9,[1]!SearchCT[#Data],2,FALSE),"")</f>
        <v>-20</v>
      </c>
      <c r="U9" s="11">
        <f>IFERROR(VLOOKUP(D9,[1]!SearchCT[#Data],3,FALSE),"")</f>
        <v>40</v>
      </c>
    </row>
    <row r="10" spans="1:21" x14ac:dyDescent="0.25">
      <c r="A10" s="46" t="s">
        <v>258</v>
      </c>
      <c r="B10" s="1" t="s">
        <v>259</v>
      </c>
      <c r="D10" s="39" t="s">
        <v>132</v>
      </c>
      <c r="E10" s="39" t="s">
        <v>131</v>
      </c>
      <c r="F10" s="39" t="s">
        <v>130</v>
      </c>
      <c r="G10" s="37"/>
      <c r="H10" s="21"/>
      <c r="J10" s="19" t="str">
        <f>VLOOKUP(D10,[1]!Dictionary[#All],3,FALSE)</f>
        <v>Rectum</v>
      </c>
      <c r="K10" s="18">
        <f>VLOOKUP(D10,[1]!Dictionary[#All],4,FALSE)</f>
        <v>14544</v>
      </c>
      <c r="L10" s="18" t="str">
        <f>VLOOKUP(D10,[1]!Dictionary[#All],5,FALSE)</f>
        <v>FMA</v>
      </c>
      <c r="M10" s="17" t="str">
        <f>VLOOKUP(D10,[1]!Dictionary[#All],6,FALSE)</f>
        <v>3.2</v>
      </c>
      <c r="N10" s="16" t="str">
        <f>VLOOKUP(D10,[1]!VolumeType[#All],2,FALSE)</f>
        <v>Control</v>
      </c>
      <c r="O10" s="15" t="str">
        <f>VLOOKUP(D10,[1]!VolumeType[#All],3,FALSE)</f>
        <v>Avoidance</v>
      </c>
      <c r="P10" s="14" t="str">
        <f>VLOOKUP(D10,[1]!Colors[#All],3,FALSE)</f>
        <v>z Rectum</v>
      </c>
      <c r="Q10" s="12">
        <f>IFERROR(VLOOKUP(D10,[1]!DVH_lines[#Data],2,FALSE),"")</f>
        <v>-16777216</v>
      </c>
      <c r="R10" s="13">
        <f>IFERROR(VLOOKUP(D10,[1]!DVH_lines[#Data],3,FALSE),"")</f>
        <v>1</v>
      </c>
      <c r="S10" s="11">
        <f>IFERROR(VLOOKUP(D10,[1]!DVH_lines[#Data],4,FALSE),"")</f>
        <v>3</v>
      </c>
      <c r="T10" s="12" t="str">
        <f>IFERROR(VLOOKUP(D10,[1]!SearchCT[#Data],2,FALSE),"")</f>
        <v/>
      </c>
      <c r="U10" s="11" t="str">
        <f>IFERROR(VLOOKUP(D10,[1]!SearchCT[#Data],3,FALSE),"")</f>
        <v/>
      </c>
    </row>
    <row r="11" spans="1:21" x14ac:dyDescent="0.25">
      <c r="A11" s="46" t="s">
        <v>294</v>
      </c>
      <c r="B11" s="1" t="s">
        <v>271</v>
      </c>
      <c r="D11" s="36" t="s">
        <v>32</v>
      </c>
      <c r="E11" s="39" t="s">
        <v>32</v>
      </c>
      <c r="F11" s="38" t="s">
        <v>31</v>
      </c>
      <c r="G11" s="37"/>
      <c r="H11" s="21"/>
      <c r="J11" s="19" t="str">
        <f>VLOOKUP(D11,[1]!Dictionary[#All],3,FALSE)</f>
        <v>Head of right femur</v>
      </c>
      <c r="K11" s="18">
        <f>VLOOKUP(D11,[1]!Dictionary[#All],4,FALSE)</f>
        <v>55011</v>
      </c>
      <c r="L11" s="18" t="str">
        <f>VLOOKUP(D11,[1]!Dictionary[#All],5,FALSE)</f>
        <v>FMA</v>
      </c>
      <c r="M11" s="17" t="str">
        <f>VLOOKUP(D11,[1]!Dictionary[#All],6,FALSE)</f>
        <v>3.2</v>
      </c>
      <c r="N11" s="16" t="str">
        <f>VLOOKUP(D11,[1]!VolumeType[#All],2,FALSE)</f>
        <v>Organ</v>
      </c>
      <c r="O11" s="15" t="str">
        <f>VLOOKUP(D11,[1]!VolumeType[#All],3,FALSE)</f>
        <v>Organ</v>
      </c>
      <c r="P11" s="14" t="str">
        <f>VLOOKUP(D11,[1]!Colors[#All],3,FALSE)</f>
        <v>z Femoral Head R</v>
      </c>
      <c r="Q11" s="12" t="str">
        <f>IFERROR(VLOOKUP(D11,[1]!DVH_lines[#Data],2,FALSE),"")</f>
        <v/>
      </c>
      <c r="R11" s="13" t="str">
        <f>IFERROR(VLOOKUP(D11,[1]!DVH_lines[#Data],3,FALSE),"")</f>
        <v/>
      </c>
      <c r="S11" s="11" t="str">
        <f>IFERROR(VLOOKUP(D11,[1]!DVH_lines[#Data],4,FALSE),"")</f>
        <v/>
      </c>
      <c r="T11" s="12" t="str">
        <f>IFERROR(VLOOKUP(D11,[1]!SearchCT[#Data],2,FALSE),"")</f>
        <v/>
      </c>
      <c r="U11" s="11" t="str">
        <f>IFERROR(VLOOKUP(D11,[1]!SearchCT[#Data],3,FALSE),"")</f>
        <v/>
      </c>
    </row>
    <row r="12" spans="1:21" x14ac:dyDescent="0.25">
      <c r="A12" s="46" t="s">
        <v>260</v>
      </c>
      <c r="B12" s="1" t="s">
        <v>24</v>
      </c>
      <c r="D12" s="40" t="s">
        <v>29</v>
      </c>
      <c r="E12" s="39" t="s">
        <v>29</v>
      </c>
      <c r="F12" s="38" t="s">
        <v>28</v>
      </c>
      <c r="G12" s="37"/>
      <c r="H12" s="21"/>
      <c r="J12" s="19" t="str">
        <f>VLOOKUP(D12,[1]!Dictionary[#All],3,FALSE)</f>
        <v>Head of left femur</v>
      </c>
      <c r="K12" s="18">
        <f>VLOOKUP(D12,[1]!Dictionary[#All],4,FALSE)</f>
        <v>55012</v>
      </c>
      <c r="L12" s="18" t="str">
        <f>VLOOKUP(D12,[1]!Dictionary[#All],5,FALSE)</f>
        <v>FMA</v>
      </c>
      <c r="M12" s="17" t="str">
        <f>VLOOKUP(D12,[1]!Dictionary[#All],6,FALSE)</f>
        <v>3.2</v>
      </c>
      <c r="N12" s="16" t="str">
        <f>VLOOKUP(D12,[1]!VolumeType[#All],2,FALSE)</f>
        <v>Organ</v>
      </c>
      <c r="O12" s="15" t="str">
        <f>VLOOKUP(D12,[1]!VolumeType[#All],3,FALSE)</f>
        <v>Organ</v>
      </c>
      <c r="P12" s="14" t="str">
        <f>VLOOKUP(D12,[1]!Colors[#All],3,FALSE)</f>
        <v>z Femoral Head L</v>
      </c>
      <c r="Q12" s="12" t="str">
        <f>IFERROR(VLOOKUP(D12,[1]!DVH_lines[#Data],2,FALSE),"")</f>
        <v/>
      </c>
      <c r="R12" s="13" t="str">
        <f>IFERROR(VLOOKUP(D12,[1]!DVH_lines[#Data],3,FALSE),"")</f>
        <v/>
      </c>
      <c r="S12" s="11" t="str">
        <f>IFERROR(VLOOKUP(D12,[1]!DVH_lines[#Data],4,FALSE),"")</f>
        <v/>
      </c>
      <c r="T12" s="12" t="str">
        <f>IFERROR(VLOOKUP(D12,[1]!SearchCT[#Data],2,FALSE),"")</f>
        <v/>
      </c>
      <c r="U12" s="11" t="str">
        <f>IFERROR(VLOOKUP(D12,[1]!SearchCT[#Data],3,FALSE),"")</f>
        <v/>
      </c>
    </row>
    <row r="13" spans="1:21" x14ac:dyDescent="0.25">
      <c r="A13" s="46" t="s">
        <v>21</v>
      </c>
      <c r="B13" s="1" t="s">
        <v>20</v>
      </c>
      <c r="D13" s="36" t="s">
        <v>115</v>
      </c>
      <c r="E13" s="39" t="s">
        <v>115</v>
      </c>
      <c r="F13" s="38" t="s">
        <v>191</v>
      </c>
      <c r="G13" s="37"/>
      <c r="H13" s="21"/>
      <c r="J13" s="19" t="str">
        <f>VLOOKUP(D13,[1]!Dictionary[#All],3,FALSE)</f>
        <v>CTV Primary</v>
      </c>
      <c r="K13" s="18" t="str">
        <f>VLOOKUP(D13,[1]!Dictionary[#All],4,FALSE)</f>
        <v>CTVp</v>
      </c>
      <c r="L13" s="18" t="str">
        <f>VLOOKUP(D13,[1]!Dictionary[#All],5,FALSE)</f>
        <v>99VMS_STRUCTCODE</v>
      </c>
      <c r="M13" s="17" t="str">
        <f>VLOOKUP(D13,[1]!Dictionary[#All],6,FALSE)</f>
        <v>1.0</v>
      </c>
      <c r="N13" s="16" t="str">
        <f>VLOOKUP(D13,[1]!VolumeType[#All],2,FALSE)</f>
        <v>CTV</v>
      </c>
      <c r="O13" s="15" t="str">
        <f>VLOOKUP(D13,[1]!VolumeType[#All],3,FALSE)</f>
        <v>CTV</v>
      </c>
      <c r="P13" s="14" t="str">
        <f>VLOOKUP(D13,[1]!Colors[#All],3,FALSE)</f>
        <v>z CTV</v>
      </c>
      <c r="Q13" s="12" t="str">
        <f>IFERROR(VLOOKUP(D13,[1]!DVH_lines[#Data],2,FALSE),"")</f>
        <v/>
      </c>
      <c r="R13" s="13" t="str">
        <f>IFERROR(VLOOKUP(D13,[1]!DVH_lines[#Data],3,FALSE),"")</f>
        <v/>
      </c>
      <c r="S13" s="11" t="str">
        <f>IFERROR(VLOOKUP(D13,[1]!DVH_lines[#Data],4,FALSE),"")</f>
        <v/>
      </c>
      <c r="T13" s="12" t="str">
        <f>IFERROR(VLOOKUP(D13,[1]!SearchCT[#Data],2,FALSE),"")</f>
        <v/>
      </c>
      <c r="U13" s="11" t="str">
        <f>IFERROR(VLOOKUP(D13,[1]!SearchCT[#Data],3,FALSE),"")</f>
        <v/>
      </c>
    </row>
    <row r="14" spans="1:21" x14ac:dyDescent="0.25">
      <c r="A14" s="20"/>
      <c r="B14" s="20"/>
      <c r="D14" s="40" t="s">
        <v>146</v>
      </c>
      <c r="E14" s="39" t="s">
        <v>159</v>
      </c>
      <c r="F14" s="38" t="s">
        <v>190</v>
      </c>
      <c r="G14" s="37"/>
      <c r="H14" s="21"/>
      <c r="J14" s="19" t="str">
        <f>VLOOKUP(D14,[1]!Dictionary[#All],3,FALSE)</f>
        <v>PTV Primary</v>
      </c>
      <c r="K14" s="18" t="str">
        <f>VLOOKUP(D14,[1]!Dictionary[#All],4,FALSE)</f>
        <v>PTVp</v>
      </c>
      <c r="L14" s="18" t="str">
        <f>VLOOKUP(D14,[1]!Dictionary[#All],5,FALSE)</f>
        <v>99VMS_STRUCTCODE</v>
      </c>
      <c r="M14" s="17" t="str">
        <f>VLOOKUP(D14,[1]!Dictionary[#All],6,FALSE)</f>
        <v>1.0</v>
      </c>
      <c r="N14" s="16" t="str">
        <f>VLOOKUP(D14,[1]!VolumeType[#All],2,FALSE)</f>
        <v>PTV</v>
      </c>
      <c r="O14" s="15" t="str">
        <f>VLOOKUP(D14,[1]!VolumeType[#All],3,FALSE)</f>
        <v>PTV</v>
      </c>
      <c r="P14" s="14" t="str">
        <f>VLOOKUP(D14,[1]!Colors[#All],3,FALSE)</f>
        <v>z PTV eval</v>
      </c>
      <c r="Q14" s="12">
        <f>IFERROR(VLOOKUP(D14,[1]!DVH_lines[#Data],2,FALSE),"")</f>
        <v>-16777216</v>
      </c>
      <c r="R14" s="13">
        <f>IFERROR(VLOOKUP(D14,[1]!DVH_lines[#Data],3,FALSE),"")</f>
        <v>0</v>
      </c>
      <c r="S14" s="11">
        <f>IFERROR(VLOOKUP(D14,[1]!DVH_lines[#Data],4,FALSE),"")</f>
        <v>5</v>
      </c>
      <c r="T14" s="12" t="str">
        <f>IFERROR(VLOOKUP(D14,[1]!SearchCT[#Data],2,FALSE),"")</f>
        <v/>
      </c>
      <c r="U14" s="11" t="str">
        <f>IFERROR(VLOOKUP(D14,[1]!SearchCT[#Data],3,FALSE),"")</f>
        <v/>
      </c>
    </row>
    <row r="15" spans="1:21" x14ac:dyDescent="0.25">
      <c r="D15" s="40" t="s">
        <v>143</v>
      </c>
      <c r="E15" s="39" t="s">
        <v>189</v>
      </c>
      <c r="F15" s="38" t="s">
        <v>188</v>
      </c>
      <c r="G15" s="37"/>
      <c r="H15" s="21"/>
      <c r="J15" s="19" t="str">
        <f>VLOOKUP(D15,[1]!Dictionary[#All],3,FALSE)</f>
        <v>PTV Primary</v>
      </c>
      <c r="K15" s="18" t="str">
        <f>VLOOKUP(D15,[1]!Dictionary[#All],4,FALSE)</f>
        <v>PTVp</v>
      </c>
      <c r="L15" s="18" t="str">
        <f>VLOOKUP(D15,[1]!Dictionary[#All],5,FALSE)</f>
        <v>99VMS_STRUCTCODE</v>
      </c>
      <c r="M15" s="17" t="str">
        <f>VLOOKUP(D15,[1]!Dictionary[#All],6,FALSE)</f>
        <v>1.0</v>
      </c>
      <c r="N15" s="16" t="str">
        <f>VLOOKUP(D15,[1]!VolumeType[#All],2,FALSE)</f>
        <v>PTV</v>
      </c>
      <c r="O15" s="15" t="str">
        <f>VLOOKUP(D15,[1]!VolumeType[#All],3,FALSE)</f>
        <v>PTV</v>
      </c>
      <c r="P15" s="14" t="str">
        <f>VLOOKUP(D15,[1]!Colors[#All],3,FALSE)</f>
        <v>z PTV opt</v>
      </c>
      <c r="Q15" s="12">
        <f>IFERROR(VLOOKUP(D15,[1]!DVH_lines[#Data],2,FALSE),"")</f>
        <v>-16777216</v>
      </c>
      <c r="R15" s="13">
        <f>IFERROR(VLOOKUP(D15,[1]!DVH_lines[#Data],3,FALSE),"")</f>
        <v>1</v>
      </c>
      <c r="S15" s="11">
        <f>IFERROR(VLOOKUP(D15,[1]!DVH_lines[#Data],4,FALSE),"")</f>
        <v>3</v>
      </c>
      <c r="T15" s="12" t="str">
        <f>IFERROR(VLOOKUP(D15,[1]!SearchCT[#Data],2,FALSE),"")</f>
        <v/>
      </c>
      <c r="U15" s="11" t="str">
        <f>IFERROR(VLOOKUP(D15,[1]!SearchCT[#Data],3,FALSE),"")</f>
        <v/>
      </c>
    </row>
    <row r="16" spans="1:21" x14ac:dyDescent="0.25">
      <c r="D16" s="40" t="s">
        <v>113</v>
      </c>
      <c r="E16" s="39" t="s">
        <v>113</v>
      </c>
      <c r="F16" s="38" t="s">
        <v>187</v>
      </c>
      <c r="G16" s="37"/>
      <c r="H16" s="21"/>
      <c r="J16" s="19" t="str">
        <f>VLOOKUP(D16,[1]!Dictionary[#All],3,FALSE)</f>
        <v>PTV Primary</v>
      </c>
      <c r="K16" s="18" t="str">
        <f>VLOOKUP(D16,[1]!Dictionary[#All],4,FALSE)</f>
        <v>PTVp</v>
      </c>
      <c r="L16" s="18" t="str">
        <f>VLOOKUP(D16,[1]!Dictionary[#All],5,FALSE)</f>
        <v>99VMS_STRUCTCODE</v>
      </c>
      <c r="M16" s="17" t="str">
        <f>VLOOKUP(D16,[1]!Dictionary[#All],6,FALSE)</f>
        <v>1.0</v>
      </c>
      <c r="N16" s="16" t="str">
        <f>VLOOKUP(D16,[1]!VolumeType[#All],2,FALSE)</f>
        <v>PTV</v>
      </c>
      <c r="O16" s="15" t="str">
        <f>VLOOKUP(D16,[1]!VolumeType[#All],3,FALSE)</f>
        <v>PTV</v>
      </c>
      <c r="P16" s="14" t="str">
        <f>VLOOKUP(D16,[1]!Colors[#All],3,FALSE)</f>
        <v>z PTV</v>
      </c>
      <c r="Q16" s="12" t="str">
        <f>IFERROR(VLOOKUP(D16,[1]!DVH_lines[#Data],2,FALSE),"")</f>
        <v/>
      </c>
      <c r="R16" s="13" t="str">
        <f>IFERROR(VLOOKUP(D16,[1]!DVH_lines[#Data],3,FALSE),"")</f>
        <v/>
      </c>
      <c r="S16" s="11" t="str">
        <f>IFERROR(VLOOKUP(D16,[1]!DVH_lines[#Data],4,FALSE),"")</f>
        <v/>
      </c>
      <c r="T16" s="12" t="str">
        <f>IFERROR(VLOOKUP(D16,[1]!SearchCT[#Data],2,FALSE),"")</f>
        <v/>
      </c>
      <c r="U16" s="11" t="str">
        <f>IFERROR(VLOOKUP(D16,[1]!SearchCT[#Data],3,FALSE),"")</f>
        <v/>
      </c>
    </row>
    <row r="17" spans="4:21" x14ac:dyDescent="0.25">
      <c r="D17" s="40" t="s">
        <v>119</v>
      </c>
      <c r="E17" s="39" t="s">
        <v>119</v>
      </c>
      <c r="F17" s="38" t="s">
        <v>186</v>
      </c>
      <c r="G17" s="37"/>
      <c r="H17" s="21"/>
      <c r="J17" s="19" t="str">
        <f>VLOOKUP(D17,[1]!Dictionary[#All],3,FALSE)</f>
        <v>GTV Nodal</v>
      </c>
      <c r="K17" s="18" t="str">
        <f>VLOOKUP(D17,[1]!Dictionary[#All],4,FALSE)</f>
        <v>GTVn</v>
      </c>
      <c r="L17" s="18" t="str">
        <f>VLOOKUP(D17,[1]!Dictionary[#All],5,FALSE)</f>
        <v>99VMS_STRUCTCODE</v>
      </c>
      <c r="M17" s="17" t="str">
        <f>VLOOKUP(D17,[1]!Dictionary[#All],6,FALSE)</f>
        <v>1.0</v>
      </c>
      <c r="N17" s="16" t="str">
        <f>VLOOKUP(D17,[1]!VolumeType[#All],2,FALSE)</f>
        <v>GTV</v>
      </c>
      <c r="O17" s="15" t="str">
        <f>VLOOKUP(D17,[1]!VolumeType[#All],3,FALSE)</f>
        <v>Nodes</v>
      </c>
      <c r="P17" s="14" t="str">
        <f>VLOOKUP(D17,[1]!Colors[#All],3,FALSE)</f>
        <v>z GTV</v>
      </c>
      <c r="Q17" s="12" t="str">
        <f>IFERROR(VLOOKUP(D17,[1]!DVH_lines[#Data],2,FALSE),"")</f>
        <v/>
      </c>
      <c r="R17" s="13" t="str">
        <f>IFERROR(VLOOKUP(D17,[1]!DVH_lines[#Data],3,FALSE),"")</f>
        <v/>
      </c>
      <c r="S17" s="11" t="str">
        <f>IFERROR(VLOOKUP(D17,[1]!DVH_lines[#Data],4,FALSE),"")</f>
        <v/>
      </c>
      <c r="T17" s="12" t="str">
        <f>IFERROR(VLOOKUP(D17,[1]!SearchCT[#Data],2,FALSE),"")</f>
        <v/>
      </c>
      <c r="U17" s="11" t="str">
        <f>IFERROR(VLOOKUP(D17,[1]!SearchCT[#Data],3,FALSE),"")</f>
        <v/>
      </c>
    </row>
    <row r="18" spans="4:21" x14ac:dyDescent="0.25">
      <c r="D18" s="36" t="s">
        <v>185</v>
      </c>
      <c r="E18" s="39" t="s">
        <v>185</v>
      </c>
      <c r="F18" s="38" t="s">
        <v>184</v>
      </c>
      <c r="G18" s="37"/>
      <c r="H18" s="21"/>
      <c r="J18" s="19" t="str">
        <f>VLOOKUP(D18,[1]!Dictionary[#All],3,FALSE)</f>
        <v>CTV Intermediate Risk</v>
      </c>
      <c r="K18" s="18" t="str">
        <f>VLOOKUP(D18,[1]!Dictionary[#All],4,FALSE)</f>
        <v>CTV_Intermediate</v>
      </c>
      <c r="L18" s="18" t="str">
        <f>VLOOKUP(D18,[1]!Dictionary[#All],5,FALSE)</f>
        <v>99VMS_STRUCTCODE</v>
      </c>
      <c r="M18" s="17" t="str">
        <f>VLOOKUP(D18,[1]!Dictionary[#All],6,FALSE)</f>
        <v>1.0</v>
      </c>
      <c r="N18" s="16" t="str">
        <f>VLOOKUP(D18,[1]!VolumeType[#All],2,FALSE)</f>
        <v>CTV</v>
      </c>
      <c r="O18" s="15" t="str">
        <f>VLOOKUP(D18,[1]!VolumeType[#All],3,FALSE)</f>
        <v>Nodes</v>
      </c>
      <c r="P18" s="14" t="str">
        <f>VLOOKUP(D18,[1]!Colors[#All],3,FALSE)</f>
        <v>z CTV int</v>
      </c>
      <c r="Q18" s="12" t="str">
        <f>IFERROR(VLOOKUP(D18,[1]!DVH_lines[#Data],2,FALSE),"")</f>
        <v/>
      </c>
      <c r="R18" s="13" t="str">
        <f>IFERROR(VLOOKUP(D18,[1]!DVH_lines[#Data],3,FALSE),"")</f>
        <v/>
      </c>
      <c r="S18" s="11" t="str">
        <f>IFERROR(VLOOKUP(D18,[1]!DVH_lines[#Data],4,FALSE),"")</f>
        <v/>
      </c>
      <c r="T18" s="12" t="str">
        <f>IFERROR(VLOOKUP(D18,[1]!SearchCT[#Data],2,FALSE),"")</f>
        <v/>
      </c>
      <c r="U18" s="11" t="str">
        <f>IFERROR(VLOOKUP(D18,[1]!SearchCT[#Data],3,FALSE),"")</f>
        <v/>
      </c>
    </row>
    <row r="19" spans="4:21" x14ac:dyDescent="0.25">
      <c r="D19" s="40" t="s">
        <v>183</v>
      </c>
      <c r="E19" s="39" t="s">
        <v>183</v>
      </c>
      <c r="F19" s="38" t="s">
        <v>182</v>
      </c>
      <c r="G19" s="37"/>
      <c r="H19" s="21"/>
      <c r="J19" s="19" t="str">
        <f>VLOOKUP(D19,[1]!Dictionary[#All],3,FALSE)</f>
        <v>PTV Intermediate Risk</v>
      </c>
      <c r="K19" s="18" t="str">
        <f>VLOOKUP(D19,[1]!Dictionary[#All],4,FALSE)</f>
        <v>PTV_Intermediate</v>
      </c>
      <c r="L19" s="18" t="str">
        <f>VLOOKUP(D19,[1]!Dictionary[#All],5,FALSE)</f>
        <v>99VMS_STRUCTCODE</v>
      </c>
      <c r="M19" s="17" t="str">
        <f>VLOOKUP(D19,[1]!Dictionary[#All],6,FALSE)</f>
        <v>1.0</v>
      </c>
      <c r="N19" s="16" t="str">
        <f>VLOOKUP(D19,[1]!VolumeType[#All],2,FALSE)</f>
        <v>PTV</v>
      </c>
      <c r="O19" s="15" t="str">
        <f>VLOOKUP(D19,[1]!VolumeType[#All],3,FALSE)</f>
        <v>PTV</v>
      </c>
      <c r="P19" s="14" t="str">
        <f>VLOOKUP(D19,[1]!Colors[#All],3,FALSE)</f>
        <v>z PTV int</v>
      </c>
      <c r="Q19" s="12" t="str">
        <f>IFERROR(VLOOKUP(D19,[1]!DVH_lines[#Data],2,FALSE),"")</f>
        <v/>
      </c>
      <c r="R19" s="13" t="str">
        <f>IFERROR(VLOOKUP(D19,[1]!DVH_lines[#Data],3,FALSE),"")</f>
        <v/>
      </c>
      <c r="S19" s="11" t="str">
        <f>IFERROR(VLOOKUP(D19,[1]!DVH_lines[#Data],4,FALSE),"")</f>
        <v/>
      </c>
      <c r="T19" s="12" t="str">
        <f>IFERROR(VLOOKUP(D19,[1]!SearchCT[#Data],2,FALSE),"")</f>
        <v/>
      </c>
      <c r="U19" s="11" t="str">
        <f>IFERROR(VLOOKUP(D19,[1]!SearchCT[#Data],3,FALSE),"")</f>
        <v/>
      </c>
    </row>
    <row r="20" spans="4:21" x14ac:dyDescent="0.25">
      <c r="D20" s="35" t="s">
        <v>103</v>
      </c>
      <c r="E20" s="48" t="s">
        <v>278</v>
      </c>
      <c r="F20" s="38" t="s">
        <v>282</v>
      </c>
      <c r="G20" s="37"/>
      <c r="H20" s="21"/>
      <c r="J20" s="19" t="str">
        <f>VLOOKUP(D20,[1]!Dictionary[#All],3,FALSE)</f>
        <v>Left internal iliac lymphatic chain</v>
      </c>
      <c r="K20" s="18">
        <f>VLOOKUP(D20,[1]!Dictionary[#All],4,FALSE)</f>
        <v>224279</v>
      </c>
      <c r="L20" s="18" t="str">
        <f>VLOOKUP(D20,[1]!Dictionary[#All],5,FALSE)</f>
        <v>FMA</v>
      </c>
      <c r="M20" s="17" t="str">
        <f>VLOOKUP(D20,[1]!Dictionary[#All],6,FALSE)</f>
        <v>3.2</v>
      </c>
      <c r="N20" s="16" t="str">
        <f>VLOOKUP(D20,[1]!VolumeType[#All],2,FALSE)</f>
        <v>CTV</v>
      </c>
      <c r="O20" s="15" t="str">
        <f>VLOOKUP(D20,[1]!VolumeType[#All],3,FALSE)</f>
        <v>Nodes</v>
      </c>
      <c r="P20" s="14" t="str">
        <f>VLOOKUP(D20,[1]!Colors[#All],3,FALSE)</f>
        <v>zNode Intiliac L</v>
      </c>
      <c r="Q20" s="12" t="str">
        <f>IFERROR(VLOOKUP(D20,[1]!DVH_lines[#Data],2,FALSE),"")</f>
        <v/>
      </c>
      <c r="R20" s="13" t="str">
        <f>IFERROR(VLOOKUP(D20,[1]!DVH_lines[#Data],3,FALSE),"")</f>
        <v/>
      </c>
      <c r="S20" s="11" t="str">
        <f>IFERROR(VLOOKUP(D20,[1]!DVH_lines[#Data],4,FALSE),"")</f>
        <v/>
      </c>
      <c r="T20" s="12" t="str">
        <f>IFERROR(VLOOKUP(D20,[1]!SearchCT[#Data],2,FALSE),"")</f>
        <v/>
      </c>
      <c r="U20" s="11" t="str">
        <f>IFERROR(VLOOKUP(D20,[1]!SearchCT[#Data],3,FALSE),"")</f>
        <v/>
      </c>
    </row>
    <row r="21" spans="4:21" x14ac:dyDescent="0.25">
      <c r="D21" s="35" t="s">
        <v>101</v>
      </c>
      <c r="E21" s="48" t="s">
        <v>279</v>
      </c>
      <c r="F21" s="38" t="s">
        <v>283</v>
      </c>
      <c r="G21" s="37"/>
      <c r="H21" s="21"/>
      <c r="J21" s="19" t="str">
        <f>VLOOKUP(D21,[1]!Dictionary[#All],3,FALSE)</f>
        <v>Right internal iliac lymphatic chain</v>
      </c>
      <c r="K21" s="18">
        <f>VLOOKUP(D21,[1]!Dictionary[#All],4,FALSE)</f>
        <v>224277</v>
      </c>
      <c r="L21" s="18" t="str">
        <f>VLOOKUP(D21,[1]!Dictionary[#All],5,FALSE)</f>
        <v>FMA</v>
      </c>
      <c r="M21" s="17" t="str">
        <f>VLOOKUP(D21,[1]!Dictionary[#All],6,FALSE)</f>
        <v>3.2</v>
      </c>
      <c r="N21" s="16" t="str">
        <f>VLOOKUP(D21,[1]!VolumeType[#All],2,FALSE)</f>
        <v>CTV</v>
      </c>
      <c r="O21" s="15" t="str">
        <f>VLOOKUP(D21,[1]!VolumeType[#All],3,FALSE)</f>
        <v>Nodes</v>
      </c>
      <c r="P21" s="14" t="str">
        <f>VLOOKUP(D21,[1]!Colors[#All],3,FALSE)</f>
        <v>zNode Intiliac R</v>
      </c>
      <c r="Q21" s="12" t="str">
        <f>IFERROR(VLOOKUP(D21,[1]!DVH_lines[#Data],2,FALSE),"")</f>
        <v/>
      </c>
      <c r="R21" s="13" t="str">
        <f>IFERROR(VLOOKUP(D21,[1]!DVH_lines[#Data],3,FALSE),"")</f>
        <v/>
      </c>
      <c r="S21" s="11" t="str">
        <f>IFERROR(VLOOKUP(D21,[1]!DVH_lines[#Data],4,FALSE),"")</f>
        <v/>
      </c>
      <c r="T21" s="12" t="str">
        <f>IFERROR(VLOOKUP(D21,[1]!SearchCT[#Data],2,FALSE),"")</f>
        <v/>
      </c>
      <c r="U21" s="11" t="str">
        <f>IFERROR(VLOOKUP(D21,[1]!SearchCT[#Data],3,FALSE),"")</f>
        <v/>
      </c>
    </row>
    <row r="22" spans="4:21" x14ac:dyDescent="0.25">
      <c r="D22" s="35" t="s">
        <v>84</v>
      </c>
      <c r="E22" s="48" t="s">
        <v>280</v>
      </c>
      <c r="F22" s="47" t="s">
        <v>284</v>
      </c>
      <c r="G22" s="37"/>
      <c r="H22" s="21"/>
      <c r="J22" s="19" t="str">
        <f>VLOOKUP(D22,[1]!Dictionary[#All],3,FALSE)</f>
        <v>Right external iliac lymphatic chain</v>
      </c>
      <c r="K22" s="18">
        <f>VLOOKUP(D22,[1]!Dictionary[#All],4,FALSE)</f>
        <v>229179</v>
      </c>
      <c r="L22" s="18" t="str">
        <f>VLOOKUP(D22,[1]!Dictionary[#All],5,FALSE)</f>
        <v>FMA</v>
      </c>
      <c r="M22" s="17" t="str">
        <f>VLOOKUP(D22,[1]!Dictionary[#All],6,FALSE)</f>
        <v>3.2</v>
      </c>
      <c r="N22" s="16" t="str">
        <f>VLOOKUP(D22,[1]!VolumeType[#All],2,FALSE)</f>
        <v>CTV</v>
      </c>
      <c r="O22" s="15" t="str">
        <f>VLOOKUP(D22,[1]!VolumeType[#All],3,FALSE)</f>
        <v>Nodes</v>
      </c>
      <c r="P22" s="14" t="str">
        <f>VLOOKUP(D22,[1]!Colors[#All],3,FALSE)</f>
        <v>zNode extiliac L</v>
      </c>
      <c r="Q22" s="12" t="str">
        <f>IFERROR(VLOOKUP(D22,[1]!DVH_lines[#Data],2,FALSE),"")</f>
        <v/>
      </c>
      <c r="R22" s="13" t="str">
        <f>IFERROR(VLOOKUP(D22,[1]!DVH_lines[#Data],3,FALSE),"")</f>
        <v/>
      </c>
      <c r="S22" s="11" t="str">
        <f>IFERROR(VLOOKUP(D22,[1]!DVH_lines[#Data],4,FALSE),"")</f>
        <v/>
      </c>
      <c r="T22" s="12" t="str">
        <f>IFERROR(VLOOKUP(D22,[1]!SearchCT[#Data],2,FALSE),"")</f>
        <v/>
      </c>
      <c r="U22" s="11" t="str">
        <f>IFERROR(VLOOKUP(D22,[1]!SearchCT[#Data],3,FALSE),"")</f>
        <v/>
      </c>
    </row>
    <row r="23" spans="4:21" x14ac:dyDescent="0.25">
      <c r="D23" s="35" t="s">
        <v>82</v>
      </c>
      <c r="E23" s="48" t="s">
        <v>281</v>
      </c>
      <c r="F23" s="47" t="s">
        <v>285</v>
      </c>
      <c r="G23" s="37"/>
      <c r="H23" s="21"/>
      <c r="J23" s="19" t="str">
        <f>VLOOKUP(D23,[1]!Dictionary[#All],3,FALSE)</f>
        <v>Left external iliac lymphatic chain</v>
      </c>
      <c r="K23" s="18">
        <f>VLOOKUP(D23,[1]!Dictionary[#All],4,FALSE)</f>
        <v>229181</v>
      </c>
      <c r="L23" s="18" t="str">
        <f>VLOOKUP(D23,[1]!Dictionary[#All],5,FALSE)</f>
        <v>FMA</v>
      </c>
      <c r="M23" s="17" t="str">
        <f>VLOOKUP(D23,[1]!Dictionary[#All],6,FALSE)</f>
        <v>3.2</v>
      </c>
      <c r="N23" s="16" t="str">
        <f>VLOOKUP(D23,[1]!VolumeType[#All],2,FALSE)</f>
        <v>CTV</v>
      </c>
      <c r="O23" s="15" t="str">
        <f>VLOOKUP(D23,[1]!VolumeType[#All],3,FALSE)</f>
        <v>Nodes</v>
      </c>
      <c r="P23" s="14" t="str">
        <f>VLOOKUP(D23,[1]!Colors[#All],3,FALSE)</f>
        <v>zNode extiliac R</v>
      </c>
      <c r="Q23" s="12" t="str">
        <f>IFERROR(VLOOKUP(D23,[1]!DVH_lines[#Data],2,FALSE),"")</f>
        <v/>
      </c>
      <c r="R23" s="13" t="str">
        <f>IFERROR(VLOOKUP(D23,[1]!DVH_lines[#Data],3,FALSE),"")</f>
        <v/>
      </c>
      <c r="S23" s="11" t="str">
        <f>IFERROR(VLOOKUP(D23,[1]!DVH_lines[#Data],4,FALSE),"")</f>
        <v/>
      </c>
      <c r="T23" s="12" t="str">
        <f>IFERROR(VLOOKUP(D23,[1]!SearchCT[#Data],2,FALSE),"")</f>
        <v/>
      </c>
      <c r="U23" s="11" t="str">
        <f>IFERROR(VLOOKUP(D23,[1]!SearchCT[#Data],3,FALSE),"")</f>
        <v/>
      </c>
    </row>
    <row r="24" spans="4:21" x14ac:dyDescent="0.25">
      <c r="D24" s="40" t="s">
        <v>11</v>
      </c>
      <c r="E24" s="39" t="s">
        <v>11</v>
      </c>
      <c r="F24" s="38" t="s">
        <v>11</v>
      </c>
      <c r="G24" s="37"/>
      <c r="H24" s="21"/>
      <c r="J24" s="19" t="str">
        <f>VLOOKUP(D24,[1]!Dictionary[#All],3,FALSE)</f>
        <v>Presacral space</v>
      </c>
      <c r="K24" s="18">
        <f>VLOOKUP(D24,[1]!Dictionary[#All],4,FALSE)</f>
        <v>265331</v>
      </c>
      <c r="L24" s="18" t="str">
        <f>VLOOKUP(D24,[1]!Dictionary[#All],5,FALSE)</f>
        <v>FMA</v>
      </c>
      <c r="M24" s="17" t="str">
        <f>VLOOKUP(D24,[1]!Dictionary[#All],6,FALSE)</f>
        <v>3.2</v>
      </c>
      <c r="N24" s="16" t="str">
        <f>VLOOKUP(D24,[1]!VolumeType[#All],2,FALSE)</f>
        <v>Organ</v>
      </c>
      <c r="O24" s="15" t="str">
        <f>VLOOKUP(D24,[1]!VolumeType[#All],3,FALSE)</f>
        <v>Organ</v>
      </c>
      <c r="P24" s="14" t="str">
        <f>VLOOKUP(D24,[1]!Colors[#All],3,FALSE)</f>
        <v>z PresacralSpace</v>
      </c>
      <c r="Q24" s="12" t="str">
        <f>IFERROR(VLOOKUP(D24,[1]!DVH_lines[#Data],2,FALSE),"")</f>
        <v/>
      </c>
      <c r="R24" s="13" t="str">
        <f>IFERROR(VLOOKUP(D24,[1]!DVH_lines[#Data],3,FALSE),"")</f>
        <v/>
      </c>
      <c r="S24" s="11" t="str">
        <f>IFERROR(VLOOKUP(D24,[1]!DVH_lines[#Data],4,FALSE),"")</f>
        <v/>
      </c>
      <c r="T24" s="12" t="str">
        <f>IFERROR(VLOOKUP(D24,[1]!SearchCT[#Data],2,FALSE),"")</f>
        <v/>
      </c>
      <c r="U24" s="11" t="str">
        <f>IFERROR(VLOOKUP(D24,[1]!SearchCT[#Data],3,FALSE),"")</f>
        <v/>
      </c>
    </row>
    <row r="25" spans="4:21" x14ac:dyDescent="0.25">
      <c r="D25" s="36" t="s">
        <v>107</v>
      </c>
      <c r="E25" s="39" t="s">
        <v>109</v>
      </c>
      <c r="F25" s="38" t="s">
        <v>105</v>
      </c>
      <c r="G25" s="37"/>
      <c r="H25" s="21"/>
      <c r="J25" s="19" t="str">
        <f>VLOOKUP(D25,[1]!Dictionary[#All],3,FALSE)</f>
        <v>Artifact</v>
      </c>
      <c r="K25" s="18">
        <f>VLOOKUP(D25,[1]!Dictionary[#All],4,FALSE)</f>
        <v>11296</v>
      </c>
      <c r="L25" s="18" t="str">
        <f>VLOOKUP(D25,[1]!Dictionary[#All],5,FALSE)</f>
        <v>RADLEX</v>
      </c>
      <c r="M25" s="17">
        <f>VLOOKUP(D25,[1]!Dictionary[#All],6,FALSE)</f>
        <v>3.8</v>
      </c>
      <c r="N25" s="16" t="str">
        <f>VLOOKUP(D25,[1]!VolumeType[#All],2,FALSE)</f>
        <v>Artifact</v>
      </c>
      <c r="O25" s="15" t="str">
        <f>VLOOKUP(D25,[1]!VolumeType[#All],3,FALSE)</f>
        <v>None</v>
      </c>
      <c r="P25" s="14" t="str">
        <f>VLOOKUP(D25,[1]!Colors[#All],3,FALSE)</f>
        <v>z RO Helper</v>
      </c>
      <c r="Q25" s="12" t="str">
        <f>IFERROR(VLOOKUP(D25,[1]!DVH_lines[#Data],2,FALSE),"")</f>
        <v/>
      </c>
      <c r="R25" s="13" t="str">
        <f>IFERROR(VLOOKUP(D25,[1]!DVH_lines[#Data],3,FALSE),"")</f>
        <v/>
      </c>
      <c r="S25" s="11" t="str">
        <f>IFERROR(VLOOKUP(D25,[1]!DVH_lines[#Data],4,FALSE),"")</f>
        <v/>
      </c>
      <c r="T25" s="12" t="str">
        <f>IFERROR(VLOOKUP(D25,[1]!SearchCT[#Data],2,FALSE),"")</f>
        <v/>
      </c>
      <c r="U25" s="11" t="str">
        <f>IFERROR(VLOOKUP(D25,[1]!SearchCT[#Data],3,FALSE),"")</f>
        <v/>
      </c>
    </row>
    <row r="26" spans="4:21" x14ac:dyDescent="0.25">
      <c r="D26" s="40" t="s">
        <v>107</v>
      </c>
      <c r="E26" s="39" t="s">
        <v>108</v>
      </c>
      <c r="F26" s="38" t="s">
        <v>105</v>
      </c>
      <c r="G26" s="37"/>
      <c r="H26" s="21"/>
      <c r="J26" s="19" t="str">
        <f>VLOOKUP(D26,[1]!Dictionary[#All],3,FALSE)</f>
        <v>Artifact</v>
      </c>
      <c r="K26" s="18">
        <f>VLOOKUP(D26,[1]!Dictionary[#All],4,FALSE)</f>
        <v>11296</v>
      </c>
      <c r="L26" s="18" t="str">
        <f>VLOOKUP(D26,[1]!Dictionary[#All],5,FALSE)</f>
        <v>RADLEX</v>
      </c>
      <c r="M26" s="17">
        <f>VLOOKUP(D26,[1]!Dictionary[#All],6,FALSE)</f>
        <v>3.8</v>
      </c>
      <c r="N26" s="16" t="str">
        <f>VLOOKUP(D26,[1]!VolumeType[#All],2,FALSE)</f>
        <v>Artifact</v>
      </c>
      <c r="O26" s="15" t="str">
        <f>VLOOKUP(D26,[1]!VolumeType[#All],3,FALSE)</f>
        <v>None</v>
      </c>
      <c r="P26" s="14" t="str">
        <f>VLOOKUP(D26,[1]!Colors[#All],3,FALSE)</f>
        <v>z RO Helper</v>
      </c>
      <c r="Q26" s="12" t="str">
        <f>IFERROR(VLOOKUP(D26,[1]!DVH_lines[#Data],2,FALSE),"")</f>
        <v/>
      </c>
      <c r="R26" s="13" t="str">
        <f>IFERROR(VLOOKUP(D26,[1]!DVH_lines[#Data],3,FALSE),"")</f>
        <v/>
      </c>
      <c r="S26" s="11" t="str">
        <f>IFERROR(VLOOKUP(D26,[1]!DVH_lines[#Data],4,FALSE),"")</f>
        <v/>
      </c>
      <c r="T26" s="12" t="str">
        <f>IFERROR(VLOOKUP(D26,[1]!SearchCT[#Data],2,FALSE),"")</f>
        <v/>
      </c>
      <c r="U26" s="11" t="str">
        <f>IFERROR(VLOOKUP(D26,[1]!SearchCT[#Data],3,FALSE),"")</f>
        <v/>
      </c>
    </row>
    <row r="27" spans="4:21" ht="15.75" thickBot="1" x14ac:dyDescent="0.3">
      <c r="D27" s="36" t="s">
        <v>107</v>
      </c>
      <c r="E27" s="39" t="s">
        <v>106</v>
      </c>
      <c r="F27" s="38" t="s">
        <v>105</v>
      </c>
      <c r="G27" s="37"/>
      <c r="H27" s="21"/>
      <c r="J27" s="10" t="str">
        <f>VLOOKUP(D27,[1]!Dictionary[#All],3,FALSE)</f>
        <v>Artifact</v>
      </c>
      <c r="K27" s="9">
        <f>VLOOKUP(D27,[1]!Dictionary[#All],4,FALSE)</f>
        <v>11296</v>
      </c>
      <c r="L27" s="9" t="str">
        <f>VLOOKUP(D27,[1]!Dictionary[#All],5,FALSE)</f>
        <v>RADLEX</v>
      </c>
      <c r="M27" s="8">
        <f>VLOOKUP(D27,[1]!Dictionary[#All],6,FALSE)</f>
        <v>3.8</v>
      </c>
      <c r="N27" s="7" t="str">
        <f>VLOOKUP(D27,[1]!VolumeType[#All],2,FALSE)</f>
        <v>Artifact</v>
      </c>
      <c r="O27" s="6" t="str">
        <f>VLOOKUP(D27,[1]!VolumeType[#All],3,FALSE)</f>
        <v>None</v>
      </c>
      <c r="P27" s="5" t="str">
        <f>VLOOKUP(D27,[1]!Colors[#All],3,FALSE)</f>
        <v>z RO Helper</v>
      </c>
      <c r="Q27" s="3" t="str">
        <f>IFERROR(VLOOKUP(D27,[1]!DVH_lines[#Data],2,FALSE),"")</f>
        <v/>
      </c>
      <c r="R27" s="4" t="str">
        <f>IFERROR(VLOOKUP(D27,[1]!DVH_lines[#Data],3,FALSE),"")</f>
        <v/>
      </c>
      <c r="S27" s="2" t="str">
        <f>IFERROR(VLOOKUP(D27,[1]!DVH_lines[#Data],4,FALSE),"")</f>
        <v/>
      </c>
      <c r="T27" s="3" t="str">
        <f>IFERROR(VLOOKUP(D27,[1]!SearchCT[#Data],2,FALSE),"")</f>
        <v/>
      </c>
      <c r="U27" s="2" t="str">
        <f>IFERROR(VLOOKUP(D27,[1]!SearchCT[#Data],3,FALSE),"")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34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Pelvis Anatomy General</vt:lpstr>
      <vt:lpstr>Pelvis Anatomy Male</vt:lpstr>
      <vt:lpstr>Pelvis Anatomy Female</vt:lpstr>
      <vt:lpstr>Pelvis Nodes</vt:lpstr>
      <vt:lpstr>Rectum</vt:lpstr>
      <vt:lpstr>Bladder Single Phase</vt:lpstr>
      <vt:lpstr>Bladder Two Phase</vt:lpstr>
      <vt:lpstr>Gyne</vt:lpstr>
      <vt:lpstr>Prostate</vt:lpstr>
      <vt:lpstr>Prostate 2Ph VMAT</vt:lpstr>
      <vt:lpstr>Prostate SIB 70 in 28</vt:lpstr>
      <vt:lpstr>Prostate SIB 68 in 25</vt:lpstr>
      <vt:lpstr>VMAT ANUS</vt:lpstr>
      <vt:lpstr>Gyne VMAT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gsalomon</cp:lastModifiedBy>
  <dcterms:created xsi:type="dcterms:W3CDTF">2017-11-10T16:01:59Z</dcterms:created>
  <dcterms:modified xsi:type="dcterms:W3CDTF">2019-11-28T13:58:14Z</dcterms:modified>
</cp:coreProperties>
</file>