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physicspv1\e$\Gregs_Work\Eclipse\Template Management\External Beam Templates\Structure Templates\Template Spreadsheets\"/>
    </mc:Choice>
  </mc:AlternateContent>
  <bookViews>
    <workbookView xWindow="0" yWindow="0" windowWidth="28800" windowHeight="11820" activeTab="4"/>
  </bookViews>
  <sheets>
    <sheet name="Anatomy General" sheetId="31" r:id="rId1"/>
    <sheet name="Brain Anatomy" sheetId="4" r:id="rId2"/>
    <sheet name="Optics Anatomy" sheetId="26" r:id="rId3"/>
    <sheet name="Eye Anatomy" sheetId="12" r:id="rId4"/>
    <sheet name="Ear Anatomy" sheetId="27" r:id="rId5"/>
    <sheet name="Head Anatomy" sheetId="5" r:id="rId6"/>
    <sheet name="Oral Anatomy" sheetId="13" r:id="rId7"/>
    <sheet name="H&amp;N Level I&amp;II Lymph Nodes" sheetId="18" r:id="rId8"/>
    <sheet name="H&amp;N Level III&amp;IV Lymph Nodes" sheetId="16" r:id="rId9"/>
    <sheet name="H&amp;N Level V&amp;VI Lymph Nodes" sheetId="15" r:id="rId10"/>
    <sheet name="Spine Anatomy" sheetId="23" r:id="rId11"/>
    <sheet name="Heart Anatomy" sheetId="20" r:id="rId12"/>
    <sheet name="Chest Anatomy" sheetId="19" r:id="rId13"/>
    <sheet name="Arm Anatomy" sheetId="29" r:id="rId14"/>
    <sheet name="Breast Anatomy" sheetId="28" r:id="rId15"/>
    <sheet name="Lung Anatomy" sheetId="3" r:id="rId16"/>
    <sheet name="Celiac Anatomy" sheetId="22" r:id="rId17"/>
    <sheet name="Renal Anatomy" sheetId="21" r:id="rId18"/>
    <sheet name="Bowel Anatomy" sheetId="11" r:id="rId19"/>
    <sheet name="Rectal Anatomy" sheetId="24" r:id="rId20"/>
    <sheet name="Abdomen Nodes" sheetId="2" r:id="rId21"/>
    <sheet name="Bladder Anatomy" sheetId="25" r:id="rId22"/>
    <sheet name="Pelvis Anatomy General" sheetId="7" r:id="rId23"/>
    <sheet name="Pelvis Anatomy Male" sheetId="8" r:id="rId24"/>
    <sheet name="Pelvis Anatomy Female" sheetId="9" r:id="rId25"/>
    <sheet name="Pelvis Nodes" sheetId="10" r:id="rId26"/>
    <sheet name="Leg Anatomy" sheetId="30" r:id="rId27"/>
  </sheets>
  <externalReferences>
    <externalReference r:id="rId28"/>
  </externalReferenc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7" i="31" l="1"/>
  <c r="R7" i="31"/>
  <c r="Q7" i="31"/>
  <c r="P7" i="31"/>
  <c r="O7" i="31"/>
  <c r="N7" i="31"/>
  <c r="M7" i="31"/>
  <c r="L7" i="31"/>
  <c r="K7" i="31"/>
  <c r="J7" i="31"/>
  <c r="I7" i="31"/>
  <c r="S6" i="31"/>
  <c r="R6" i="31"/>
  <c r="Q6" i="31"/>
  <c r="P6" i="31"/>
  <c r="O6" i="31"/>
  <c r="N6" i="31"/>
  <c r="M6" i="31"/>
  <c r="L6" i="31"/>
  <c r="K6" i="31"/>
  <c r="J6" i="31"/>
  <c r="I6" i="31"/>
  <c r="S5" i="31"/>
  <c r="R5" i="31"/>
  <c r="Q5" i="31"/>
  <c r="P5" i="31"/>
  <c r="O5" i="31"/>
  <c r="N5" i="31"/>
  <c r="M5" i="31"/>
  <c r="L5" i="31"/>
  <c r="K5" i="31"/>
  <c r="J5" i="31"/>
  <c r="I5" i="31"/>
  <c r="S4" i="31"/>
  <c r="R4" i="31"/>
  <c r="Q4" i="31"/>
  <c r="P4" i="31"/>
  <c r="O4" i="31"/>
  <c r="N4" i="31"/>
  <c r="M4" i="31"/>
  <c r="L4" i="31"/>
  <c r="K4" i="31"/>
  <c r="J4" i="31"/>
  <c r="I4" i="31"/>
  <c r="S3" i="31"/>
  <c r="R3" i="31"/>
  <c r="Q3" i="31"/>
  <c r="P3" i="31"/>
  <c r="O3" i="31"/>
  <c r="N3" i="31"/>
  <c r="M3" i="31"/>
  <c r="L3" i="31"/>
  <c r="K3" i="31"/>
  <c r="J3" i="31"/>
  <c r="I3" i="31"/>
  <c r="S10" i="30"/>
  <c r="R10" i="30"/>
  <c r="Q10" i="30"/>
  <c r="P10" i="30"/>
  <c r="O10" i="30"/>
  <c r="N10" i="30"/>
  <c r="M10" i="30"/>
  <c r="L10" i="30"/>
  <c r="K10" i="30"/>
  <c r="J10" i="30"/>
  <c r="I10" i="30"/>
  <c r="S9" i="30"/>
  <c r="R9" i="30"/>
  <c r="Q9" i="30"/>
  <c r="P9" i="30"/>
  <c r="O9" i="30"/>
  <c r="N9" i="30"/>
  <c r="M9" i="30"/>
  <c r="L9" i="30"/>
  <c r="K9" i="30"/>
  <c r="J9" i="30"/>
  <c r="I9" i="30"/>
  <c r="S8" i="30"/>
  <c r="R8" i="30"/>
  <c r="Q8" i="30"/>
  <c r="P8" i="30"/>
  <c r="O8" i="30"/>
  <c r="N8" i="30"/>
  <c r="M8" i="30"/>
  <c r="L8" i="30"/>
  <c r="K8" i="30"/>
  <c r="J8" i="30"/>
  <c r="I8" i="30"/>
  <c r="S7" i="30"/>
  <c r="R7" i="30"/>
  <c r="Q7" i="30"/>
  <c r="P7" i="30"/>
  <c r="O7" i="30"/>
  <c r="N7" i="30"/>
  <c r="M7" i="30"/>
  <c r="L7" i="30"/>
  <c r="K7" i="30"/>
  <c r="J7" i="30"/>
  <c r="I7" i="30"/>
  <c r="S6" i="30"/>
  <c r="R6" i="30"/>
  <c r="Q6" i="30"/>
  <c r="P6" i="30"/>
  <c r="O6" i="30"/>
  <c r="N6" i="30"/>
  <c r="M6" i="30"/>
  <c r="L6" i="30"/>
  <c r="K6" i="30"/>
  <c r="J6" i="30"/>
  <c r="I6" i="30"/>
  <c r="S5" i="30"/>
  <c r="R5" i="30"/>
  <c r="Q5" i="30"/>
  <c r="P5" i="30"/>
  <c r="O5" i="30"/>
  <c r="N5" i="30"/>
  <c r="M5" i="30"/>
  <c r="L5" i="30"/>
  <c r="K5" i="30"/>
  <c r="J5" i="30"/>
  <c r="I5" i="30"/>
  <c r="S4" i="30"/>
  <c r="R4" i="30"/>
  <c r="Q4" i="30"/>
  <c r="P4" i="30"/>
  <c r="O4" i="30"/>
  <c r="N4" i="30"/>
  <c r="M4" i="30"/>
  <c r="L4" i="30"/>
  <c r="K4" i="30"/>
  <c r="J4" i="30"/>
  <c r="I4" i="30"/>
  <c r="S3" i="30"/>
  <c r="R3" i="30"/>
  <c r="Q3" i="30"/>
  <c r="P3" i="30"/>
  <c r="O3" i="30"/>
  <c r="N3" i="30"/>
  <c r="M3" i="30"/>
  <c r="L3" i="30"/>
  <c r="K3" i="30"/>
  <c r="J3" i="30"/>
  <c r="I3" i="30"/>
  <c r="S8" i="29"/>
  <c r="R8" i="29"/>
  <c r="Q8" i="29"/>
  <c r="P8" i="29"/>
  <c r="O8" i="29"/>
  <c r="N8" i="29"/>
  <c r="M8" i="29"/>
  <c r="L8" i="29"/>
  <c r="K8" i="29"/>
  <c r="J8" i="29"/>
  <c r="I8" i="29"/>
  <c r="S7" i="29"/>
  <c r="R7" i="29"/>
  <c r="Q7" i="29"/>
  <c r="P7" i="29"/>
  <c r="O7" i="29"/>
  <c r="N7" i="29"/>
  <c r="M7" i="29"/>
  <c r="L7" i="29"/>
  <c r="K7" i="29"/>
  <c r="J7" i="29"/>
  <c r="I7" i="29"/>
  <c r="S6" i="29"/>
  <c r="R6" i="29"/>
  <c r="Q6" i="29"/>
  <c r="P6" i="29"/>
  <c r="O6" i="29"/>
  <c r="N6" i="29"/>
  <c r="M6" i="29"/>
  <c r="L6" i="29"/>
  <c r="K6" i="29"/>
  <c r="J6" i="29"/>
  <c r="I6" i="29"/>
  <c r="S5" i="29"/>
  <c r="R5" i="29"/>
  <c r="Q5" i="29"/>
  <c r="P5" i="29"/>
  <c r="O5" i="29"/>
  <c r="N5" i="29"/>
  <c r="M5" i="29"/>
  <c r="L5" i="29"/>
  <c r="K5" i="29"/>
  <c r="J5" i="29"/>
  <c r="I5" i="29"/>
  <c r="S4" i="29"/>
  <c r="R4" i="29"/>
  <c r="Q4" i="29"/>
  <c r="P4" i="29"/>
  <c r="O4" i="29"/>
  <c r="N4" i="29"/>
  <c r="M4" i="29"/>
  <c r="L4" i="29"/>
  <c r="K4" i="29"/>
  <c r="J4" i="29"/>
  <c r="I4" i="29"/>
  <c r="S3" i="29"/>
  <c r="R3" i="29"/>
  <c r="Q3" i="29"/>
  <c r="P3" i="29"/>
  <c r="O3" i="29"/>
  <c r="N3" i="29"/>
  <c r="M3" i="29"/>
  <c r="L3" i="29"/>
  <c r="K3" i="29"/>
  <c r="J3" i="29"/>
  <c r="I3" i="29"/>
  <c r="I7" i="19"/>
  <c r="J7" i="19"/>
  <c r="K7" i="19"/>
  <c r="L7" i="19"/>
  <c r="M7" i="19"/>
  <c r="N7" i="19"/>
  <c r="O7" i="19"/>
  <c r="P7" i="19"/>
  <c r="Q7" i="19"/>
  <c r="R7" i="19"/>
  <c r="S7" i="19"/>
  <c r="I8" i="19"/>
  <c r="J8" i="19"/>
  <c r="K8" i="19"/>
  <c r="L8" i="19"/>
  <c r="M8" i="19"/>
  <c r="N8" i="19"/>
  <c r="O8" i="19"/>
  <c r="P8" i="19"/>
  <c r="Q8" i="19"/>
  <c r="R8" i="19"/>
  <c r="S8" i="19"/>
  <c r="I7" i="28"/>
  <c r="J7" i="28"/>
  <c r="K7" i="28"/>
  <c r="L7" i="28"/>
  <c r="M7" i="28"/>
  <c r="N7" i="28"/>
  <c r="O7" i="28"/>
  <c r="P7" i="28"/>
  <c r="Q7" i="28"/>
  <c r="R7" i="28"/>
  <c r="S7" i="28"/>
  <c r="I8" i="28"/>
  <c r="J8" i="28"/>
  <c r="K8" i="28"/>
  <c r="L8" i="28"/>
  <c r="M8" i="28"/>
  <c r="N8" i="28"/>
  <c r="O8" i="28"/>
  <c r="P8" i="28"/>
  <c r="Q8" i="28"/>
  <c r="R8" i="28"/>
  <c r="S8" i="28"/>
  <c r="I9" i="28"/>
  <c r="J9" i="28"/>
  <c r="K9" i="28"/>
  <c r="L9" i="28"/>
  <c r="M9" i="28"/>
  <c r="N9" i="28"/>
  <c r="O9" i="28"/>
  <c r="P9" i="28"/>
  <c r="Q9" i="28"/>
  <c r="R9" i="28"/>
  <c r="S9" i="28"/>
  <c r="S6" i="28" l="1"/>
  <c r="R6" i="28"/>
  <c r="Q6" i="28"/>
  <c r="P6" i="28"/>
  <c r="O6" i="28"/>
  <c r="N6" i="28"/>
  <c r="M6" i="28"/>
  <c r="L6" i="28"/>
  <c r="K6" i="28"/>
  <c r="J6" i="28"/>
  <c r="I6" i="28"/>
  <c r="S5" i="28"/>
  <c r="R5" i="28"/>
  <c r="Q5" i="28"/>
  <c r="P5" i="28"/>
  <c r="O5" i="28"/>
  <c r="N5" i="28"/>
  <c r="M5" i="28"/>
  <c r="L5" i="28"/>
  <c r="K5" i="28"/>
  <c r="J5" i="28"/>
  <c r="I5" i="28"/>
  <c r="S4" i="28"/>
  <c r="R4" i="28"/>
  <c r="Q4" i="28"/>
  <c r="P4" i="28"/>
  <c r="O4" i="28"/>
  <c r="N4" i="28"/>
  <c r="M4" i="28"/>
  <c r="L4" i="28"/>
  <c r="K4" i="28"/>
  <c r="J4" i="28"/>
  <c r="I4" i="28"/>
  <c r="S3" i="28"/>
  <c r="R3" i="28"/>
  <c r="Q3" i="28"/>
  <c r="P3" i="28"/>
  <c r="O3" i="28"/>
  <c r="N3" i="28"/>
  <c r="M3" i="28"/>
  <c r="L3" i="28"/>
  <c r="K3" i="28"/>
  <c r="J3" i="28"/>
  <c r="I3" i="28"/>
  <c r="I6" i="20"/>
  <c r="J6" i="20"/>
  <c r="K6" i="20"/>
  <c r="L6" i="20"/>
  <c r="M6" i="20"/>
  <c r="N6" i="20"/>
  <c r="O6" i="20"/>
  <c r="P6" i="20"/>
  <c r="Q6" i="20"/>
  <c r="R6" i="20"/>
  <c r="S6" i="20"/>
  <c r="I7" i="20"/>
  <c r="J7" i="20"/>
  <c r="K7" i="20"/>
  <c r="L7" i="20"/>
  <c r="M7" i="20"/>
  <c r="N7" i="20"/>
  <c r="O7" i="20"/>
  <c r="P7" i="20"/>
  <c r="Q7" i="20"/>
  <c r="R7" i="20"/>
  <c r="S7" i="20"/>
  <c r="S9" i="5"/>
  <c r="R9" i="5"/>
  <c r="Q9" i="5"/>
  <c r="P9" i="5"/>
  <c r="O9" i="5"/>
  <c r="N9" i="5"/>
  <c r="M9" i="5"/>
  <c r="L9" i="5"/>
  <c r="K9" i="5"/>
  <c r="J9" i="5"/>
  <c r="I9" i="5"/>
  <c r="I9" i="27"/>
  <c r="J9" i="27"/>
  <c r="K9" i="27"/>
  <c r="L9" i="27"/>
  <c r="M9" i="27"/>
  <c r="N9" i="27"/>
  <c r="O9" i="27"/>
  <c r="P9" i="27"/>
  <c r="Q9" i="27"/>
  <c r="R9" i="27"/>
  <c r="S9" i="27"/>
  <c r="I10" i="27"/>
  <c r="J10" i="27"/>
  <c r="K10" i="27"/>
  <c r="L10" i="27"/>
  <c r="M10" i="27"/>
  <c r="N10" i="27"/>
  <c r="O10" i="27"/>
  <c r="P10" i="27"/>
  <c r="Q10" i="27"/>
  <c r="R10" i="27"/>
  <c r="S10" i="27"/>
  <c r="S8" i="27"/>
  <c r="R8" i="27"/>
  <c r="Q8" i="27"/>
  <c r="P8" i="27"/>
  <c r="O8" i="27"/>
  <c r="N8" i="27"/>
  <c r="M8" i="27"/>
  <c r="L8" i="27"/>
  <c r="K8" i="27"/>
  <c r="J8" i="27"/>
  <c r="I8" i="27"/>
  <c r="S7" i="27"/>
  <c r="R7" i="27"/>
  <c r="Q7" i="27"/>
  <c r="P7" i="27"/>
  <c r="O7" i="27"/>
  <c r="N7" i="27"/>
  <c r="M7" i="27"/>
  <c r="L7" i="27"/>
  <c r="K7" i="27"/>
  <c r="J7" i="27"/>
  <c r="I7" i="27"/>
  <c r="S6" i="27"/>
  <c r="R6" i="27"/>
  <c r="Q6" i="27"/>
  <c r="P6" i="27"/>
  <c r="O6" i="27"/>
  <c r="N6" i="27"/>
  <c r="M6" i="27"/>
  <c r="L6" i="27"/>
  <c r="K6" i="27"/>
  <c r="J6" i="27"/>
  <c r="I6" i="27"/>
  <c r="S5" i="27"/>
  <c r="R5" i="27"/>
  <c r="Q5" i="27"/>
  <c r="P5" i="27"/>
  <c r="O5" i="27"/>
  <c r="N5" i="27"/>
  <c r="M5" i="27"/>
  <c r="L5" i="27"/>
  <c r="K5" i="27"/>
  <c r="J5" i="27"/>
  <c r="I5" i="27"/>
  <c r="S4" i="27"/>
  <c r="R4" i="27"/>
  <c r="Q4" i="27"/>
  <c r="P4" i="27"/>
  <c r="O4" i="27"/>
  <c r="N4" i="27"/>
  <c r="M4" i="27"/>
  <c r="L4" i="27"/>
  <c r="K4" i="27"/>
  <c r="J4" i="27"/>
  <c r="I4" i="27"/>
  <c r="S3" i="27"/>
  <c r="R3" i="27"/>
  <c r="Q3" i="27"/>
  <c r="P3" i="27"/>
  <c r="O3" i="27"/>
  <c r="N3" i="27"/>
  <c r="M3" i="27"/>
  <c r="L3" i="27"/>
  <c r="K3" i="27"/>
  <c r="J3" i="27"/>
  <c r="I3" i="27"/>
  <c r="S9" i="4"/>
  <c r="R9" i="4"/>
  <c r="Q9" i="4"/>
  <c r="P9" i="4"/>
  <c r="O9" i="4"/>
  <c r="N9" i="4"/>
  <c r="M9" i="4"/>
  <c r="L9" i="4"/>
  <c r="K9" i="4"/>
  <c r="J9" i="4"/>
  <c r="I9" i="4"/>
  <c r="S8" i="4"/>
  <c r="R8" i="4"/>
  <c r="Q8" i="4"/>
  <c r="P8" i="4"/>
  <c r="O8" i="4"/>
  <c r="N8" i="4"/>
  <c r="M8" i="4"/>
  <c r="L8" i="4"/>
  <c r="K8" i="4"/>
  <c r="J8" i="4"/>
  <c r="I8" i="4"/>
  <c r="S7" i="4"/>
  <c r="R7" i="4"/>
  <c r="Q7" i="4"/>
  <c r="P7" i="4"/>
  <c r="O7" i="4"/>
  <c r="N7" i="4"/>
  <c r="M7" i="4"/>
  <c r="L7" i="4"/>
  <c r="K7" i="4"/>
  <c r="J7" i="4"/>
  <c r="I7" i="4"/>
  <c r="S6" i="4"/>
  <c r="R6" i="4"/>
  <c r="Q6" i="4"/>
  <c r="P6" i="4"/>
  <c r="O6" i="4"/>
  <c r="N6" i="4"/>
  <c r="M6" i="4"/>
  <c r="L6" i="4"/>
  <c r="K6" i="4"/>
  <c r="J6" i="4"/>
  <c r="I6" i="4"/>
  <c r="S5" i="4"/>
  <c r="R5" i="4"/>
  <c r="Q5" i="4"/>
  <c r="P5" i="4"/>
  <c r="O5" i="4"/>
  <c r="N5" i="4"/>
  <c r="M5" i="4"/>
  <c r="L5" i="4"/>
  <c r="K5" i="4"/>
  <c r="J5" i="4"/>
  <c r="I5" i="4"/>
  <c r="S4" i="4"/>
  <c r="R4" i="4"/>
  <c r="Q4" i="4"/>
  <c r="P4" i="4"/>
  <c r="O4" i="4"/>
  <c r="N4" i="4"/>
  <c r="M4" i="4"/>
  <c r="L4" i="4"/>
  <c r="K4" i="4"/>
  <c r="J4" i="4"/>
  <c r="I4" i="4"/>
  <c r="S6" i="26"/>
  <c r="R6" i="26"/>
  <c r="Q6" i="26"/>
  <c r="P6" i="26"/>
  <c r="O6" i="26"/>
  <c r="N6" i="26"/>
  <c r="M6" i="26"/>
  <c r="L6" i="26"/>
  <c r="K6" i="26"/>
  <c r="J6" i="26"/>
  <c r="I6" i="26"/>
  <c r="S5" i="26"/>
  <c r="R5" i="26"/>
  <c r="Q5" i="26"/>
  <c r="P5" i="26"/>
  <c r="O5" i="26"/>
  <c r="N5" i="26"/>
  <c r="M5" i="26"/>
  <c r="L5" i="26"/>
  <c r="K5" i="26"/>
  <c r="J5" i="26"/>
  <c r="I5" i="26"/>
  <c r="S4" i="26"/>
  <c r="R4" i="26"/>
  <c r="Q4" i="26"/>
  <c r="P4" i="26"/>
  <c r="O4" i="26"/>
  <c r="N4" i="26"/>
  <c r="M4" i="26"/>
  <c r="L4" i="26"/>
  <c r="K4" i="26"/>
  <c r="J4" i="26"/>
  <c r="I4" i="26"/>
  <c r="S3" i="26"/>
  <c r="R3" i="26"/>
  <c r="Q3" i="26"/>
  <c r="P3" i="26"/>
  <c r="O3" i="26"/>
  <c r="N3" i="26"/>
  <c r="M3" i="26"/>
  <c r="L3" i="26"/>
  <c r="K3" i="26"/>
  <c r="J3" i="26"/>
  <c r="I3" i="26"/>
  <c r="I8" i="22"/>
  <c r="J8" i="22"/>
  <c r="K8" i="22"/>
  <c r="L8" i="22"/>
  <c r="M8" i="22"/>
  <c r="N8" i="22"/>
  <c r="O8" i="22"/>
  <c r="P8" i="22"/>
  <c r="Q8" i="22"/>
  <c r="R8" i="22"/>
  <c r="S8" i="22"/>
  <c r="I9" i="22"/>
  <c r="J9" i="22"/>
  <c r="K9" i="22"/>
  <c r="L9" i="22"/>
  <c r="M9" i="22"/>
  <c r="N9" i="22"/>
  <c r="O9" i="22"/>
  <c r="P9" i="22"/>
  <c r="Q9" i="22"/>
  <c r="R9" i="22"/>
  <c r="S9" i="22"/>
  <c r="S7" i="9" l="1"/>
  <c r="R7" i="9"/>
  <c r="Q7" i="9"/>
  <c r="P7" i="9"/>
  <c r="O7" i="9"/>
  <c r="N7" i="9"/>
  <c r="M7" i="9"/>
  <c r="L7" i="9"/>
  <c r="K7" i="9"/>
  <c r="J7" i="9"/>
  <c r="I7" i="9"/>
  <c r="S7" i="8"/>
  <c r="R7" i="8"/>
  <c r="Q7" i="8"/>
  <c r="P7" i="8"/>
  <c r="O7" i="8"/>
  <c r="N7" i="8"/>
  <c r="M7" i="8"/>
  <c r="L7" i="8"/>
  <c r="K7" i="8"/>
  <c r="J7" i="8"/>
  <c r="I7" i="8"/>
  <c r="I11" i="7"/>
  <c r="J11" i="7"/>
  <c r="K11" i="7"/>
  <c r="L11" i="7"/>
  <c r="M11" i="7"/>
  <c r="N11" i="7"/>
  <c r="O11" i="7"/>
  <c r="P11" i="7"/>
  <c r="Q11" i="7"/>
  <c r="R11" i="7"/>
  <c r="S11" i="7"/>
  <c r="I12" i="7"/>
  <c r="J12" i="7"/>
  <c r="K12" i="7"/>
  <c r="L12" i="7"/>
  <c r="M12" i="7"/>
  <c r="N12" i="7"/>
  <c r="O12" i="7"/>
  <c r="P12" i="7"/>
  <c r="Q12" i="7"/>
  <c r="R12" i="7"/>
  <c r="S12" i="7"/>
  <c r="I9" i="7"/>
  <c r="J9" i="7"/>
  <c r="K9" i="7"/>
  <c r="L9" i="7"/>
  <c r="M9" i="7"/>
  <c r="N9" i="7"/>
  <c r="O9" i="7"/>
  <c r="P9" i="7"/>
  <c r="Q9" i="7"/>
  <c r="R9" i="7"/>
  <c r="S9" i="7"/>
  <c r="I10" i="7"/>
  <c r="J10" i="7"/>
  <c r="K10" i="7"/>
  <c r="L10" i="7"/>
  <c r="M10" i="7"/>
  <c r="N10" i="7"/>
  <c r="O10" i="7"/>
  <c r="P10" i="7"/>
  <c r="Q10" i="7"/>
  <c r="R10" i="7"/>
  <c r="S10" i="7"/>
  <c r="S5" i="25"/>
  <c r="R5" i="25"/>
  <c r="Q5" i="25"/>
  <c r="P5" i="25"/>
  <c r="O5" i="25"/>
  <c r="N5" i="25"/>
  <c r="M5" i="25"/>
  <c r="L5" i="25"/>
  <c r="K5" i="25"/>
  <c r="J5" i="25"/>
  <c r="I5" i="25"/>
  <c r="S5" i="24"/>
  <c r="R5" i="24"/>
  <c r="Q5" i="24"/>
  <c r="P5" i="24"/>
  <c r="O5" i="24"/>
  <c r="N5" i="24"/>
  <c r="M5" i="24"/>
  <c r="L5" i="24"/>
  <c r="K5" i="24"/>
  <c r="J5" i="24"/>
  <c r="I5" i="24"/>
  <c r="S4" i="25" l="1"/>
  <c r="R4" i="25"/>
  <c r="Q4" i="25"/>
  <c r="P4" i="25"/>
  <c r="O4" i="25"/>
  <c r="N4" i="25"/>
  <c r="M4" i="25"/>
  <c r="L4" i="25"/>
  <c r="K4" i="25"/>
  <c r="J4" i="25"/>
  <c r="I4" i="25"/>
  <c r="S3" i="25"/>
  <c r="R3" i="25"/>
  <c r="Q3" i="25"/>
  <c r="P3" i="25"/>
  <c r="O3" i="25"/>
  <c r="N3" i="25"/>
  <c r="M3" i="25"/>
  <c r="L3" i="25"/>
  <c r="K3" i="25"/>
  <c r="J3" i="25"/>
  <c r="I3" i="25"/>
  <c r="S4" i="24"/>
  <c r="R4" i="24"/>
  <c r="Q4" i="24"/>
  <c r="P4" i="24"/>
  <c r="O4" i="24"/>
  <c r="N4" i="24"/>
  <c r="M4" i="24"/>
  <c r="L4" i="24"/>
  <c r="K4" i="24"/>
  <c r="J4" i="24"/>
  <c r="I4" i="24"/>
  <c r="S3" i="24"/>
  <c r="R3" i="24"/>
  <c r="Q3" i="24"/>
  <c r="P3" i="24"/>
  <c r="O3" i="24"/>
  <c r="N3" i="24"/>
  <c r="M3" i="24"/>
  <c r="L3" i="24"/>
  <c r="K3" i="24"/>
  <c r="J3" i="24"/>
  <c r="I3" i="24"/>
  <c r="S9" i="11" l="1"/>
  <c r="R9" i="11"/>
  <c r="Q9" i="11"/>
  <c r="P9" i="11"/>
  <c r="O9" i="11"/>
  <c r="N9" i="11"/>
  <c r="M9" i="11"/>
  <c r="L9" i="11"/>
  <c r="K9" i="11"/>
  <c r="J9" i="11"/>
  <c r="I9" i="11"/>
  <c r="S8" i="11"/>
  <c r="R8" i="11"/>
  <c r="Q8" i="11"/>
  <c r="P8" i="11"/>
  <c r="O8" i="11"/>
  <c r="N8" i="11"/>
  <c r="M8" i="11"/>
  <c r="L8" i="11"/>
  <c r="K8" i="11"/>
  <c r="J8" i="11"/>
  <c r="I8" i="11"/>
  <c r="S7" i="11"/>
  <c r="R7" i="11"/>
  <c r="Q7" i="11"/>
  <c r="P7" i="11"/>
  <c r="O7" i="11"/>
  <c r="N7" i="11"/>
  <c r="M7" i="11"/>
  <c r="L7" i="11"/>
  <c r="K7" i="11"/>
  <c r="J7" i="11"/>
  <c r="I7" i="11"/>
  <c r="S7" i="22"/>
  <c r="R7" i="22"/>
  <c r="Q7" i="22"/>
  <c r="P7" i="22"/>
  <c r="O7" i="22"/>
  <c r="N7" i="22"/>
  <c r="M7" i="22"/>
  <c r="L7" i="22"/>
  <c r="K7" i="22"/>
  <c r="J7" i="22"/>
  <c r="I7" i="22"/>
  <c r="S6" i="22"/>
  <c r="R6" i="22"/>
  <c r="Q6" i="22"/>
  <c r="P6" i="22"/>
  <c r="O6" i="22"/>
  <c r="N6" i="22"/>
  <c r="M6" i="22"/>
  <c r="L6" i="22"/>
  <c r="K6" i="22"/>
  <c r="J6" i="22"/>
  <c r="I6" i="22"/>
  <c r="S5" i="22"/>
  <c r="R5" i="22"/>
  <c r="Q5" i="22"/>
  <c r="P5" i="22"/>
  <c r="O5" i="22"/>
  <c r="N5" i="22"/>
  <c r="M5" i="22"/>
  <c r="L5" i="22"/>
  <c r="K5" i="22"/>
  <c r="J5" i="22"/>
  <c r="I5" i="22"/>
  <c r="S4" i="22"/>
  <c r="R4" i="22"/>
  <c r="Q4" i="22"/>
  <c r="P4" i="22"/>
  <c r="O4" i="22"/>
  <c r="N4" i="22"/>
  <c r="M4" i="22"/>
  <c r="L4" i="22"/>
  <c r="K4" i="22"/>
  <c r="J4" i="22"/>
  <c r="I4" i="22"/>
  <c r="S7" i="23"/>
  <c r="R7" i="23"/>
  <c r="Q7" i="23"/>
  <c r="P7" i="23"/>
  <c r="O7" i="23"/>
  <c r="N7" i="23"/>
  <c r="M7" i="23"/>
  <c r="L7" i="23"/>
  <c r="K7" i="23"/>
  <c r="J7" i="23"/>
  <c r="I7" i="23"/>
  <c r="S6" i="23"/>
  <c r="R6" i="23"/>
  <c r="Q6" i="23"/>
  <c r="P6" i="23"/>
  <c r="O6" i="23"/>
  <c r="N6" i="23"/>
  <c r="M6" i="23"/>
  <c r="L6" i="23"/>
  <c r="K6" i="23"/>
  <c r="J6" i="23"/>
  <c r="I6" i="23"/>
  <c r="S5" i="23"/>
  <c r="R5" i="23"/>
  <c r="Q5" i="23"/>
  <c r="P5" i="23"/>
  <c r="O5" i="23"/>
  <c r="N5" i="23"/>
  <c r="M5" i="23"/>
  <c r="L5" i="23"/>
  <c r="K5" i="23"/>
  <c r="J5" i="23"/>
  <c r="I5" i="23"/>
  <c r="S4" i="23"/>
  <c r="R4" i="23"/>
  <c r="Q4" i="23"/>
  <c r="P4" i="23"/>
  <c r="O4" i="23"/>
  <c r="N4" i="23"/>
  <c r="M4" i="23"/>
  <c r="L4" i="23"/>
  <c r="K4" i="23"/>
  <c r="J4" i="23"/>
  <c r="I4" i="23"/>
  <c r="S3" i="23"/>
  <c r="R3" i="23"/>
  <c r="Q3" i="23"/>
  <c r="P3" i="23"/>
  <c r="O3" i="23"/>
  <c r="N3" i="23"/>
  <c r="M3" i="23"/>
  <c r="L3" i="23"/>
  <c r="K3" i="23"/>
  <c r="J3" i="23"/>
  <c r="I3" i="23"/>
  <c r="S3" i="22"/>
  <c r="R3" i="22"/>
  <c r="Q3" i="22"/>
  <c r="P3" i="22"/>
  <c r="O3" i="22"/>
  <c r="N3" i="22"/>
  <c r="M3" i="22"/>
  <c r="L3" i="22"/>
  <c r="K3" i="22"/>
  <c r="J3" i="22"/>
  <c r="I3" i="22"/>
  <c r="S6" i="21"/>
  <c r="R6" i="21"/>
  <c r="Q6" i="21"/>
  <c r="P6" i="21"/>
  <c r="O6" i="21"/>
  <c r="N6" i="21"/>
  <c r="M6" i="21"/>
  <c r="L6" i="21"/>
  <c r="K6" i="21"/>
  <c r="J6" i="21"/>
  <c r="I6" i="21"/>
  <c r="S5" i="21"/>
  <c r="R5" i="21"/>
  <c r="Q5" i="21"/>
  <c r="P5" i="21"/>
  <c r="O5" i="21"/>
  <c r="N5" i="21"/>
  <c r="M5" i="21"/>
  <c r="L5" i="21"/>
  <c r="K5" i="21"/>
  <c r="J5" i="21"/>
  <c r="I5" i="21"/>
  <c r="S4" i="21"/>
  <c r="R4" i="21"/>
  <c r="Q4" i="21"/>
  <c r="P4" i="21"/>
  <c r="O4" i="21"/>
  <c r="N4" i="21"/>
  <c r="M4" i="21"/>
  <c r="L4" i="21"/>
  <c r="K4" i="21"/>
  <c r="J4" i="21"/>
  <c r="I4" i="21"/>
  <c r="S3" i="21"/>
  <c r="R3" i="21"/>
  <c r="Q3" i="21"/>
  <c r="P3" i="21"/>
  <c r="O3" i="21"/>
  <c r="N3" i="21"/>
  <c r="M3" i="21"/>
  <c r="L3" i="21"/>
  <c r="K3" i="21"/>
  <c r="J3" i="21"/>
  <c r="I3" i="21"/>
  <c r="S7" i="3"/>
  <c r="R7" i="3"/>
  <c r="Q7" i="3"/>
  <c r="P7" i="3"/>
  <c r="O7" i="3"/>
  <c r="N7" i="3"/>
  <c r="M7" i="3"/>
  <c r="L7" i="3"/>
  <c r="K7" i="3"/>
  <c r="J7" i="3"/>
  <c r="I7" i="3"/>
  <c r="S6" i="3"/>
  <c r="R6" i="3"/>
  <c r="Q6" i="3"/>
  <c r="P6" i="3"/>
  <c r="O6" i="3"/>
  <c r="N6" i="3"/>
  <c r="M6" i="3"/>
  <c r="L6" i="3"/>
  <c r="K6" i="3"/>
  <c r="J6" i="3"/>
  <c r="I6" i="3"/>
  <c r="S5" i="3"/>
  <c r="R5" i="3"/>
  <c r="Q5" i="3"/>
  <c r="P5" i="3"/>
  <c r="O5" i="3"/>
  <c r="N5" i="3"/>
  <c r="M5" i="3"/>
  <c r="L5" i="3"/>
  <c r="K5" i="3"/>
  <c r="J5" i="3"/>
  <c r="I5" i="3"/>
  <c r="S4" i="3"/>
  <c r="R4" i="3"/>
  <c r="Q4" i="3"/>
  <c r="P4" i="3"/>
  <c r="O4" i="3"/>
  <c r="N4" i="3"/>
  <c r="M4" i="3"/>
  <c r="L4" i="3"/>
  <c r="K4" i="3"/>
  <c r="J4" i="3"/>
  <c r="I4" i="3"/>
  <c r="S6" i="19"/>
  <c r="R6" i="19"/>
  <c r="Q6" i="19"/>
  <c r="P6" i="19"/>
  <c r="O6" i="19"/>
  <c r="N6" i="19"/>
  <c r="M6" i="19"/>
  <c r="L6" i="19"/>
  <c r="K6" i="19"/>
  <c r="J6" i="19"/>
  <c r="I6" i="19"/>
  <c r="S5" i="19"/>
  <c r="R5" i="19"/>
  <c r="Q5" i="19"/>
  <c r="P5" i="19"/>
  <c r="O5" i="19"/>
  <c r="N5" i="19"/>
  <c r="M5" i="19"/>
  <c r="L5" i="19"/>
  <c r="K5" i="19"/>
  <c r="J5" i="19"/>
  <c r="I5" i="19"/>
  <c r="S5" i="20"/>
  <c r="R5" i="20"/>
  <c r="Q5" i="20"/>
  <c r="P5" i="20"/>
  <c r="O5" i="20"/>
  <c r="N5" i="20"/>
  <c r="M5" i="20"/>
  <c r="L5" i="20"/>
  <c r="K5" i="20"/>
  <c r="J5" i="20"/>
  <c r="I5" i="20"/>
  <c r="S4" i="20"/>
  <c r="R4" i="20"/>
  <c r="Q4" i="20"/>
  <c r="P4" i="20"/>
  <c r="O4" i="20"/>
  <c r="N4" i="20"/>
  <c r="M4" i="20"/>
  <c r="L4" i="20"/>
  <c r="K4" i="20"/>
  <c r="J4" i="20"/>
  <c r="I4" i="20"/>
  <c r="S3" i="20"/>
  <c r="R3" i="20"/>
  <c r="Q3" i="20"/>
  <c r="P3" i="20"/>
  <c r="O3" i="20"/>
  <c r="N3" i="20"/>
  <c r="M3" i="20"/>
  <c r="L3" i="20"/>
  <c r="K3" i="20"/>
  <c r="J3" i="20"/>
  <c r="I3" i="20"/>
  <c r="S4" i="19"/>
  <c r="R4" i="19"/>
  <c r="Q4" i="19"/>
  <c r="P4" i="19"/>
  <c r="O4" i="19"/>
  <c r="N4" i="19"/>
  <c r="M4" i="19"/>
  <c r="L4" i="19"/>
  <c r="K4" i="19"/>
  <c r="J4" i="19"/>
  <c r="I4" i="19"/>
  <c r="S3" i="19"/>
  <c r="R3" i="19"/>
  <c r="Q3" i="19"/>
  <c r="P3" i="19"/>
  <c r="O3" i="19"/>
  <c r="N3" i="19"/>
  <c r="M3" i="19"/>
  <c r="L3" i="19"/>
  <c r="K3" i="19"/>
  <c r="J3" i="19"/>
  <c r="I3" i="19"/>
  <c r="S6" i="15"/>
  <c r="R6" i="15"/>
  <c r="Q6" i="15"/>
  <c r="P6" i="15"/>
  <c r="O6" i="15"/>
  <c r="N6" i="15"/>
  <c r="M6" i="15"/>
  <c r="L6" i="15"/>
  <c r="K6" i="15"/>
  <c r="J6" i="15"/>
  <c r="I6" i="15"/>
  <c r="S5" i="15"/>
  <c r="R5" i="15"/>
  <c r="Q5" i="15"/>
  <c r="P5" i="15"/>
  <c r="O5" i="15"/>
  <c r="N5" i="15"/>
  <c r="M5" i="15"/>
  <c r="L5" i="15"/>
  <c r="K5" i="15"/>
  <c r="J5" i="15"/>
  <c r="I5" i="15"/>
  <c r="S4" i="15"/>
  <c r="R4" i="15"/>
  <c r="Q4" i="15"/>
  <c r="P4" i="15"/>
  <c r="O4" i="15"/>
  <c r="N4" i="15"/>
  <c r="M4" i="15"/>
  <c r="L4" i="15"/>
  <c r="K4" i="15"/>
  <c r="J4" i="15"/>
  <c r="I4" i="15"/>
  <c r="S6" i="16"/>
  <c r="R6" i="16"/>
  <c r="Q6" i="16"/>
  <c r="P6" i="16"/>
  <c r="O6" i="16"/>
  <c r="N6" i="16"/>
  <c r="M6" i="16"/>
  <c r="L6" i="16"/>
  <c r="K6" i="16"/>
  <c r="J6" i="16"/>
  <c r="I6" i="16"/>
  <c r="S5" i="16"/>
  <c r="R5" i="16"/>
  <c r="Q5" i="16"/>
  <c r="P5" i="16"/>
  <c r="O5" i="16"/>
  <c r="N5" i="16"/>
  <c r="M5" i="16"/>
  <c r="L5" i="16"/>
  <c r="K5" i="16"/>
  <c r="J5" i="16"/>
  <c r="I5" i="16"/>
  <c r="S4" i="16"/>
  <c r="R4" i="16"/>
  <c r="Q4" i="16"/>
  <c r="P4" i="16"/>
  <c r="O4" i="16"/>
  <c r="N4" i="16"/>
  <c r="M4" i="16"/>
  <c r="L4" i="16"/>
  <c r="K4" i="16"/>
  <c r="J4" i="16"/>
  <c r="I4" i="16"/>
  <c r="S6" i="18"/>
  <c r="R6" i="18"/>
  <c r="Q6" i="18"/>
  <c r="P6" i="18"/>
  <c r="O6" i="18"/>
  <c r="N6" i="18"/>
  <c r="M6" i="18"/>
  <c r="L6" i="18"/>
  <c r="K6" i="18"/>
  <c r="J6" i="18"/>
  <c r="I6" i="18"/>
  <c r="S5" i="18"/>
  <c r="R5" i="18"/>
  <c r="Q5" i="18"/>
  <c r="P5" i="18"/>
  <c r="O5" i="18"/>
  <c r="N5" i="18"/>
  <c r="M5" i="18"/>
  <c r="L5" i="18"/>
  <c r="K5" i="18"/>
  <c r="J5" i="18"/>
  <c r="I5" i="18"/>
  <c r="S4" i="18"/>
  <c r="R4" i="18"/>
  <c r="Q4" i="18"/>
  <c r="P4" i="18"/>
  <c r="O4" i="18"/>
  <c r="N4" i="18"/>
  <c r="M4" i="18"/>
  <c r="L4" i="18"/>
  <c r="K4" i="18"/>
  <c r="J4" i="18"/>
  <c r="I4" i="18"/>
  <c r="S3" i="18"/>
  <c r="R3" i="18"/>
  <c r="Q3" i="18"/>
  <c r="P3" i="18"/>
  <c r="O3" i="18"/>
  <c r="N3" i="18"/>
  <c r="M3" i="18"/>
  <c r="L3" i="18"/>
  <c r="K3" i="18"/>
  <c r="J3" i="18"/>
  <c r="I3" i="18"/>
  <c r="S3" i="16"/>
  <c r="R3" i="16"/>
  <c r="Q3" i="16"/>
  <c r="P3" i="16"/>
  <c r="O3" i="16"/>
  <c r="N3" i="16"/>
  <c r="M3" i="16"/>
  <c r="L3" i="16"/>
  <c r="K3" i="16"/>
  <c r="J3" i="16"/>
  <c r="I3" i="16"/>
  <c r="S3" i="15"/>
  <c r="R3" i="15"/>
  <c r="Q3" i="15"/>
  <c r="P3" i="15"/>
  <c r="O3" i="15"/>
  <c r="N3" i="15"/>
  <c r="M3" i="15"/>
  <c r="L3" i="15"/>
  <c r="K3" i="15"/>
  <c r="J3" i="15"/>
  <c r="I3" i="15"/>
  <c r="S7" i="13"/>
  <c r="R7" i="13"/>
  <c r="Q7" i="13"/>
  <c r="P7" i="13"/>
  <c r="O7" i="13"/>
  <c r="N7" i="13"/>
  <c r="M7" i="13"/>
  <c r="L7" i="13"/>
  <c r="K7" i="13"/>
  <c r="J7" i="13"/>
  <c r="I7" i="13"/>
  <c r="S6" i="13"/>
  <c r="R6" i="13"/>
  <c r="Q6" i="13"/>
  <c r="P6" i="13"/>
  <c r="O6" i="13"/>
  <c r="N6" i="13"/>
  <c r="M6" i="13"/>
  <c r="L6" i="13"/>
  <c r="K6" i="13"/>
  <c r="J6" i="13"/>
  <c r="I6" i="13"/>
  <c r="S5" i="13"/>
  <c r="R5" i="13"/>
  <c r="Q5" i="13"/>
  <c r="P5" i="13"/>
  <c r="O5" i="13"/>
  <c r="N5" i="13"/>
  <c r="M5" i="13"/>
  <c r="L5" i="13"/>
  <c r="K5" i="13"/>
  <c r="J5" i="13"/>
  <c r="I5" i="13"/>
  <c r="S4" i="13"/>
  <c r="R4" i="13"/>
  <c r="Q4" i="13"/>
  <c r="P4" i="13"/>
  <c r="O4" i="13"/>
  <c r="N4" i="13"/>
  <c r="M4" i="13"/>
  <c r="L4" i="13"/>
  <c r="K4" i="13"/>
  <c r="J4" i="13"/>
  <c r="I4" i="13"/>
  <c r="S8" i="5"/>
  <c r="R8" i="5"/>
  <c r="Q8" i="5"/>
  <c r="P8" i="5"/>
  <c r="O8" i="5"/>
  <c r="N8" i="5"/>
  <c r="M8" i="5"/>
  <c r="L8" i="5"/>
  <c r="K8" i="5"/>
  <c r="J8" i="5"/>
  <c r="I8" i="5"/>
  <c r="S7" i="5"/>
  <c r="R7" i="5"/>
  <c r="Q7" i="5"/>
  <c r="P7" i="5"/>
  <c r="O7" i="5"/>
  <c r="N7" i="5"/>
  <c r="M7" i="5"/>
  <c r="L7" i="5"/>
  <c r="K7" i="5"/>
  <c r="J7" i="5"/>
  <c r="I7" i="5"/>
  <c r="S6" i="5"/>
  <c r="R6" i="5"/>
  <c r="Q6" i="5"/>
  <c r="P6" i="5"/>
  <c r="O6" i="5"/>
  <c r="N6" i="5"/>
  <c r="M6" i="5"/>
  <c r="L6" i="5"/>
  <c r="K6" i="5"/>
  <c r="J6" i="5"/>
  <c r="I6" i="5"/>
  <c r="S5" i="5"/>
  <c r="R5" i="5"/>
  <c r="Q5" i="5"/>
  <c r="P5" i="5"/>
  <c r="O5" i="5"/>
  <c r="N5" i="5"/>
  <c r="M5" i="5"/>
  <c r="L5" i="5"/>
  <c r="K5" i="5"/>
  <c r="J5" i="5"/>
  <c r="I5" i="5"/>
  <c r="S4" i="5"/>
  <c r="R4" i="5"/>
  <c r="Q4" i="5"/>
  <c r="P4" i="5"/>
  <c r="O4" i="5"/>
  <c r="N4" i="5"/>
  <c r="M4" i="5"/>
  <c r="L4" i="5"/>
  <c r="K4" i="5"/>
  <c r="J4" i="5"/>
  <c r="I4" i="5"/>
  <c r="S3" i="13"/>
  <c r="R3" i="13"/>
  <c r="Q3" i="13"/>
  <c r="P3" i="13"/>
  <c r="O3" i="13"/>
  <c r="N3" i="13"/>
  <c r="M3" i="13"/>
  <c r="L3" i="13"/>
  <c r="K3" i="13"/>
  <c r="J3" i="13"/>
  <c r="I3" i="13"/>
  <c r="S9" i="12"/>
  <c r="R9" i="12"/>
  <c r="Q9" i="12"/>
  <c r="P9" i="12"/>
  <c r="O9" i="12"/>
  <c r="N9" i="12"/>
  <c r="M9" i="12"/>
  <c r="L9" i="12"/>
  <c r="K9" i="12"/>
  <c r="J9" i="12"/>
  <c r="I9" i="12"/>
  <c r="S8" i="12"/>
  <c r="R8" i="12"/>
  <c r="Q8" i="12"/>
  <c r="P8" i="12"/>
  <c r="O8" i="12"/>
  <c r="N8" i="12"/>
  <c r="M8" i="12"/>
  <c r="L8" i="12"/>
  <c r="K8" i="12"/>
  <c r="J8" i="12"/>
  <c r="I8" i="12"/>
  <c r="S7" i="12"/>
  <c r="R7" i="12"/>
  <c r="Q7" i="12"/>
  <c r="P7" i="12"/>
  <c r="O7" i="12"/>
  <c r="N7" i="12"/>
  <c r="M7" i="12"/>
  <c r="L7" i="12"/>
  <c r="K7" i="12"/>
  <c r="J7" i="12"/>
  <c r="I7" i="12"/>
  <c r="S6" i="12"/>
  <c r="R6" i="12"/>
  <c r="Q6" i="12"/>
  <c r="P6" i="12"/>
  <c r="O6" i="12"/>
  <c r="N6" i="12"/>
  <c r="M6" i="12"/>
  <c r="L6" i="12"/>
  <c r="K6" i="12"/>
  <c r="J6" i="12"/>
  <c r="I6" i="12"/>
  <c r="S5" i="12"/>
  <c r="R5" i="12"/>
  <c r="Q5" i="12"/>
  <c r="P5" i="12"/>
  <c r="O5" i="12"/>
  <c r="N5" i="12"/>
  <c r="M5" i="12"/>
  <c r="L5" i="12"/>
  <c r="K5" i="12"/>
  <c r="J5" i="12"/>
  <c r="I5" i="12"/>
  <c r="S4" i="12"/>
  <c r="R4" i="12"/>
  <c r="Q4" i="12"/>
  <c r="P4" i="12"/>
  <c r="O4" i="12"/>
  <c r="N4" i="12"/>
  <c r="M4" i="12"/>
  <c r="L4" i="12"/>
  <c r="K4" i="12"/>
  <c r="J4" i="12"/>
  <c r="I4" i="12"/>
  <c r="S3" i="12"/>
  <c r="R3" i="12"/>
  <c r="Q3" i="12"/>
  <c r="P3" i="12"/>
  <c r="O3" i="12"/>
  <c r="N3" i="12"/>
  <c r="M3" i="12"/>
  <c r="L3" i="12"/>
  <c r="K3" i="12"/>
  <c r="J3" i="12"/>
  <c r="I3" i="12"/>
  <c r="S6" i="11"/>
  <c r="R6" i="11"/>
  <c r="Q6" i="11"/>
  <c r="P6" i="11"/>
  <c r="O6" i="11"/>
  <c r="N6" i="11"/>
  <c r="M6" i="11"/>
  <c r="L6" i="11"/>
  <c r="K6" i="11"/>
  <c r="J6" i="11"/>
  <c r="I6" i="11"/>
  <c r="S5" i="11"/>
  <c r="R5" i="11"/>
  <c r="Q5" i="11"/>
  <c r="P5" i="11"/>
  <c r="O5" i="11"/>
  <c r="N5" i="11"/>
  <c r="M5" i="11"/>
  <c r="L5" i="11"/>
  <c r="K5" i="11"/>
  <c r="J5" i="11"/>
  <c r="I5" i="11"/>
  <c r="S4" i="11"/>
  <c r="R4" i="11"/>
  <c r="Q4" i="11"/>
  <c r="P4" i="11"/>
  <c r="O4" i="11"/>
  <c r="N4" i="11"/>
  <c r="M4" i="11"/>
  <c r="L4" i="11"/>
  <c r="K4" i="11"/>
  <c r="J4" i="11"/>
  <c r="I4" i="11"/>
  <c r="S3" i="11"/>
  <c r="R3" i="11"/>
  <c r="Q3" i="11"/>
  <c r="P3" i="11"/>
  <c r="O3" i="11"/>
  <c r="N3" i="11"/>
  <c r="M3" i="11"/>
  <c r="L3" i="11"/>
  <c r="K3" i="11"/>
  <c r="J3" i="11"/>
  <c r="I3" i="11"/>
  <c r="I3" i="10" l="1"/>
  <c r="J3" i="10"/>
  <c r="K3" i="10"/>
  <c r="L3" i="10"/>
  <c r="M3" i="10"/>
  <c r="N3" i="10"/>
  <c r="O3" i="10"/>
  <c r="P3" i="10"/>
  <c r="Q3" i="10"/>
  <c r="R3" i="10"/>
  <c r="S3" i="10"/>
  <c r="I4" i="10"/>
  <c r="J4" i="10"/>
  <c r="K4" i="10"/>
  <c r="L4" i="10"/>
  <c r="M4" i="10"/>
  <c r="N4" i="10"/>
  <c r="O4" i="10"/>
  <c r="P4" i="10"/>
  <c r="Q4" i="10"/>
  <c r="R4" i="10"/>
  <c r="S4" i="10"/>
  <c r="I5" i="10"/>
  <c r="J5" i="10"/>
  <c r="K5" i="10"/>
  <c r="L5" i="10"/>
  <c r="M5" i="10"/>
  <c r="N5" i="10"/>
  <c r="O5" i="10"/>
  <c r="P5" i="10"/>
  <c r="Q5" i="10"/>
  <c r="R5" i="10"/>
  <c r="S5" i="10"/>
  <c r="I6" i="10"/>
  <c r="J6" i="10"/>
  <c r="K6" i="10"/>
  <c r="L6" i="10"/>
  <c r="M6" i="10"/>
  <c r="N6" i="10"/>
  <c r="O6" i="10"/>
  <c r="P6" i="10"/>
  <c r="Q6" i="10"/>
  <c r="R6" i="10"/>
  <c r="S6" i="10"/>
  <c r="I7" i="10"/>
  <c r="J7" i="10"/>
  <c r="K7" i="10"/>
  <c r="L7" i="10"/>
  <c r="M7" i="10"/>
  <c r="N7" i="10"/>
  <c r="O7" i="10"/>
  <c r="P7" i="10"/>
  <c r="Q7" i="10"/>
  <c r="R7" i="10"/>
  <c r="S7" i="10"/>
  <c r="I8" i="10"/>
  <c r="J8" i="10"/>
  <c r="K8" i="10"/>
  <c r="L8" i="10"/>
  <c r="M8" i="10"/>
  <c r="N8" i="10"/>
  <c r="O8" i="10"/>
  <c r="P8" i="10"/>
  <c r="Q8" i="10"/>
  <c r="R8" i="10"/>
  <c r="S8" i="10"/>
  <c r="I9" i="10"/>
  <c r="J9" i="10"/>
  <c r="K9" i="10"/>
  <c r="L9" i="10"/>
  <c r="M9" i="10"/>
  <c r="N9" i="10"/>
  <c r="O9" i="10"/>
  <c r="P9" i="10"/>
  <c r="Q9" i="10"/>
  <c r="R9" i="10"/>
  <c r="S9" i="10"/>
  <c r="I10" i="10"/>
  <c r="J10" i="10"/>
  <c r="K10" i="10"/>
  <c r="L10" i="10"/>
  <c r="M10" i="10"/>
  <c r="N10" i="10"/>
  <c r="O10" i="10"/>
  <c r="P10" i="10"/>
  <c r="Q10" i="10"/>
  <c r="R10" i="10"/>
  <c r="S10" i="10"/>
  <c r="I11" i="10"/>
  <c r="J11" i="10"/>
  <c r="K11" i="10"/>
  <c r="L11" i="10"/>
  <c r="M11" i="10"/>
  <c r="N11" i="10"/>
  <c r="O11" i="10"/>
  <c r="P11" i="10"/>
  <c r="Q11" i="10"/>
  <c r="R11" i="10"/>
  <c r="S11" i="10"/>
  <c r="I12" i="10"/>
  <c r="J12" i="10"/>
  <c r="K12" i="10"/>
  <c r="L12" i="10"/>
  <c r="M12" i="10"/>
  <c r="N12" i="10"/>
  <c r="O12" i="10"/>
  <c r="P12" i="10"/>
  <c r="Q12" i="10"/>
  <c r="R12" i="10"/>
  <c r="S12" i="10"/>
  <c r="I13" i="10"/>
  <c r="J13" i="10"/>
  <c r="K13" i="10"/>
  <c r="L13" i="10"/>
  <c r="M13" i="10"/>
  <c r="N13" i="10"/>
  <c r="O13" i="10"/>
  <c r="P13" i="10"/>
  <c r="Q13" i="10"/>
  <c r="R13" i="10"/>
  <c r="S13" i="10"/>
  <c r="I3" i="9"/>
  <c r="J3" i="9"/>
  <c r="K3" i="9"/>
  <c r="L3" i="9"/>
  <c r="M3" i="9"/>
  <c r="N3" i="9"/>
  <c r="O3" i="9"/>
  <c r="P3" i="9"/>
  <c r="Q3" i="9"/>
  <c r="R3" i="9"/>
  <c r="S3" i="9"/>
  <c r="I4" i="9"/>
  <c r="J4" i="9"/>
  <c r="K4" i="9"/>
  <c r="L4" i="9"/>
  <c r="M4" i="9"/>
  <c r="N4" i="9"/>
  <c r="O4" i="9"/>
  <c r="P4" i="9"/>
  <c r="Q4" i="9"/>
  <c r="R4" i="9"/>
  <c r="S4" i="9"/>
  <c r="I5" i="9"/>
  <c r="J5" i="9"/>
  <c r="K5" i="9"/>
  <c r="L5" i="9"/>
  <c r="M5" i="9"/>
  <c r="N5" i="9"/>
  <c r="O5" i="9"/>
  <c r="P5" i="9"/>
  <c r="Q5" i="9"/>
  <c r="R5" i="9"/>
  <c r="S5" i="9"/>
  <c r="I6" i="9"/>
  <c r="J6" i="9"/>
  <c r="K6" i="9"/>
  <c r="L6" i="9"/>
  <c r="M6" i="9"/>
  <c r="N6" i="9"/>
  <c r="O6" i="9"/>
  <c r="P6" i="9"/>
  <c r="Q6" i="9"/>
  <c r="R6" i="9"/>
  <c r="S6" i="9"/>
  <c r="I3" i="8"/>
  <c r="J3" i="8"/>
  <c r="K3" i="8"/>
  <c r="L3" i="8"/>
  <c r="M3" i="8"/>
  <c r="N3" i="8"/>
  <c r="O3" i="8"/>
  <c r="P3" i="8"/>
  <c r="Q3" i="8"/>
  <c r="R3" i="8"/>
  <c r="S3" i="8"/>
  <c r="I4" i="8"/>
  <c r="J4" i="8"/>
  <c r="K4" i="8"/>
  <c r="L4" i="8"/>
  <c r="M4" i="8"/>
  <c r="N4" i="8"/>
  <c r="O4" i="8"/>
  <c r="P4" i="8"/>
  <c r="Q4" i="8"/>
  <c r="R4" i="8"/>
  <c r="S4" i="8"/>
  <c r="I5" i="8"/>
  <c r="J5" i="8"/>
  <c r="K5" i="8"/>
  <c r="L5" i="8"/>
  <c r="M5" i="8"/>
  <c r="N5" i="8"/>
  <c r="O5" i="8"/>
  <c r="P5" i="8"/>
  <c r="Q5" i="8"/>
  <c r="R5" i="8"/>
  <c r="S5" i="8"/>
  <c r="I6" i="8"/>
  <c r="J6" i="8"/>
  <c r="K6" i="8"/>
  <c r="L6" i="8"/>
  <c r="M6" i="8"/>
  <c r="N6" i="8"/>
  <c r="O6" i="8"/>
  <c r="P6" i="8"/>
  <c r="Q6" i="8"/>
  <c r="R6" i="8"/>
  <c r="S6" i="8"/>
  <c r="I3" i="7"/>
  <c r="J3" i="7"/>
  <c r="K3" i="7"/>
  <c r="L3" i="7"/>
  <c r="M3" i="7"/>
  <c r="N3" i="7"/>
  <c r="O3" i="7"/>
  <c r="P3" i="7"/>
  <c r="Q3" i="7"/>
  <c r="R3" i="7"/>
  <c r="S3" i="7"/>
  <c r="I4" i="7"/>
  <c r="J4" i="7"/>
  <c r="K4" i="7"/>
  <c r="L4" i="7"/>
  <c r="M4" i="7"/>
  <c r="N4" i="7"/>
  <c r="O4" i="7"/>
  <c r="P4" i="7"/>
  <c r="Q4" i="7"/>
  <c r="R4" i="7"/>
  <c r="S4" i="7"/>
  <c r="I5" i="7"/>
  <c r="J5" i="7"/>
  <c r="K5" i="7"/>
  <c r="L5" i="7"/>
  <c r="M5" i="7"/>
  <c r="N5" i="7"/>
  <c r="O5" i="7"/>
  <c r="P5" i="7"/>
  <c r="Q5" i="7"/>
  <c r="R5" i="7"/>
  <c r="S5" i="7"/>
  <c r="I6" i="7"/>
  <c r="J6" i="7"/>
  <c r="K6" i="7"/>
  <c r="L6" i="7"/>
  <c r="M6" i="7"/>
  <c r="N6" i="7"/>
  <c r="O6" i="7"/>
  <c r="P6" i="7"/>
  <c r="Q6" i="7"/>
  <c r="R6" i="7"/>
  <c r="S6" i="7"/>
  <c r="I7" i="7"/>
  <c r="J7" i="7"/>
  <c r="K7" i="7"/>
  <c r="L7" i="7"/>
  <c r="M7" i="7"/>
  <c r="N7" i="7"/>
  <c r="O7" i="7"/>
  <c r="P7" i="7"/>
  <c r="Q7" i="7"/>
  <c r="R7" i="7"/>
  <c r="S7" i="7"/>
  <c r="I8" i="7"/>
  <c r="J8" i="7"/>
  <c r="K8" i="7"/>
  <c r="L8" i="7"/>
  <c r="M8" i="7"/>
  <c r="N8" i="7"/>
  <c r="O8" i="7"/>
  <c r="P8" i="7"/>
  <c r="Q8" i="7"/>
  <c r="R8" i="7"/>
  <c r="S8" i="7"/>
  <c r="I3" i="5" l="1"/>
  <c r="J3" i="5"/>
  <c r="K3" i="5"/>
  <c r="L3" i="5"/>
  <c r="M3" i="5"/>
  <c r="N3" i="5"/>
  <c r="O3" i="5"/>
  <c r="P3" i="5"/>
  <c r="Q3" i="5"/>
  <c r="R3" i="5"/>
  <c r="S3" i="5"/>
  <c r="I3" i="4" l="1"/>
  <c r="J3" i="4"/>
  <c r="K3" i="4"/>
  <c r="L3" i="4"/>
  <c r="M3" i="4"/>
  <c r="N3" i="4"/>
  <c r="O3" i="4"/>
  <c r="P3" i="4"/>
  <c r="Q3" i="4"/>
  <c r="R3" i="4"/>
  <c r="S3" i="4"/>
  <c r="I3" i="3" l="1"/>
  <c r="J3" i="3"/>
  <c r="K3" i="3"/>
  <c r="L3" i="3"/>
  <c r="M3" i="3"/>
  <c r="N3" i="3"/>
  <c r="O3" i="3"/>
  <c r="P3" i="3"/>
  <c r="Q3" i="3"/>
  <c r="R3" i="3"/>
  <c r="S3" i="3"/>
  <c r="I3" i="2"/>
  <c r="J3" i="2"/>
  <c r="K3" i="2"/>
  <c r="L3" i="2"/>
  <c r="M3" i="2"/>
  <c r="N3" i="2"/>
  <c r="O3" i="2"/>
  <c r="P3" i="2"/>
  <c r="Q3" i="2"/>
  <c r="R3" i="2"/>
  <c r="S3" i="2"/>
  <c r="I4" i="2"/>
  <c r="J4" i="2"/>
  <c r="K4" i="2"/>
  <c r="L4" i="2"/>
  <c r="M4" i="2"/>
  <c r="N4" i="2"/>
  <c r="O4" i="2"/>
  <c r="P4" i="2"/>
  <c r="Q4" i="2"/>
  <c r="R4" i="2"/>
  <c r="S4" i="2"/>
  <c r="I5" i="2"/>
  <c r="J5" i="2"/>
  <c r="K5" i="2"/>
  <c r="L5" i="2"/>
  <c r="M5" i="2"/>
  <c r="N5" i="2"/>
  <c r="O5" i="2"/>
  <c r="P5" i="2"/>
  <c r="Q5" i="2"/>
  <c r="R5" i="2"/>
  <c r="S5" i="2"/>
  <c r="I6" i="2"/>
  <c r="J6" i="2"/>
  <c r="K6" i="2"/>
  <c r="L6" i="2"/>
  <c r="M6" i="2"/>
  <c r="N6" i="2"/>
  <c r="O6" i="2"/>
  <c r="P6" i="2"/>
  <c r="Q6" i="2"/>
  <c r="R6" i="2"/>
  <c r="S6" i="2"/>
  <c r="I7" i="2"/>
  <c r="J7" i="2"/>
  <c r="K7" i="2"/>
  <c r="L7" i="2"/>
  <c r="M7" i="2"/>
  <c r="N7" i="2"/>
  <c r="O7" i="2"/>
  <c r="P7" i="2"/>
  <c r="Q7" i="2"/>
  <c r="R7" i="2"/>
  <c r="S7" i="2"/>
  <c r="I8" i="2"/>
  <c r="J8" i="2"/>
  <c r="K8" i="2"/>
  <c r="L8" i="2"/>
  <c r="M8" i="2"/>
  <c r="N8" i="2"/>
  <c r="O8" i="2"/>
  <c r="P8" i="2"/>
  <c r="Q8" i="2"/>
  <c r="R8" i="2"/>
  <c r="S8" i="2"/>
  <c r="I9" i="2"/>
  <c r="J9" i="2"/>
  <c r="K9" i="2"/>
  <c r="L9" i="2"/>
  <c r="M9" i="2"/>
  <c r="N9" i="2"/>
  <c r="O9" i="2"/>
  <c r="P9" i="2"/>
  <c r="Q9" i="2"/>
  <c r="R9" i="2"/>
  <c r="S9" i="2"/>
  <c r="I10" i="2"/>
  <c r="J10" i="2"/>
  <c r="K10" i="2"/>
  <c r="L10" i="2"/>
  <c r="M10" i="2"/>
  <c r="N10" i="2"/>
  <c r="O10" i="2"/>
  <c r="P10" i="2"/>
  <c r="Q10" i="2"/>
  <c r="R10" i="2"/>
  <c r="S10" i="2"/>
  <c r="I11" i="2"/>
  <c r="J11" i="2"/>
  <c r="K11" i="2"/>
  <c r="L11" i="2"/>
  <c r="M11" i="2"/>
  <c r="N11" i="2"/>
  <c r="O11" i="2"/>
  <c r="P11" i="2"/>
  <c r="Q11" i="2"/>
  <c r="R11" i="2"/>
  <c r="S11" i="2"/>
  <c r="I12" i="2"/>
  <c r="J12" i="2"/>
  <c r="K12" i="2"/>
  <c r="L12" i="2"/>
  <c r="M12" i="2"/>
  <c r="N12" i="2"/>
  <c r="O12" i="2"/>
  <c r="P12" i="2"/>
  <c r="Q12" i="2"/>
  <c r="R12" i="2"/>
  <c r="S12" i="2"/>
  <c r="H9" i="27" l="1"/>
  <c r="H10" i="27"/>
  <c r="H7" i="12" l="1"/>
  <c r="H9" i="12"/>
  <c r="H8" i="12"/>
  <c r="H10" i="30"/>
  <c r="H8" i="30"/>
  <c r="H7" i="30"/>
  <c r="H5" i="30"/>
  <c r="H3" i="30"/>
  <c r="H5" i="29"/>
  <c r="H7" i="29"/>
  <c r="H3" i="29"/>
  <c r="H3" i="11"/>
  <c r="H4" i="28"/>
  <c r="H3" i="28"/>
  <c r="H13" i="10"/>
  <c r="H12" i="10"/>
  <c r="H11" i="10"/>
  <c r="H10" i="10"/>
  <c r="H9" i="10"/>
  <c r="H8" i="10"/>
  <c r="H7" i="20"/>
  <c r="H7" i="19"/>
  <c r="H6" i="30"/>
  <c r="H4" i="30"/>
  <c r="H6" i="29"/>
  <c r="H8" i="29"/>
  <c r="H4" i="29"/>
  <c r="H5" i="24"/>
  <c r="H4" i="23"/>
  <c r="H6" i="28"/>
  <c r="H7" i="28"/>
  <c r="H8" i="28"/>
  <c r="H9" i="28"/>
  <c r="H5" i="28"/>
  <c r="H3" i="8"/>
  <c r="H4" i="8"/>
  <c r="H5" i="8"/>
  <c r="H6" i="8"/>
  <c r="H7" i="9"/>
  <c r="H6" i="9"/>
  <c r="H5" i="9"/>
  <c r="H4" i="9"/>
  <c r="H7" i="23"/>
  <c r="H4" i="25"/>
  <c r="H8" i="2"/>
  <c r="H9" i="2"/>
  <c r="H10" i="2"/>
  <c r="H11" i="2"/>
  <c r="H12" i="2"/>
  <c r="H4" i="7"/>
  <c r="H3" i="7"/>
  <c r="H6" i="10"/>
  <c r="H7" i="10"/>
  <c r="H9" i="4"/>
  <c r="H8" i="4"/>
  <c r="H7" i="4"/>
  <c r="H5" i="22"/>
  <c r="H5" i="2"/>
  <c r="H4" i="2"/>
  <c r="H3" i="2"/>
  <c r="H8" i="22"/>
  <c r="H6" i="2"/>
  <c r="H7" i="2"/>
  <c r="H6" i="22"/>
  <c r="H9" i="11"/>
  <c r="H7" i="22"/>
  <c r="H8" i="11"/>
  <c r="H4" i="24"/>
  <c r="H9" i="22"/>
  <c r="H7" i="11"/>
  <c r="H6" i="11"/>
  <c r="H5" i="11"/>
  <c r="H4" i="11"/>
  <c r="H6" i="21"/>
  <c r="H5" i="21"/>
  <c r="H4" i="20"/>
  <c r="H6" i="3"/>
  <c r="H7" i="3"/>
  <c r="H6" i="20"/>
  <c r="H5" i="20"/>
  <c r="H3" i="19"/>
  <c r="H4" i="19"/>
  <c r="H4" i="22"/>
  <c r="H3" i="22"/>
  <c r="H6" i="4"/>
  <c r="H5" i="4"/>
  <c r="H5" i="13"/>
  <c r="H3" i="18"/>
  <c r="H4" i="18"/>
  <c r="H5" i="18"/>
  <c r="H6" i="18"/>
  <c r="H3" i="16"/>
  <c r="H4" i="16"/>
  <c r="H5" i="16"/>
  <c r="H6" i="16"/>
  <c r="H3" i="15"/>
  <c r="H4" i="15"/>
  <c r="H5" i="15"/>
  <c r="H6" i="15"/>
  <c r="H3" i="9"/>
  <c r="H8" i="19"/>
  <c r="H3" i="24"/>
  <c r="H6" i="13"/>
  <c r="H3" i="13"/>
  <c r="H6" i="26"/>
  <c r="H5" i="10"/>
  <c r="H4" i="3"/>
  <c r="H3" i="3"/>
  <c r="H5" i="3"/>
  <c r="H4" i="13"/>
  <c r="H4" i="21"/>
  <c r="H3" i="21"/>
  <c r="H3" i="20"/>
  <c r="H3" i="25"/>
  <c r="H9" i="5"/>
  <c r="H6" i="12"/>
  <c r="H5" i="12"/>
  <c r="H5" i="26"/>
  <c r="H4" i="26"/>
  <c r="H3" i="26"/>
  <c r="H4" i="12"/>
  <c r="H3" i="12"/>
  <c r="H7" i="13"/>
  <c r="H5" i="19"/>
  <c r="H4" i="4"/>
  <c r="H3" i="10"/>
  <c r="H4" i="10"/>
  <c r="H4" i="31" l="1"/>
  <c r="H3" i="31"/>
  <c r="H9" i="7"/>
  <c r="H5" i="7"/>
  <c r="H5" i="31"/>
  <c r="H12" i="7"/>
  <c r="H7" i="7"/>
  <c r="H7" i="31"/>
  <c r="H11" i="7"/>
  <c r="H10" i="7"/>
  <c r="H9" i="30"/>
  <c r="H6" i="7"/>
  <c r="H6" i="31"/>
  <c r="H6" i="5"/>
  <c r="H6" i="27"/>
  <c r="H7" i="5"/>
  <c r="H7" i="27"/>
  <c r="H5" i="5"/>
  <c r="H5" i="27"/>
  <c r="H4" i="5"/>
  <c r="H4" i="27"/>
  <c r="H3" i="5"/>
  <c r="H3" i="27"/>
  <c r="H8" i="5"/>
  <c r="H8" i="27"/>
  <c r="H5" i="25"/>
  <c r="H7" i="8"/>
  <c r="H5" i="23"/>
  <c r="H3" i="4"/>
  <c r="H6" i="19"/>
  <c r="H3" i="23"/>
  <c r="H6" i="23"/>
  <c r="H8" i="7"/>
</calcChain>
</file>

<file path=xl/sharedStrings.xml><?xml version="1.0" encoding="utf-8"?>
<sst xmlns="http://schemas.openxmlformats.org/spreadsheetml/2006/main" count="1648" uniqueCount="399">
  <si>
    <t>Bowel</t>
  </si>
  <si>
    <t>Splenic Hilum</t>
  </si>
  <si>
    <t>Cauda equina</t>
  </si>
  <si>
    <t>Cauda Equina</t>
  </si>
  <si>
    <t>Pancreas</t>
  </si>
  <si>
    <t>Portal Vein</t>
  </si>
  <si>
    <t>Celiac Artery</t>
  </si>
  <si>
    <t>Superior Mesenteric Artery</t>
  </si>
  <si>
    <t>Sup Mesnt Artery</t>
  </si>
  <si>
    <t>Colon</t>
  </si>
  <si>
    <t>Jejunum</t>
  </si>
  <si>
    <t>Duodenum</t>
  </si>
  <si>
    <t>Small Bowel</t>
  </si>
  <si>
    <t>Reviewed</t>
  </si>
  <si>
    <t>ApprovalStatus</t>
  </si>
  <si>
    <t>Large Bowel</t>
  </si>
  <si>
    <t>gsal</t>
  </si>
  <si>
    <t>Author</t>
  </si>
  <si>
    <t>Renal hilum</t>
  </si>
  <si>
    <t>TemplateFileName</t>
  </si>
  <si>
    <t>Kidney Both</t>
  </si>
  <si>
    <t>Kidney B</t>
  </si>
  <si>
    <t>Active</t>
  </si>
  <si>
    <t>Status</t>
  </si>
  <si>
    <t>Kidney Right</t>
  </si>
  <si>
    <t>Kidney R</t>
  </si>
  <si>
    <t>OAR</t>
  </si>
  <si>
    <t>TemplateCategory</t>
  </si>
  <si>
    <t>Kidney Left</t>
  </si>
  <si>
    <t>Kidney L</t>
  </si>
  <si>
    <t>TreatmentSite</t>
  </si>
  <si>
    <t>Peritoneal Cavity</t>
  </si>
  <si>
    <t>PeritonealCavity</t>
  </si>
  <si>
    <t>Diagnosis</t>
  </si>
  <si>
    <t>Stomach</t>
  </si>
  <si>
    <t>Columns</t>
  </si>
  <si>
    <t>Liver</t>
  </si>
  <si>
    <t>Description</t>
  </si>
  <si>
    <t>Esophagus</t>
  </si>
  <si>
    <t>Structure</t>
  </si>
  <si>
    <t>TemplateType</t>
  </si>
  <si>
    <t>Spinal Canal</t>
  </si>
  <si>
    <t>TemplateID</t>
  </si>
  <si>
    <t>SearchCTHigh</t>
  </si>
  <si>
    <t>SearchCTLow</t>
  </si>
  <si>
    <t>DVHLineWidth</t>
  </si>
  <si>
    <t>DVHLineStyle</t>
  </si>
  <si>
    <t>DVHLineColor</t>
  </si>
  <si>
    <t>ColorAndStyle</t>
  </si>
  <si>
    <t>VolumeType</t>
  </si>
  <si>
    <t>Category</t>
  </si>
  <si>
    <t>CodeSchemeVersion</t>
  </si>
  <si>
    <t>CodeScheme</t>
  </si>
  <si>
    <t>Code</t>
  </si>
  <si>
    <t>Label</t>
  </si>
  <si>
    <t>Name</t>
  </si>
  <si>
    <t>ID</t>
  </si>
  <si>
    <t>Value</t>
  </si>
  <si>
    <t>Attribute</t>
  </si>
  <si>
    <t>HU Values</t>
  </si>
  <si>
    <t>DVH</t>
  </si>
  <si>
    <t>Color</t>
  </si>
  <si>
    <t>Volume Type</t>
  </si>
  <si>
    <t>Structure Code</t>
  </si>
  <si>
    <t>Template Structures</t>
  </si>
  <si>
    <t>Splenic lymph nodes</t>
  </si>
  <si>
    <t>Node Splenic</t>
  </si>
  <si>
    <t>Pyloric lymph nodes</t>
  </si>
  <si>
    <t>Node Pyloric</t>
  </si>
  <si>
    <t>Abdomen_nodes.xml</t>
  </si>
  <si>
    <t>Gastric lymph nodes</t>
  </si>
  <si>
    <t>Node Gastric</t>
  </si>
  <si>
    <t>Common hepatic lymph nodes</t>
  </si>
  <si>
    <t>Node Hepatic</t>
  </si>
  <si>
    <t>Node</t>
  </si>
  <si>
    <t>Celiac lymph nodes</t>
  </si>
  <si>
    <t>Node Celiac</t>
  </si>
  <si>
    <t>Lymphnodes of the Pancreas</t>
  </si>
  <si>
    <t>Node Pancreatic</t>
  </si>
  <si>
    <t>Parietal lumbar lymph nodes</t>
  </si>
  <si>
    <t>Node Para-Aortic</t>
  </si>
  <si>
    <t>Gastrohepatic ligament nodes</t>
  </si>
  <si>
    <t>Node Hepatogastr</t>
  </si>
  <si>
    <t>Node Hepatogastro</t>
  </si>
  <si>
    <t>hepatoduodenal lymph nodes</t>
  </si>
  <si>
    <t>Node Hepatoduod</t>
  </si>
  <si>
    <t>Subpyloric lymph nodes</t>
  </si>
  <si>
    <t>Node Subpyloric</t>
  </si>
  <si>
    <t>Abdomen Nodes</t>
  </si>
  <si>
    <t>Ribs</t>
  </si>
  <si>
    <t>Major Vessels of the Chest</t>
  </si>
  <si>
    <t>Vessels</t>
  </si>
  <si>
    <t>Great Vessels</t>
  </si>
  <si>
    <t>Right Brachial Plexus</t>
  </si>
  <si>
    <t>BrachialPlexus R</t>
  </si>
  <si>
    <t>Left Brachial Plexus</t>
  </si>
  <si>
    <t>BrachialPlexus L</t>
  </si>
  <si>
    <t>Pulmonary Artery</t>
  </si>
  <si>
    <t>PulmonaryArtery</t>
  </si>
  <si>
    <t>Ascending and descending aorta</t>
  </si>
  <si>
    <t>Aorta</t>
  </si>
  <si>
    <t>Heart</t>
  </si>
  <si>
    <t>Proximal Bronchial Tree</t>
  </si>
  <si>
    <t>BronchialTree</t>
  </si>
  <si>
    <t>.Lung</t>
  </si>
  <si>
    <t>Trachea</t>
  </si>
  <si>
    <t>Both Lungs</t>
  </si>
  <si>
    <t>Lung B</t>
  </si>
  <si>
    <t>Right Lung</t>
  </si>
  <si>
    <t>Lung R</t>
  </si>
  <si>
    <t>Left Lung</t>
  </si>
  <si>
    <t>Lung L</t>
  </si>
  <si>
    <t>Chest Anatomy</t>
  </si>
  <si>
    <t>Lacrimal Glands Right</t>
  </si>
  <si>
    <t>Lacrimal R</t>
  </si>
  <si>
    <t>Lacrimal Glands Left</t>
  </si>
  <si>
    <t>Lacrimal L</t>
  </si>
  <si>
    <t>Lacrimal Glands</t>
  </si>
  <si>
    <t>Lacrimal B</t>
  </si>
  <si>
    <t>Temporal Lobes</t>
  </si>
  <si>
    <t>Pituitary</t>
  </si>
  <si>
    <t>Globe Right</t>
  </si>
  <si>
    <t>Globe R</t>
  </si>
  <si>
    <t>Brain_Anatomy.xml</t>
  </si>
  <si>
    <t>Globe Left</t>
  </si>
  <si>
    <t>Globe L</t>
  </si>
  <si>
    <t>Optic Nerve Right</t>
  </si>
  <si>
    <t>OpticNerve R</t>
  </si>
  <si>
    <t>Optic Nerve R</t>
  </si>
  <si>
    <t>Optic Nerve Left</t>
  </si>
  <si>
    <t>OpticNerve L</t>
  </si>
  <si>
    <t>Optic Nerve L</t>
  </si>
  <si>
    <t>Optic Chiasm</t>
  </si>
  <si>
    <t>OpticChiasm</t>
  </si>
  <si>
    <t>Lens Right</t>
  </si>
  <si>
    <t>Lens R</t>
  </si>
  <si>
    <t>Lens Left</t>
  </si>
  <si>
    <t>Lens L</t>
  </si>
  <si>
    <t>Brain</t>
  </si>
  <si>
    <t>Brain Stem</t>
  </si>
  <si>
    <t>BrainStem</t>
  </si>
  <si>
    <t>Brain Anatomy</t>
  </si>
  <si>
    <t>Lips</t>
  </si>
  <si>
    <t>Tongue</t>
  </si>
  <si>
    <t>Pharynx</t>
  </si>
  <si>
    <t>Oral Cavity</t>
  </si>
  <si>
    <t>Submandibular Gland Right</t>
  </si>
  <si>
    <t>Submandibular R</t>
  </si>
  <si>
    <t>Submandibular Gland Left</t>
  </si>
  <si>
    <t>Submandibular L</t>
  </si>
  <si>
    <t>Parotid Right</t>
  </si>
  <si>
    <t>Parotid R</t>
  </si>
  <si>
    <t>Parotid Left</t>
  </si>
  <si>
    <t>Parotid L</t>
  </si>
  <si>
    <t>Mandible</t>
  </si>
  <si>
    <t>Larynx</t>
  </si>
  <si>
    <t>Cochlea Right</t>
  </si>
  <si>
    <t>Cochlea R</t>
  </si>
  <si>
    <t>Cochlea Left</t>
  </si>
  <si>
    <t>Cochlea L</t>
  </si>
  <si>
    <t>Right Level 6 Anterior triangle group lymph nodes</t>
  </si>
  <si>
    <t>Node VI R</t>
  </si>
  <si>
    <t>Left Level 6 Anterior triangle group lymph nodes</t>
  </si>
  <si>
    <t>Node VI L</t>
  </si>
  <si>
    <t>Right level 5 Posterior triangle group lymph nodes</t>
  </si>
  <si>
    <t>Node V R</t>
  </si>
  <si>
    <t>Left level 5 Posterior triangle group lymph nodes</t>
  </si>
  <si>
    <t>Node V L</t>
  </si>
  <si>
    <t>Right Level 4 Lower jugular lymph nodes</t>
  </si>
  <si>
    <t>Node IV R</t>
  </si>
  <si>
    <t>Left Level 4 Lower jugular lymph nodes</t>
  </si>
  <si>
    <t>Node IV L</t>
  </si>
  <si>
    <t>Right level 3 Middle jugular lymph nodes</t>
  </si>
  <si>
    <t>Node III R</t>
  </si>
  <si>
    <t>Left level 3 Middle jugular lymph nodes</t>
  </si>
  <si>
    <t>Node III L</t>
  </si>
  <si>
    <t>Right level 2 Upper jugular lymph nodes</t>
  </si>
  <si>
    <t>Node II R</t>
  </si>
  <si>
    <t>Left level 2 Upper jugular lymph nodes</t>
  </si>
  <si>
    <t>Node II L</t>
  </si>
  <si>
    <t>Level 1b Submandibular lymph nodes</t>
  </si>
  <si>
    <t>Node Ib</t>
  </si>
  <si>
    <t>Level 1a Submental lymph nodes</t>
  </si>
  <si>
    <t>Node Ia</t>
  </si>
  <si>
    <t>Sacral plexus</t>
  </si>
  <si>
    <t>Mesentary surrounding Rectum</t>
  </si>
  <si>
    <t>MesoRectum</t>
  </si>
  <si>
    <t>Wall of Bladder</t>
  </si>
  <si>
    <t>Bladder wall</t>
  </si>
  <si>
    <t>Genitalia</t>
  </si>
  <si>
    <t>Right Hip</t>
  </si>
  <si>
    <t>Hip R</t>
  </si>
  <si>
    <t>Left Hip</t>
  </si>
  <si>
    <t>Hip L</t>
  </si>
  <si>
    <t>Presacral space</t>
  </si>
  <si>
    <t>Intestinal Space</t>
  </si>
  <si>
    <t>iliac crest R</t>
  </si>
  <si>
    <t>iliac crest L</t>
  </si>
  <si>
    <t>Sacrum</t>
  </si>
  <si>
    <t>Pelvis_Anatomy.xml</t>
  </si>
  <si>
    <t>Pubic Symphysis</t>
  </si>
  <si>
    <t>Sigmoidal Colon</t>
  </si>
  <si>
    <t>Sigmoid</t>
  </si>
  <si>
    <t>Head of left femur</t>
  </si>
  <si>
    <t>Femoral Head L</t>
  </si>
  <si>
    <t>Head of right femur</t>
  </si>
  <si>
    <t>Femoral Head R</t>
  </si>
  <si>
    <t>Rectum</t>
  </si>
  <si>
    <t>Urinary bladder</t>
  </si>
  <si>
    <t>Bladder</t>
  </si>
  <si>
    <t>Pelvis Anatomy General</t>
  </si>
  <si>
    <t>Pelvis_Male.xml</t>
  </si>
  <si>
    <t>Urethra</t>
  </si>
  <si>
    <t>Penile  bulb</t>
  </si>
  <si>
    <t>Prostate</t>
  </si>
  <si>
    <t>Right seminal vesicle</t>
  </si>
  <si>
    <t>Seminal Ves R</t>
  </si>
  <si>
    <t>Left seminal vesicle</t>
  </si>
  <si>
    <t>Seminal Ves L</t>
  </si>
  <si>
    <t>Pelvis Anatomy Male</t>
  </si>
  <si>
    <t>Pelvis_Female.xml</t>
  </si>
  <si>
    <t>Ovary R</t>
  </si>
  <si>
    <t>Ovary L</t>
  </si>
  <si>
    <t>Uterus</t>
  </si>
  <si>
    <t>Cervix</t>
  </si>
  <si>
    <t>Vagina</t>
  </si>
  <si>
    <t>Pelvis Anatomy Female</t>
  </si>
  <si>
    <t>Left external iliac lymphatic chain</t>
  </si>
  <si>
    <t>Node ext iliac R</t>
  </si>
  <si>
    <t>Right external iliac lymphatic chain</t>
  </si>
  <si>
    <t>Node ext iliac L</t>
  </si>
  <si>
    <t>External iliac lymphatic chain</t>
  </si>
  <si>
    <t>Node ext iliac</t>
  </si>
  <si>
    <t>Pelvis_Nodes.xml</t>
  </si>
  <si>
    <t>Left common iliac lymphatic chain</t>
  </si>
  <si>
    <t>Node com iliac R</t>
  </si>
  <si>
    <t>Right common iliac lymphatic chain</t>
  </si>
  <si>
    <t>Node com iliac L</t>
  </si>
  <si>
    <t>Common iliac lymphatic chain</t>
  </si>
  <si>
    <t>Node com iliac</t>
  </si>
  <si>
    <t>Internal iliac nodes</t>
  </si>
  <si>
    <t>Node Int iliac</t>
  </si>
  <si>
    <t>Obturator Nodes</t>
  </si>
  <si>
    <t>Node Obturator</t>
  </si>
  <si>
    <t>Sacral Nodes</t>
  </si>
  <si>
    <t>Node Sacral</t>
  </si>
  <si>
    <t>Right internal iliac lymphatic chain</t>
  </si>
  <si>
    <t>Node Int iliac R</t>
  </si>
  <si>
    <t>Left internal iliac nodes</t>
  </si>
  <si>
    <t>Node Int iliac L</t>
  </si>
  <si>
    <t>Pelvis Nodes</t>
  </si>
  <si>
    <t>Eye_Anatomy.xml</t>
  </si>
  <si>
    <t>Head_Anatomy.xml</t>
  </si>
  <si>
    <t>Head Anatomy</t>
  </si>
  <si>
    <t>Oral_Anatomy.xml</t>
  </si>
  <si>
    <t>Eye Anatomy</t>
  </si>
  <si>
    <t>Oral Anatomy</t>
  </si>
  <si>
    <t>Organs of the Mouth and Gullet Contains: Oral Cavity, Lips, Tongue, Pharynx, Larynx</t>
  </si>
  <si>
    <t>H&amp;N Level I &amp; II Lymph Nodes</t>
  </si>
  <si>
    <t>Head and Neck  Lymph Node Structures Contains: Node Ia, Node Ib, Node II L, Node II R</t>
  </si>
  <si>
    <t>HN_Nodes_I.xml</t>
  </si>
  <si>
    <t>Head and Neck  Lymph Node Structures Contains: Node III L, Node III R, Node IV L, Node IV R</t>
  </si>
  <si>
    <t>H&amp;N Level III &amp; IV Lymph Nodes</t>
  </si>
  <si>
    <t>HN_Nodes_III.xml</t>
  </si>
  <si>
    <t>H&amp;N Level V &amp; VI Lymph Nodes</t>
  </si>
  <si>
    <t>Head and Neck  Lymph Node Structures Contains:Node V L, Node V R, Node VI L, Node VI R</t>
  </si>
  <si>
    <t>HN_Nodes_ V.xml</t>
  </si>
  <si>
    <t>Heart &amp; Vessels Anatomy</t>
  </si>
  <si>
    <t>Organs of the chest Contains: BrachialPlexus L, BrachialPlexus R, Esophagus, Spinal Canal, Ribs</t>
  </si>
  <si>
    <t>Lung Anatomy</t>
  </si>
  <si>
    <t>Organs of the Lung Contains: Lung L, Lung R, Lung B, Trachea, BronchialTree</t>
  </si>
  <si>
    <t>Bowel Anatomy</t>
  </si>
  <si>
    <t>Spine Anatomy</t>
  </si>
  <si>
    <t>Organs of the chest Contains: Spinal Canal, Cauda Equina, Brain Stem, Sacrum, Sacral plexus</t>
  </si>
  <si>
    <t>Celiac Anatomy</t>
  </si>
  <si>
    <t>Renal Anatomy</t>
  </si>
  <si>
    <t>Renal Organs Contains: Kidney L, Kidney R, Kidney B, Renal hilum</t>
  </si>
  <si>
    <t>Nodes of the abdomen Contains: Node Subpyloric, Node Hepatoduod, Node Hepatogastro, Node Para-Aortic, Node Pancreatic, Node Celiac, Node Hepatic, Node Gastric, Node Pyloric, Node Splenic</t>
  </si>
  <si>
    <t>Spine_Anatomy.xml</t>
  </si>
  <si>
    <t>Heart_Anatomy.xml</t>
  </si>
  <si>
    <t>Chest_Anatomy.xml</t>
  </si>
  <si>
    <t>Lung_Anatomy.xml</t>
  </si>
  <si>
    <t>Celiac_Anatomy.xml</t>
  </si>
  <si>
    <t>Renal_Anatomy.xml</t>
  </si>
  <si>
    <t>Bowel_Anatomy.xml</t>
  </si>
  <si>
    <t>Rectal_Anatomy.xml</t>
  </si>
  <si>
    <t>Rectal Anatomy</t>
  </si>
  <si>
    <t>Rectal Organs Contains: Rectum, Sigmoid, MesoRectum</t>
  </si>
  <si>
    <t>Bladder Anatomy</t>
  </si>
  <si>
    <t>Organs of the Bladder Contains: Bladder, Bladder wall, Urethra</t>
  </si>
  <si>
    <t>Bladder_Anatomy.xml</t>
  </si>
  <si>
    <t>Organs of the Pelvis Contains: iliac crest L, iliac crest R, Hip L, Hip R, Pubic Symphysis, Sacrum, Femoral Head R, Femoral Head L, Presacral space, Genitalia</t>
  </si>
  <si>
    <t>Organs of the Male Pelvis Contains: Structure, Seminal Ves L, Seminal Ves R, Prostate, Penile  bulb, Urethra</t>
  </si>
  <si>
    <t>Organs of the Female Pelvis Contains: Vagina, Cervix, Uterus, Ovary L, Ovary R</t>
  </si>
  <si>
    <t>Nodes of the Pelvis Contains: Node Int iliac L, Node Int iliac R, Node Sacral, Node Obturator, Node Int iliac, Node com iliac, Node com iliac L, Node com iliac R, Node ext iliac, Node ext iliac L, Node ext iliac R</t>
  </si>
  <si>
    <t>Celiac related Organs Contains: Liver, Stomach, Pancreas, Celiac Artery, Portal Vein, Splenic Hilum, Peritoneal Cavity</t>
  </si>
  <si>
    <t>Bowel Organs Contains: ID, Bowel, Large Bowel, Small Bowel, Duodenum, Jejunum, Colon, Superior Mesenteric Artery</t>
  </si>
  <si>
    <t>Organs of the Eye Contains: Lens, Globe, Orbit, Lacrimal Glands</t>
  </si>
  <si>
    <t>Optic nerves</t>
  </si>
  <si>
    <t>Optic Nerve B</t>
  </si>
  <si>
    <t>Hippocampi</t>
  </si>
  <si>
    <t>Hippocampus</t>
  </si>
  <si>
    <t>Hippo_R</t>
  </si>
  <si>
    <t>Hippo_L</t>
  </si>
  <si>
    <t>Hippocampus B</t>
  </si>
  <si>
    <t>Hippocampus L</t>
  </si>
  <si>
    <t>Hippocampus R</t>
  </si>
  <si>
    <t>Hippocampus Right</t>
  </si>
  <si>
    <t>Hippocampus Left</t>
  </si>
  <si>
    <t>Optics_Anatomy.xml</t>
  </si>
  <si>
    <t>Optics Anatomy</t>
  </si>
  <si>
    <t>Organs of the brain Contains: BrainStem, Brain,  Pituitary, Temporal Lobes, Hippocampus</t>
  </si>
  <si>
    <t>Organs of the brain Contains:  OpticChiasm, OpticNerve</t>
  </si>
  <si>
    <t>Pectoralis minor</t>
  </si>
  <si>
    <t>Chest Wall</t>
  </si>
  <si>
    <t>Intercostal muscle</t>
  </si>
  <si>
    <t>Right ear</t>
  </si>
  <si>
    <t>Left ear</t>
  </si>
  <si>
    <t>Right middle ear</t>
  </si>
  <si>
    <t>Left middle ear</t>
  </si>
  <si>
    <t>Right internal ear</t>
  </si>
  <si>
    <t>Left internal ear</t>
  </si>
  <si>
    <t>Ear Anatomy</t>
  </si>
  <si>
    <t>Ear_Anatomy.xml</t>
  </si>
  <si>
    <t>Ear Inner L</t>
  </si>
  <si>
    <t>Ear Inner R</t>
  </si>
  <si>
    <t>Ear L</t>
  </si>
  <si>
    <t>Ear Middle L</t>
  </si>
  <si>
    <t>Ear Middle R</t>
  </si>
  <si>
    <t>Ear R</t>
  </si>
  <si>
    <t>Organs of the Ear Contains: Cochlea, Ear, Inner Ear, Middle Ear</t>
  </si>
  <si>
    <t>Parotid B</t>
  </si>
  <si>
    <t>Parotid Glands</t>
  </si>
  <si>
    <t>Submandibular B</t>
  </si>
  <si>
    <t>Submandibular Glands</t>
  </si>
  <si>
    <t>Organs of the Head Contains: Mandible, Parotid Submandibular</t>
  </si>
  <si>
    <t>Axillary vessels</t>
  </si>
  <si>
    <t>Subclavian artery</t>
  </si>
  <si>
    <t>Heart &amp; Vessels Organs Contains: Heart, Great Vessels, PulmonaryArtery, Aorta, Subclavian Artery, Axillary Vessels</t>
  </si>
  <si>
    <t>Breast Anatomy</t>
  </si>
  <si>
    <t>Body</t>
  </si>
  <si>
    <t>Breast L</t>
  </si>
  <si>
    <t>Left Female Breast</t>
  </si>
  <si>
    <t>Breast R</t>
  </si>
  <si>
    <t>Right Female Breast</t>
  </si>
  <si>
    <t>Intercostal muscle and ribs</t>
  </si>
  <si>
    <t>Nodes Axilla I</t>
  </si>
  <si>
    <t>Level I axillary lymph nodes</t>
  </si>
  <si>
    <t>Nodes Axilla II</t>
  </si>
  <si>
    <t>Level II axillary lymph nodes</t>
  </si>
  <si>
    <t>Nodes Axilla III</t>
  </si>
  <si>
    <t>Level III axillary lymph nodes</t>
  </si>
  <si>
    <t>Nodes IMC</t>
  </si>
  <si>
    <t>Internal mammary nodes</t>
  </si>
  <si>
    <t>Nodes SC</t>
  </si>
  <si>
    <t>Supraclavicular lymph nodes</t>
  </si>
  <si>
    <t>Breast_Anatomy.xml</t>
  </si>
  <si>
    <t>Breast Organs and Nodes Contains: Breast, Axilla, IMC, SC Nodes</t>
  </si>
  <si>
    <t>Arm Anatomy</t>
  </si>
  <si>
    <t>Bones of the Arm Contains: BrachialPlexus L, BrachialPlexus R, Esophagus, Spinal Canal, Ribs</t>
  </si>
  <si>
    <t>Humorous R</t>
  </si>
  <si>
    <t>Right humerus</t>
  </si>
  <si>
    <t>Humorous L</t>
  </si>
  <si>
    <t>Left humerus</t>
  </si>
  <si>
    <t>Radius R</t>
  </si>
  <si>
    <t>Right radius</t>
  </si>
  <si>
    <t>Radius L</t>
  </si>
  <si>
    <t>Left radius</t>
  </si>
  <si>
    <t>Ulna R</t>
  </si>
  <si>
    <t>Right ulna</t>
  </si>
  <si>
    <t>Ulna  L</t>
  </si>
  <si>
    <t>Left ulna</t>
  </si>
  <si>
    <t>Arm_Anatomy.xml</t>
  </si>
  <si>
    <t>Leg Anatomy</t>
  </si>
  <si>
    <t>Femur R</t>
  </si>
  <si>
    <t>Right femur</t>
  </si>
  <si>
    <t>Femur L</t>
  </si>
  <si>
    <t>Left femur</t>
  </si>
  <si>
    <t>Tibia R</t>
  </si>
  <si>
    <t>Right tibia</t>
  </si>
  <si>
    <t>Tibia L</t>
  </si>
  <si>
    <t>Left tibia</t>
  </si>
  <si>
    <t>Fibula R</t>
  </si>
  <si>
    <t>Right fibula</t>
  </si>
  <si>
    <t>Fibula L</t>
  </si>
  <si>
    <t>Left fibula</t>
  </si>
  <si>
    <t>Bones of the Leg Contains: Femur, Tibia, Fibula, Humorous</t>
  </si>
  <si>
    <t>Leg_Anatomy.xml</t>
  </si>
  <si>
    <t xml:space="preserve"> Anatomy General</t>
  </si>
  <si>
    <t>Anatomy.xml</t>
  </si>
  <si>
    <t>Skin</t>
  </si>
  <si>
    <t>Bone Marrow</t>
  </si>
  <si>
    <t>Bone marrow</t>
  </si>
  <si>
    <t>External Body Surface</t>
  </si>
  <si>
    <t>Bone Rendering</t>
  </si>
  <si>
    <t>Normal Tissue</t>
  </si>
  <si>
    <t>Bone</t>
  </si>
  <si>
    <t>General Organ at Risk</t>
  </si>
  <si>
    <t>General Organs Contains: Body, Skin, Bone Marrow, Bone Rendering, Normal Tissue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</si>
</sst>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18"/>
      <color theme="3"/>
      <name val="Calibri Light"/>
      <family val="2"/>
      <scheme val="major"/>
    </font>
    <font>
      <b/>
      <sz val="16"/>
      <color theme="3"/>
      <name val="Calibri Light"/>
      <family val="2"/>
      <scheme val="major"/>
    </font>
    <font>
      <sz val="11"/>
      <color theme="1"/>
      <name val="Calibri"/>
      <family val="2"/>
      <scheme val="minor"/>
    </font>
    <font>
      <sz val="11"/>
      <color theme="1"/>
      <name val="Calibri"/>
      <family val="2"/>
      <scheme val="minor"/>
    </font>
  </fonts>
  <fills count="2">
    <fill>
      <patternFill patternType="none"/>
    </fill>
    <fill>
      <patternFill patternType="gray125"/>
    </fill>
  </fills>
  <borders count="28">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thin">
        <color auto="1"/>
      </right>
      <top style="thin">
        <color auto="1"/>
      </top>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auto="1"/>
      </right>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79">
    <xf numFmtId="0" fontId="0" fillId="0" borderId="0" xfId="0"/>
    <xf numFmtId="0" fontId="0" fillId="0" borderId="0" xfId="0" applyBorder="1"/>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3" xfId="0" applyBorder="1" applyAlignment="1">
      <alignment horizontal="right"/>
    </xf>
    <xf numFmtId="0" fontId="0" fillId="0" borderId="2" xfId="0" applyFont="1" applyBorder="1"/>
    <xf numFmtId="0" fontId="0" fillId="0" borderId="1" xfId="0" applyNumberFormat="1" applyFont="1" applyBorder="1" applyAlignment="1">
      <alignment horizontal="right"/>
    </xf>
    <xf numFmtId="0" fontId="0" fillId="0" borderId="3" xfId="0" applyNumberFormat="1" applyFont="1" applyBorder="1" applyAlignment="1">
      <alignment horizontal="right"/>
    </xf>
    <xf numFmtId="0" fontId="0" fillId="0" borderId="2" xfId="0" applyNumberFormat="1" applyFont="1" applyBorder="1" applyAlignment="1">
      <alignment horizontal="right"/>
    </xf>
    <xf numFmtId="0" fontId="0" fillId="0" borderId="5" xfId="0" applyFont="1" applyBorder="1" applyAlignment="1"/>
    <xf numFmtId="0" fontId="0" fillId="0" borderId="6" xfId="0"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0" fillId="0" borderId="0" xfId="0" applyBorder="1" applyAlignment="1">
      <alignment horizontal="right"/>
    </xf>
    <xf numFmtId="0" fontId="0" fillId="0" borderId="7" xfId="0" applyFont="1" applyBorder="1"/>
    <xf numFmtId="0" fontId="0" fillId="0" borderId="6" xfId="0" applyNumberFormat="1" applyFont="1" applyBorder="1" applyAlignment="1">
      <alignment horizontal="right"/>
    </xf>
    <xf numFmtId="0" fontId="0" fillId="0" borderId="0" xfId="0" applyNumberFormat="1" applyFont="1" applyBorder="1" applyAlignment="1">
      <alignment horizontal="right"/>
    </xf>
    <xf numFmtId="0" fontId="0" fillId="0" borderId="7" xfId="0" applyNumberFormat="1" applyFont="1" applyBorder="1" applyAlignment="1">
      <alignment horizontal="right"/>
    </xf>
    <xf numFmtId="0" fontId="0" fillId="0" borderId="9" xfId="0" applyFont="1" applyBorder="1" applyAlignment="1"/>
    <xf numFmtId="49" fontId="0" fillId="0" borderId="10" xfId="0" applyNumberFormat="1" applyFont="1" applyBorder="1" applyAlignment="1">
      <alignment horizontal="left"/>
    </xf>
    <xf numFmtId="49" fontId="0" fillId="0" borderId="11" xfId="0" applyNumberFormat="1" applyFont="1" applyFill="1" applyBorder="1" applyAlignment="1">
      <alignment horizontal="left"/>
    </xf>
    <xf numFmtId="0" fontId="0" fillId="0" borderId="11" xfId="0" applyFont="1" applyBorder="1" applyAlignment="1">
      <alignment horizontal="left"/>
    </xf>
    <xf numFmtId="49" fontId="0" fillId="0" borderId="11" xfId="0" applyNumberFormat="1" applyFont="1" applyBorder="1" applyAlignment="1">
      <alignment horizontal="left"/>
    </xf>
    <xf numFmtId="0" fontId="0" fillId="0" borderId="12" xfId="0" applyBorder="1"/>
    <xf numFmtId="0" fontId="0" fillId="0" borderId="13" xfId="0" applyBorder="1"/>
    <xf numFmtId="0" fontId="0" fillId="0" borderId="14" xfId="0" applyBorder="1"/>
    <xf numFmtId="0" fontId="0" fillId="0" borderId="14" xfId="0" applyFill="1" applyBorder="1"/>
    <xf numFmtId="0" fontId="0" fillId="0" borderId="14" xfId="0" applyNumberFormat="1" applyBorder="1"/>
    <xf numFmtId="0" fontId="0" fillId="0" borderId="15" xfId="0" applyBorder="1"/>
    <xf numFmtId="0" fontId="0" fillId="0" borderId="9" xfId="0" applyFont="1" applyBorder="1" applyAlignment="1">
      <alignment horizontal="left"/>
    </xf>
    <xf numFmtId="0" fontId="2" fillId="0" borderId="6" xfId="0" applyFont="1" applyBorder="1" applyAlignment="1">
      <alignment horizontal="center"/>
    </xf>
    <xf numFmtId="0" fontId="2" fillId="0" borderId="7" xfId="0" applyFont="1" applyBorder="1" applyAlignment="1">
      <alignment horizontal="center"/>
    </xf>
    <xf numFmtId="0" fontId="2" fillId="0" borderId="0" xfId="0" applyFont="1" applyBorder="1" applyAlignment="1">
      <alignment horizontal="center"/>
    </xf>
    <xf numFmtId="0" fontId="2" fillId="0" borderId="8" xfId="0" applyFont="1" applyBorder="1" applyAlignment="1">
      <alignment horizontal="center"/>
    </xf>
    <xf numFmtId="0" fontId="2" fillId="0" borderId="7" xfId="0" applyNumberFormat="1" applyFont="1" applyBorder="1" applyAlignment="1">
      <alignment horizontal="center"/>
    </xf>
    <xf numFmtId="49" fontId="2" fillId="0" borderId="16" xfId="0" applyNumberFormat="1"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0" fontId="3" fillId="0" borderId="22" xfId="0" applyFont="1" applyBorder="1" applyAlignment="1">
      <alignment horizontal="center"/>
    </xf>
    <xf numFmtId="0" fontId="0" fillId="0" borderId="10" xfId="0" applyBorder="1"/>
    <xf numFmtId="0" fontId="0" fillId="0" borderId="18" xfId="0" applyBorder="1"/>
    <xf numFmtId="0" fontId="0" fillId="0" borderId="4" xfId="0" applyFill="1" applyBorder="1" applyAlignment="1">
      <alignment horizontal="left"/>
    </xf>
    <xf numFmtId="49" fontId="0" fillId="0" borderId="9" xfId="0" applyNumberFormat="1" applyFont="1" applyBorder="1" applyAlignment="1">
      <alignment horizontal="left"/>
    </xf>
    <xf numFmtId="49" fontId="0" fillId="0" borderId="11" xfId="0" applyNumberFormat="1" applyBorder="1" applyAlignment="1">
      <alignment horizontal="left"/>
    </xf>
    <xf numFmtId="0" fontId="0" fillId="0" borderId="9" xfId="0" applyFont="1" applyFill="1" applyBorder="1" applyAlignment="1"/>
    <xf numFmtId="0" fontId="3" fillId="0" borderId="27" xfId="0" applyFont="1" applyBorder="1" applyAlignment="1">
      <alignment horizontal="center"/>
    </xf>
    <xf numFmtId="0" fontId="0" fillId="0" borderId="0" xfId="0" applyFont="1" applyFill="1" applyBorder="1" applyAlignment="1">
      <alignment horizontal="left"/>
    </xf>
    <xf numFmtId="0" fontId="0" fillId="0" borderId="0" xfId="0" applyBorder="1" applyAlignment="1"/>
    <xf numFmtId="0" fontId="0" fillId="0" borderId="2" xfId="0" applyFont="1" applyBorder="1" applyAlignment="1"/>
    <xf numFmtId="0" fontId="0" fillId="0" borderId="7" xfId="0" applyFont="1" applyBorder="1" applyAlignment="1"/>
    <xf numFmtId="0" fontId="0" fillId="0" borderId="23" xfId="0" applyBorder="1" applyAlignment="1"/>
    <xf numFmtId="0" fontId="0" fillId="0" borderId="15" xfId="0" applyBorder="1" applyAlignme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NumberFormat="1" applyFont="1" applyBorder="1" applyAlignment="1">
      <alignment horizontal="center"/>
    </xf>
    <xf numFmtId="0" fontId="0" fillId="0" borderId="10" xfId="0" applyBorder="1" applyAlignment="1"/>
    <xf numFmtId="49" fontId="1" fillId="0" borderId="11" xfId="0" applyNumberFormat="1" applyFont="1" applyBorder="1" applyAlignment="1">
      <alignment horizontal="left"/>
    </xf>
    <xf numFmtId="0" fontId="1" fillId="0" borderId="9" xfId="0" applyFont="1" applyFill="1" applyBorder="1" applyAlignment="1"/>
    <xf numFmtId="0" fontId="6" fillId="0" borderId="9" xfId="0" applyFont="1" applyBorder="1" applyAlignment="1"/>
    <xf numFmtId="49" fontId="6" fillId="0" borderId="11" xfId="0" applyNumberFormat="1" applyFont="1" applyBorder="1" applyAlignment="1">
      <alignment horizontal="left"/>
    </xf>
    <xf numFmtId="0" fontId="6" fillId="0" borderId="5" xfId="0" applyFont="1" applyBorder="1" applyAlignment="1"/>
    <xf numFmtId="49" fontId="6" fillId="0" borderId="10" xfId="0" applyNumberFormat="1" applyFont="1" applyBorder="1" applyAlignment="1">
      <alignment horizontal="left"/>
    </xf>
    <xf numFmtId="49" fontId="0" fillId="0" borderId="5" xfId="0" applyNumberFormat="1" applyFont="1" applyBorder="1" applyAlignment="1"/>
    <xf numFmtId="49" fontId="0" fillId="0" borderId="5" xfId="0" applyNumberFormat="1" applyFont="1" applyFill="1" applyBorder="1" applyAlignment="1"/>
    <xf numFmtId="0" fontId="7" fillId="0" borderId="5" xfId="0" applyFont="1" applyBorder="1" applyAlignment="1"/>
    <xf numFmtId="0" fontId="5" fillId="0" borderId="11" xfId="1" applyFont="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19" xfId="0" applyFont="1" applyBorder="1" applyAlignment="1">
      <alignment horizontal="center"/>
    </xf>
    <xf numFmtId="0" fontId="3" fillId="0" borderId="25" xfId="0" applyFont="1" applyBorder="1" applyAlignment="1">
      <alignment horizontal="center"/>
    </xf>
    <xf numFmtId="0" fontId="3" fillId="0" borderId="24" xfId="0" applyFont="1" applyBorder="1" applyAlignment="1">
      <alignment horizontal="center"/>
    </xf>
    <xf numFmtId="0" fontId="3" fillId="0" borderId="26" xfId="0" applyFont="1" applyBorder="1" applyAlignment="1">
      <alignment horizontal="center"/>
    </xf>
    <xf numFmtId="0" fontId="5" fillId="0" borderId="10" xfId="1" applyFont="1" applyBorder="1" applyAlignment="1">
      <alignment horizontal="center"/>
    </xf>
  </cellXfs>
  <cellStyles count="2">
    <cellStyle name="Normal" xfId="0" builtinId="0"/>
    <cellStyle name="Title 2" xfId="1"/>
  </cellStyles>
  <dxfs count="319">
    <dxf>
      <font>
        <b val="0"/>
        <i val="0"/>
        <strike val="0"/>
        <condense val="0"/>
        <extend val="0"/>
        <outline val="0"/>
        <shadow val="0"/>
        <u val="none"/>
        <vertAlign val="baseline"/>
        <sz val="11"/>
        <color theme="1"/>
        <name val="Calibri"/>
        <scheme val="minor"/>
      </font>
      <numFmt numFmtId="30" formatCode="@"/>
      <fill>
        <patternFill patternType="solid">
          <fgColor indexed="64"/>
          <bgColor theme="5" tint="0.79998168889431442"/>
        </patternFill>
      </fill>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5" tint="0.79998168889431442"/>
        </patternFill>
      </fill>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5" tint="0.79998168889431442"/>
        </patternFill>
      </fill>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dxf>
    <dxf>
      <border outline="0">
        <top style="thin">
          <color auto="1"/>
        </top>
      </border>
    </dxf>
    <dxf>
      <border outline="0">
        <top style="thin">
          <color auto="1"/>
        </top>
      </border>
    </dxf>
    <dxf>
      <border outline="0">
        <bottom style="thin">
          <color auto="1"/>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numFmt numFmtId="30" formatCode="@"/>
      <alignmen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alignment vertical="bottom" textRotation="0" wrapText="0" indent="0" justifyLastLine="0" shrinkToFit="0" readingOrder="0"/>
    </dxf>
    <dxf>
      <alignment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alignmen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numFmt numFmtId="30" formatCode="@"/>
      <alignmen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alignment vertical="bottom" textRotation="0" wrapText="0" indent="0" justifyLastLine="0" shrinkToFit="0" readingOrder="0"/>
    </dxf>
    <dxf>
      <alignment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alignmen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numFmt numFmtId="30" formatCode="@"/>
      <alignmen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alignment vertical="bottom" textRotation="0" wrapText="0" indent="0" justifyLastLine="0" shrinkToFit="0" readingOrder="0"/>
    </dxf>
    <dxf>
      <alignment vertical="bottom" textRotation="0" wrapText="0" indent="0" justifyLastLine="0" shrinkToFit="0" readingOrder="0"/>
    </dxf>
    <dxf>
      <border outline="0">
        <top style="thin">
          <color auto="1"/>
        </top>
      </border>
    </dxf>
    <dxf>
      <border outline="0">
        <left style="thin">
          <color auto="1"/>
        </left>
        <right style="thin">
          <color auto="1"/>
        </right>
        <top style="thin">
          <color auto="1"/>
        </top>
        <bottom style="thin">
          <color auto="1"/>
        </bottom>
      </border>
    </dxf>
    <dxf>
      <alignment vertical="bottom" textRotation="0" wrapText="0" indent="0" justifyLastLine="0" shrinkToFit="0" readingOrder="0"/>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minor"/>
      </font>
      <numFmt numFmtId="30" formatCode="@"/>
      <fill>
        <patternFill patternType="solid">
          <fgColor indexed="64"/>
          <bgColor theme="5" tint="0.79998168889431442"/>
        </patternFill>
      </fill>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outline="0">
        <left style="thin">
          <color auto="1"/>
        </left>
        <right/>
        <top style="thin">
          <color auto="1"/>
        </top>
        <bottom style="thin">
          <color auto="1"/>
        </bottom>
      </border>
    </dxf>
    <dxf>
      <font>
        <b val="0"/>
        <i val="0"/>
        <strike val="0"/>
        <condense val="0"/>
        <extend val="0"/>
        <outline val="0"/>
        <shadow val="0"/>
        <u val="none"/>
        <vertAlign val="baseline"/>
        <sz val="11"/>
        <color theme="1"/>
        <name val="Calibri"/>
        <scheme val="minor"/>
      </font>
      <alignment horizontal="general"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numFmt numFmtId="30" formatCode="@"/>
      <alignment horizontal="center" vertical="bottom"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2"/>
        <color theme="1"/>
        <name val="Calibri"/>
        <scheme val="minor"/>
      </font>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tructure%20Look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ucture Dictionary Assignment"/>
      <sheetName val="Volume Types"/>
      <sheetName val="Structure colors"/>
      <sheetName val="CT Search"/>
      <sheetName val="DVH Lines"/>
      <sheetName val="Dictionary Assignment"/>
      <sheetName val="Non-Organ Dictionary items"/>
      <sheetName val="FMA"/>
      <sheetName val="ICD-10 Codes"/>
      <sheetName val="Color Chart"/>
      <sheetName val="Original Structure colors"/>
      <sheetName val="ColourTable"/>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ables/table1.xml><?xml version="1.0" encoding="utf-8"?>
<table xmlns="http://schemas.openxmlformats.org/spreadsheetml/2006/main" id="54" name="Table3313234315555" displayName="Table3313234315555" ref="A2:B13" totalsRowShown="0" headerRowDxfId="318" headerRowBorderDxfId="317" tableBorderDxfId="316" totalsRowBorderDxfId="315">
  <tableColumns count="2">
    <tableColumn id="1" name="Attribute"/>
    <tableColumn id="2" name="Value"/>
  </tableColumns>
  <tableStyleInfo name="TableStyleLight11" showFirstColumn="0" showLastColumn="0" showRowStripes="1" showColumnStripes="0"/>
</table>
</file>

<file path=xl/tables/table2.xml><?xml version="1.0" encoding="utf-8"?>
<table xmlns="http://schemas.openxmlformats.org/spreadsheetml/2006/main" id="55" name="Table53335375656" displayName="Table53335375656" ref="D2:F7" totalsRowShown="0" headerRowDxfId="314" headerRowBorderDxfId="313" tableBorderDxfId="312" totalsRowBorderDxfId="311">
  <tableColumns count="3">
    <tableColumn id="1" name="Structure" dataDxfId="310"/>
    <tableColumn id="2" name="ID" dataDxfId="309"/>
    <tableColumn id="3" name="Name" dataDxfId="308"/>
  </tableColumns>
  <tableStyleInfo name="TableStyleMedium2" showFirstColumn="0" showLastColumn="0" showRowStripes="1" showColumnStripes="0"/>
</table>
</file>

<file path=xl/tables/table3.xml><?xml version="1.0" encoding="utf-8"?>
<table xmlns="http://schemas.openxmlformats.org/spreadsheetml/2006/main" id="7" name="Table357911151719" displayName="Table357911151719" ref="A2:B13" totalsRowShown="0" headerRowDxfId="307" headerRowBorderDxfId="306" tableBorderDxfId="305" totalsRowBorderDxfId="304">
  <tableColumns count="2">
    <tableColumn id="1" name="Attribute"/>
    <tableColumn id="2" name="Value"/>
  </tableColumns>
  <tableStyleInfo name="TableStyleLight11" showFirstColumn="0" showLastColumn="0" showRowStripes="1" showColumnStripes="0"/>
</table>
</file>

<file path=xl/tables/table4.xml><?xml version="1.0" encoding="utf-8"?>
<table xmlns="http://schemas.openxmlformats.org/spreadsheetml/2006/main" id="8" name="Table581012161820" displayName="Table581012161820" ref="D2:F9" totalsRowShown="0" headerRowDxfId="303" headerRowBorderDxfId="302" tableBorderDxfId="301" totalsRowBorderDxfId="300">
  <tableColumns count="3">
    <tableColumn id="1" name="Structure" dataDxfId="299"/>
    <tableColumn id="2" name="ID" dataDxfId="298"/>
    <tableColumn id="3" name="Name" dataDxfId="297"/>
  </tableColumns>
  <tableStyleInfo name="TableStyleMedium2" showFirstColumn="0" showLastColumn="0" showRowStripes="1" showColumnStripes="0"/>
</table>
</file>

<file path=xl/tables/table5.xml><?xml version="1.0" encoding="utf-8"?>
<table xmlns="http://schemas.openxmlformats.org/spreadsheetml/2006/main" id="1" name="Table3579111517192" displayName="Table3579111517192" ref="A2:B13" totalsRowShown="0" headerRowDxfId="296" headerRowBorderDxfId="295" tableBorderDxfId="294" totalsRowBorderDxfId="293">
  <tableColumns count="2">
    <tableColumn id="1" name="Attribute"/>
    <tableColumn id="2" name="Value"/>
  </tableColumns>
  <tableStyleInfo name="TableStyleLight11" showFirstColumn="0" showLastColumn="0" showRowStripes="1" showColumnStripes="0"/>
</table>
</file>

<file path=xl/tables/table6.xml><?xml version="1.0" encoding="utf-8"?>
<table xmlns="http://schemas.openxmlformats.org/spreadsheetml/2006/main" id="2" name="Table5810121618203" displayName="Table5810121618203" ref="D2:F6" totalsRowShown="0" headerRowDxfId="292" headerRowBorderDxfId="291" tableBorderDxfId="290" totalsRowBorderDxfId="289">
  <tableColumns count="3">
    <tableColumn id="1" name="Structure" dataDxfId="288"/>
    <tableColumn id="2" name="ID" dataDxfId="287"/>
    <tableColumn id="3" name="Name" dataDxfId="286"/>
  </tableColumns>
  <tableStyleInfo name="TableStyleMedium2" showFirstColumn="0" showLastColumn="0" showRowStripes="1" showColumnStripes="0"/>
</table>
</file>

<file path=xl/tables/table7.xml><?xml version="1.0" encoding="utf-8"?>
<table xmlns="http://schemas.openxmlformats.org/spreadsheetml/2006/main" id="23" name="Table35791115171924" displayName="Table35791115171924" ref="A2:B13" totalsRowShown="0" headerRowDxfId="285" headerRowBorderDxfId="284" tableBorderDxfId="283" totalsRowBorderDxfId="282">
  <tableColumns count="2">
    <tableColumn id="1" name="Attribute"/>
    <tableColumn id="2" name="Value"/>
  </tableColumns>
  <tableStyleInfo name="TableStyleLight11" showFirstColumn="0" showLastColumn="0" showRowStripes="1" showColumnStripes="0"/>
</table>
</file>

<file path=xl/tables/table8.xml><?xml version="1.0" encoding="utf-8"?>
<table xmlns="http://schemas.openxmlformats.org/spreadsheetml/2006/main" id="24" name="Table58101216182025" displayName="Table58101216182025" ref="D2:F9" totalsRowShown="0" headerRowDxfId="281" headerRowBorderDxfId="280" tableBorderDxfId="279" totalsRowBorderDxfId="278">
  <tableColumns count="3">
    <tableColumn id="1" name="Structure" dataDxfId="277"/>
    <tableColumn id="2" name="ID" dataDxfId="276"/>
    <tableColumn id="3" name="Name" dataDxfId="275"/>
  </tableColumns>
  <tableStyleInfo name="TableStyleMedium2" showFirstColumn="0" showLastColumn="0" showRowStripes="1" showColumnStripes="0"/>
</table>
</file>

<file path=xl/tables/table9.xml><?xml version="1.0" encoding="utf-8"?>
<table xmlns="http://schemas.openxmlformats.org/spreadsheetml/2006/main" id="33" name="Table357911151734" displayName="Table357911151734" ref="A2:B13" totalsRowShown="0" headerRowDxfId="274" headerRowBorderDxfId="273" tableBorderDxfId="272" totalsRowBorderDxfId="271">
  <tableColumns count="2">
    <tableColumn id="1" name="Attribute"/>
    <tableColumn id="2" name="Value"/>
  </tableColumns>
  <tableStyleInfo name="TableStyleLight11" showFirstColumn="0" showLastColumn="0" showRowStripes="1" showColumnStripes="0"/>
</table>
</file>

<file path=xl/tables/table10.xml><?xml version="1.0" encoding="utf-8"?>
<table xmlns="http://schemas.openxmlformats.org/spreadsheetml/2006/main" id="34" name="Table581012161835" displayName="Table581012161835" ref="D2:F10" totalsRowShown="0" headerRowDxfId="270" headerRowBorderDxfId="269" tableBorderDxfId="268" totalsRowBorderDxfId="267">
  <tableColumns count="3">
    <tableColumn id="1" name="Structure" dataDxfId="266"/>
    <tableColumn id="2" name="ID" dataDxfId="265"/>
    <tableColumn id="3" name="Name" dataDxfId="264"/>
  </tableColumns>
  <tableStyleInfo name="TableStyleMedium2" showFirstColumn="0" showLastColumn="0" showRowStripes="1" showColumnStripes="0"/>
</table>
</file>

<file path=xl/tables/table11.xml><?xml version="1.0" encoding="utf-8"?>
<table xmlns="http://schemas.openxmlformats.org/spreadsheetml/2006/main" id="9" name="Table3579111517" displayName="Table3579111517" ref="A2:B13" totalsRowShown="0" headerRowDxfId="263" headerRowBorderDxfId="262" tableBorderDxfId="261" totalsRowBorderDxfId="260">
  <tableColumns count="2">
    <tableColumn id="1" name="Attribute"/>
    <tableColumn id="2" name="Value"/>
  </tableColumns>
  <tableStyleInfo name="TableStyleLight11" showFirstColumn="0" showLastColumn="0" showRowStripes="1" showColumnStripes="0"/>
</table>
</file>

<file path=xl/tables/table12.xml><?xml version="1.0" encoding="utf-8"?>
<table xmlns="http://schemas.openxmlformats.org/spreadsheetml/2006/main" id="10" name="Table5810121618" displayName="Table5810121618" ref="D2:F9" totalsRowShown="0" headerRowDxfId="259" headerRowBorderDxfId="258" tableBorderDxfId="257" totalsRowBorderDxfId="256">
  <tableColumns count="3">
    <tableColumn id="1" name="Structure" dataDxfId="255"/>
    <tableColumn id="2" name="ID" dataDxfId="254"/>
    <tableColumn id="3" name="Name" dataDxfId="253"/>
  </tableColumns>
  <tableStyleInfo name="TableStyleMedium2" showFirstColumn="0" showLastColumn="0" showRowStripes="1" showColumnStripes="0"/>
</table>
</file>

<file path=xl/tables/table13.xml><?xml version="1.0" encoding="utf-8"?>
<table xmlns="http://schemas.openxmlformats.org/spreadsheetml/2006/main" id="25" name="Table357911151726" displayName="Table357911151726" ref="A2:B13" totalsRowShown="0" headerRowDxfId="252" headerRowBorderDxfId="251" tableBorderDxfId="250" totalsRowBorderDxfId="249">
  <tableColumns count="2">
    <tableColumn id="1" name="Attribute"/>
    <tableColumn id="2" name="Value"/>
  </tableColumns>
  <tableStyleInfo name="TableStyleLight11" showFirstColumn="0" showLastColumn="0" showRowStripes="1" showColumnStripes="0"/>
</table>
</file>

<file path=xl/tables/table14.xml><?xml version="1.0" encoding="utf-8"?>
<table xmlns="http://schemas.openxmlformats.org/spreadsheetml/2006/main" id="26" name="Table581012161827" displayName="Table581012161827" ref="D2:F7" totalsRowShown="0" headerRowDxfId="248" headerRowBorderDxfId="247" tableBorderDxfId="246" totalsRowBorderDxfId="245">
  <tableColumns count="3">
    <tableColumn id="1" name="Structure" dataDxfId="244"/>
    <tableColumn id="2" name="ID" dataDxfId="243"/>
    <tableColumn id="3" name="Name" dataDxfId="242"/>
  </tableColumns>
  <tableStyleInfo name="TableStyleMedium2" showFirstColumn="0" showLastColumn="0" showRowStripes="1" showColumnStripes="0"/>
</table>
</file>

<file path=xl/tables/table15.xml><?xml version="1.0" encoding="utf-8"?>
<table xmlns="http://schemas.openxmlformats.org/spreadsheetml/2006/main" id="35" name="Table351330323436" displayName="Table351330323436" ref="A2:B13" totalsRowShown="0" headerRowDxfId="241" dataDxfId="239" headerRowBorderDxfId="240" tableBorderDxfId="238" totalsRowBorderDxfId="237">
  <tableColumns count="2">
    <tableColumn id="1" name="Attribute" dataDxfId="236"/>
    <tableColumn id="2" name="Value" dataDxfId="235"/>
  </tableColumns>
  <tableStyleInfo name="TableStyleLight11" showFirstColumn="0" showLastColumn="0" showRowStripes="1" showColumnStripes="0"/>
</table>
</file>

<file path=xl/tables/table16.xml><?xml version="1.0" encoding="utf-8"?>
<table xmlns="http://schemas.openxmlformats.org/spreadsheetml/2006/main" id="36" name="Table51431333537" displayName="Table51431333537" ref="D2:F6" totalsRowShown="0" headerRowDxfId="234" dataDxfId="232" headerRowBorderDxfId="233" tableBorderDxfId="231" totalsRowBorderDxfId="230">
  <tableColumns count="3">
    <tableColumn id="1" name="Structure" dataDxfId="229"/>
    <tableColumn id="2" name="ID" dataDxfId="228"/>
    <tableColumn id="3" name="Name" dataDxfId="227"/>
  </tableColumns>
  <tableStyleInfo name="TableStyleMedium2" showFirstColumn="0" showLastColumn="0" showRowStripes="1" showColumnStripes="0"/>
</table>
</file>

<file path=xl/tables/table17.xml><?xml version="1.0" encoding="utf-8"?>
<table xmlns="http://schemas.openxmlformats.org/spreadsheetml/2006/main" id="31" name="Table35133032" displayName="Table35133032" ref="A2:B13" totalsRowShown="0" headerRowDxfId="226" dataDxfId="224" headerRowBorderDxfId="225" tableBorderDxfId="223" totalsRowBorderDxfId="222">
  <tableColumns count="2">
    <tableColumn id="1" name="Attribute" dataDxfId="221"/>
    <tableColumn id="2" name="Value" dataDxfId="220"/>
  </tableColumns>
  <tableStyleInfo name="TableStyleLight11" showFirstColumn="0" showLastColumn="0" showRowStripes="1" showColumnStripes="0"/>
</table>
</file>

<file path=xl/tables/table18.xml><?xml version="1.0" encoding="utf-8"?>
<table xmlns="http://schemas.openxmlformats.org/spreadsheetml/2006/main" id="32" name="Table5143133" displayName="Table5143133" ref="D2:F6" totalsRowShown="0" headerRowDxfId="219" dataDxfId="217" headerRowBorderDxfId="218" tableBorderDxfId="216" totalsRowBorderDxfId="215">
  <tableColumns count="3">
    <tableColumn id="1" name="Structure" dataDxfId="214"/>
    <tableColumn id="2" name="ID" dataDxfId="213"/>
    <tableColumn id="3" name="Name" dataDxfId="212"/>
  </tableColumns>
  <tableStyleInfo name="TableStyleMedium2" showFirstColumn="0" showLastColumn="0" showRowStripes="1" showColumnStripes="0"/>
</table>
</file>

<file path=xl/tables/table19.xml><?xml version="1.0" encoding="utf-8"?>
<table xmlns="http://schemas.openxmlformats.org/spreadsheetml/2006/main" id="29" name="Table351330" displayName="Table351330" ref="A2:B13" totalsRowShown="0" headerRowDxfId="211" dataDxfId="209" headerRowBorderDxfId="210" tableBorderDxfId="208" totalsRowBorderDxfId="207">
  <tableColumns count="2">
    <tableColumn id="1" name="Attribute" dataDxfId="206"/>
    <tableColumn id="2" name="Value" dataDxfId="205"/>
  </tableColumns>
  <tableStyleInfo name="TableStyleLight11" showFirstColumn="0" showLastColumn="0" showRowStripes="1" showColumnStripes="0"/>
</table>
</file>

<file path=xl/tables/table20.xml><?xml version="1.0" encoding="utf-8"?>
<table xmlns="http://schemas.openxmlformats.org/spreadsheetml/2006/main" id="30" name="Table51431" displayName="Table51431" ref="D2:F6" totalsRowShown="0" headerRowDxfId="204" dataDxfId="202" headerRowBorderDxfId="203" tableBorderDxfId="201" totalsRowBorderDxfId="200">
  <tableColumns count="3">
    <tableColumn id="1" name="Structure" dataDxfId="199"/>
    <tableColumn id="2" name="ID" dataDxfId="198"/>
    <tableColumn id="3" name="Name" dataDxfId="197"/>
  </tableColumns>
  <tableStyleInfo name="TableStyleMedium2" showFirstColumn="0" showLastColumn="0" showRowStripes="1" showColumnStripes="0"/>
</table>
</file>

<file path=xl/tables/table21.xml><?xml version="1.0" encoding="utf-8"?>
<table xmlns="http://schemas.openxmlformats.org/spreadsheetml/2006/main" id="45" name="Table351321273846" displayName="Table351321273846" ref="A2:B13" totalsRowShown="0" headerRowDxfId="196" headerRowBorderDxfId="195" tableBorderDxfId="194" totalsRowBorderDxfId="193">
  <tableColumns count="2">
    <tableColumn id="1" name="Attribute"/>
    <tableColumn id="2" name="Value" dataDxfId="192"/>
  </tableColumns>
  <tableStyleInfo name="TableStyleLight11" showFirstColumn="0" showLastColumn="0" showRowStripes="1" showColumnStripes="0"/>
</table>
</file>

<file path=xl/tables/table22.xml><?xml version="1.0" encoding="utf-8"?>
<table xmlns="http://schemas.openxmlformats.org/spreadsheetml/2006/main" id="46" name="Table51426303947" displayName="Table51426303947" ref="D2:F7" totalsRowShown="0" headerRowDxfId="191" headerRowBorderDxfId="190" tableBorderDxfId="189" totalsRowBorderDxfId="188">
  <tableColumns count="3">
    <tableColumn id="1" name="Structure" dataDxfId="187"/>
    <tableColumn id="2" name="ID" dataDxfId="186"/>
    <tableColumn id="3" name="Name" dataDxfId="185"/>
  </tableColumns>
  <tableStyleInfo name="TableStyleMedium2" showFirstColumn="0" showLastColumn="0" showRowStripes="1" showColumnStripes="0"/>
</table>
</file>

<file path=xl/tables/table23.xml><?xml version="1.0" encoding="utf-8"?>
<table xmlns="http://schemas.openxmlformats.org/spreadsheetml/2006/main" id="39" name="Table351321273840" displayName="Table351321273840" ref="A2:B13" totalsRowShown="0" headerRowDxfId="184" headerRowBorderDxfId="183" tableBorderDxfId="182" totalsRowBorderDxfId="181">
  <tableColumns count="2">
    <tableColumn id="1" name="Attribute"/>
    <tableColumn id="2" name="Value" dataDxfId="180"/>
  </tableColumns>
  <tableStyleInfo name="TableStyleLight11" showFirstColumn="0" showLastColumn="0" showRowStripes="1" showColumnStripes="0"/>
</table>
</file>

<file path=xl/tables/table24.xml><?xml version="1.0" encoding="utf-8"?>
<table xmlns="http://schemas.openxmlformats.org/spreadsheetml/2006/main" id="40" name="Table51426303941" displayName="Table51426303941" ref="D2:F7" totalsRowShown="0" headerRowDxfId="179" headerRowBorderDxfId="178" tableBorderDxfId="177" totalsRowBorderDxfId="176">
  <tableColumns count="3">
    <tableColumn id="1" name="Structure" dataDxfId="175"/>
    <tableColumn id="2" name="ID" dataDxfId="174"/>
    <tableColumn id="3" name="Name" dataDxfId="173"/>
  </tableColumns>
  <tableStyleInfo name="TableStyleMedium2" showFirstColumn="0" showLastColumn="0" showRowStripes="1" showColumnStripes="0"/>
</table>
</file>

<file path=xl/tables/table25.xml><?xml version="1.0" encoding="utf-8"?>
<table xmlns="http://schemas.openxmlformats.org/spreadsheetml/2006/main" id="37" name="Table3513212738" displayName="Table3513212738" ref="A2:B13" totalsRowShown="0" headerRowDxfId="172" headerRowBorderDxfId="171" tableBorderDxfId="170" totalsRowBorderDxfId="169">
  <tableColumns count="2">
    <tableColumn id="1" name="Attribute"/>
    <tableColumn id="2" name="Value" dataDxfId="168"/>
  </tableColumns>
  <tableStyleInfo name="TableStyleLight11" showFirstColumn="0" showLastColumn="0" showRowStripes="1" showColumnStripes="0"/>
</table>
</file>

<file path=xl/tables/table26.xml><?xml version="1.0" encoding="utf-8"?>
<table xmlns="http://schemas.openxmlformats.org/spreadsheetml/2006/main" id="38" name="Table514263039" displayName="Table514263039" ref="D2:F8" totalsRowShown="0" headerRowDxfId="167" headerRowBorderDxfId="166" tableBorderDxfId="165" totalsRowBorderDxfId="164">
  <tableColumns count="3">
    <tableColumn id="1" name="Structure" dataDxfId="163"/>
    <tableColumn id="2" name="ID" dataDxfId="162"/>
    <tableColumn id="3" name="Name" dataDxfId="161"/>
  </tableColumns>
  <tableStyleInfo name="TableStyleMedium2" showFirstColumn="0" showLastColumn="0" showRowStripes="1" showColumnStripes="0"/>
</table>
</file>

<file path=xl/tables/table27.xml><?xml version="1.0" encoding="utf-8"?>
<table xmlns="http://schemas.openxmlformats.org/spreadsheetml/2006/main" id="50" name="Table351321273851" displayName="Table351321273851" ref="A2:B13" totalsRowShown="0" headerRowDxfId="160" headerRowBorderDxfId="159" tableBorderDxfId="158" totalsRowBorderDxfId="157">
  <tableColumns count="2">
    <tableColumn id="1" name="Attribute"/>
    <tableColumn id="2" name="Value" dataDxfId="156"/>
  </tableColumns>
  <tableStyleInfo name="TableStyleLight11" showFirstColumn="0" showLastColumn="0" showRowStripes="1" showColumnStripes="0"/>
</table>
</file>

<file path=xl/tables/table28.xml><?xml version="1.0" encoding="utf-8"?>
<table xmlns="http://schemas.openxmlformats.org/spreadsheetml/2006/main" id="51" name="Table51426303952" displayName="Table51426303952" ref="D2:F8" totalsRowShown="0" headerRowDxfId="155" headerRowBorderDxfId="154" tableBorderDxfId="153" totalsRowBorderDxfId="152">
  <tableColumns count="3">
    <tableColumn id="1" name="Structure" dataDxfId="151"/>
    <tableColumn id="2" name="ID" dataDxfId="150"/>
    <tableColumn id="3" name="Name" dataDxfId="149"/>
  </tableColumns>
  <tableStyleInfo name="TableStyleMedium2" showFirstColumn="0" showLastColumn="0" showRowStripes="1" showColumnStripes="0"/>
</table>
</file>

<file path=xl/tables/table29.xml><?xml version="1.0" encoding="utf-8"?>
<table xmlns="http://schemas.openxmlformats.org/spreadsheetml/2006/main" id="47" name="Table351321273848" displayName="Table351321273848" ref="A2:B13" totalsRowShown="0" headerRowDxfId="148" headerRowBorderDxfId="147" tableBorderDxfId="146" totalsRowBorderDxfId="145">
  <tableColumns count="2">
    <tableColumn id="1" name="Attribute"/>
    <tableColumn id="2" name="Value" dataDxfId="144"/>
  </tableColumns>
  <tableStyleInfo name="TableStyleLight11" showFirstColumn="0" showLastColumn="0" showRowStripes="1" showColumnStripes="0"/>
</table>
</file>

<file path=xl/tables/table30.xml><?xml version="1.0" encoding="utf-8"?>
<table xmlns="http://schemas.openxmlformats.org/spreadsheetml/2006/main" id="48" name="Table51426303949" displayName="Table51426303949" ref="D2:F9" totalsRowShown="0" headerRowDxfId="143" headerRowBorderDxfId="142" tableBorderDxfId="141" totalsRowBorderDxfId="140">
  <tableColumns count="3">
    <tableColumn id="1" name="Structure" dataDxfId="139"/>
    <tableColumn id="2" name="ID" dataDxfId="138"/>
    <tableColumn id="3" name="Name" dataDxfId="137"/>
  </tableColumns>
  <tableStyleInfo name="TableStyleMedium2" showFirstColumn="0" showLastColumn="0" showRowStripes="1" showColumnStripes="0"/>
</table>
</file>

<file path=xl/tables/table31.xml><?xml version="1.0" encoding="utf-8"?>
<table xmlns="http://schemas.openxmlformats.org/spreadsheetml/2006/main" id="5" name="Table35132127" displayName="Table35132127" ref="A2:B13" totalsRowShown="0" headerRowDxfId="136" headerRowBorderDxfId="135" tableBorderDxfId="134" totalsRowBorderDxfId="133">
  <tableColumns count="2">
    <tableColumn id="1" name="Attribute"/>
    <tableColumn id="2" name="Value" dataDxfId="132"/>
  </tableColumns>
  <tableStyleInfo name="TableStyleLight11" showFirstColumn="0" showLastColumn="0" showRowStripes="1" showColumnStripes="0"/>
</table>
</file>

<file path=xl/tables/table32.xml><?xml version="1.0" encoding="utf-8"?>
<table xmlns="http://schemas.openxmlformats.org/spreadsheetml/2006/main" id="6" name="Table5142630" displayName="Table5142630" ref="D2:F7" totalsRowShown="0" headerRowDxfId="131" headerRowBorderDxfId="130" tableBorderDxfId="129" totalsRowBorderDxfId="128">
  <tableColumns count="3">
    <tableColumn id="1" name="Structure" dataDxfId="127"/>
    <tableColumn id="2" name="ID" dataDxfId="126"/>
    <tableColumn id="3" name="Name" dataDxfId="125"/>
  </tableColumns>
  <tableStyleInfo name="TableStyleMedium2" showFirstColumn="0" showLastColumn="0" showRowStripes="1" showColumnStripes="0"/>
</table>
</file>

<file path=xl/tables/table33.xml><?xml version="1.0" encoding="utf-8"?>
<table xmlns="http://schemas.openxmlformats.org/spreadsheetml/2006/main" id="43" name="Table3313234314244" displayName="Table3313234314244" ref="A2:B13" totalsRowShown="0" headerRowDxfId="124" headerRowBorderDxfId="123" tableBorderDxfId="122" totalsRowBorderDxfId="121">
  <tableColumns count="2">
    <tableColumn id="1" name="Attribute"/>
    <tableColumn id="2" name="Value" dataDxfId="120"/>
  </tableColumns>
  <tableStyleInfo name="TableStyleLight11" showFirstColumn="0" showLastColumn="0" showRowStripes="1" showColumnStripes="0"/>
</table>
</file>

<file path=xl/tables/table34.xml><?xml version="1.0" encoding="utf-8"?>
<table xmlns="http://schemas.openxmlformats.org/spreadsheetml/2006/main" id="44" name="Table53335374345" displayName="Table53335374345" ref="D2:F9" totalsRowShown="0" headerRowDxfId="119" headerRowBorderDxfId="118" tableBorderDxfId="117" totalsRowBorderDxfId="116">
  <tableColumns count="3">
    <tableColumn id="1" name="Structure" dataDxfId="115"/>
    <tableColumn id="2" name="ID" dataDxfId="114"/>
    <tableColumn id="3" name="Name" dataDxfId="113"/>
  </tableColumns>
  <tableStyleInfo name="TableStyleMedium2" showFirstColumn="0" showLastColumn="0" showRowStripes="1" showColumnStripes="0"/>
</table>
</file>

<file path=xl/tables/table35.xml><?xml version="1.0" encoding="utf-8"?>
<table xmlns="http://schemas.openxmlformats.org/spreadsheetml/2006/main" id="41" name="Table33132343142" displayName="Table33132343142" ref="A2:B13" totalsRowShown="0" headerRowDxfId="112" headerRowBorderDxfId="111" tableBorderDxfId="110" totalsRowBorderDxfId="109">
  <tableColumns count="2">
    <tableColumn id="1" name="Attribute"/>
    <tableColumn id="2" name="Value" dataDxfId="108"/>
  </tableColumns>
  <tableStyleInfo name="TableStyleLight11" showFirstColumn="0" showLastColumn="0" showRowStripes="1" showColumnStripes="0"/>
</table>
</file>

<file path=xl/tables/table36.xml><?xml version="1.0" encoding="utf-8"?>
<table xmlns="http://schemas.openxmlformats.org/spreadsheetml/2006/main" id="42" name="Table533353743" displayName="Table533353743" ref="D2:F6" totalsRowShown="0" headerRowDxfId="107" headerRowBorderDxfId="106" tableBorderDxfId="105" totalsRowBorderDxfId="104">
  <tableColumns count="3">
    <tableColumn id="1" name="Structure" dataDxfId="103"/>
    <tableColumn id="2" name="ID" dataDxfId="102"/>
    <tableColumn id="3" name="Name" dataDxfId="101"/>
  </tableColumns>
  <tableStyleInfo name="TableStyleMedium2" showFirstColumn="0" showLastColumn="0" showRowStripes="1" showColumnStripes="0"/>
</table>
</file>

<file path=xl/tables/table37.xml><?xml version="1.0" encoding="utf-8"?>
<table xmlns="http://schemas.openxmlformats.org/spreadsheetml/2006/main" id="21" name="Table33132343122" displayName="Table33132343122" ref="A2:B13" totalsRowShown="0" headerRowDxfId="100" headerRowBorderDxfId="99" tableBorderDxfId="98" totalsRowBorderDxfId="97">
  <tableColumns count="2">
    <tableColumn id="1" name="Attribute"/>
    <tableColumn id="2" name="Value" dataDxfId="96"/>
  </tableColumns>
  <tableStyleInfo name="TableStyleLight11" showFirstColumn="0" showLastColumn="0" showRowStripes="1" showColumnStripes="0"/>
</table>
</file>

<file path=xl/tables/table38.xml><?xml version="1.0" encoding="utf-8"?>
<table xmlns="http://schemas.openxmlformats.org/spreadsheetml/2006/main" id="22" name="Table533353723" displayName="Table533353723" ref="D2:F9" totalsRowShown="0" headerRowDxfId="95" headerRowBorderDxfId="94" tableBorderDxfId="93" totalsRowBorderDxfId="92">
  <tableColumns count="3">
    <tableColumn id="1" name="Structure" dataDxfId="91"/>
    <tableColumn id="2" name="ID" dataDxfId="90"/>
    <tableColumn id="3" name="Name" dataDxfId="89"/>
  </tableColumns>
  <tableStyleInfo name="TableStyleMedium2" showFirstColumn="0" showLastColumn="0" showRowStripes="1" showColumnStripes="0"/>
</table>
</file>

<file path=xl/tables/table39.xml><?xml version="1.0" encoding="utf-8"?>
<table xmlns="http://schemas.openxmlformats.org/spreadsheetml/2006/main" id="11" name="Table3313234312212" displayName="Table3313234312212" ref="A2:B13" totalsRowShown="0" headerRowDxfId="88" headerRowBorderDxfId="87" tableBorderDxfId="86" totalsRowBorderDxfId="85">
  <tableColumns count="2">
    <tableColumn id="1" name="Attribute"/>
    <tableColumn id="2" name="Value" dataDxfId="84"/>
  </tableColumns>
  <tableStyleInfo name="TableStyleLight11" showFirstColumn="0" showLastColumn="0" showRowStripes="1" showColumnStripes="0"/>
</table>
</file>

<file path=xl/tables/table40.xml><?xml version="1.0" encoding="utf-8"?>
<table xmlns="http://schemas.openxmlformats.org/spreadsheetml/2006/main" id="12" name="Table53335372313" displayName="Table53335372313" ref="D2:F5" totalsRowShown="0" headerRowDxfId="83" headerRowBorderDxfId="82" tableBorderDxfId="81" totalsRowBorderDxfId="80">
  <tableColumns count="3">
    <tableColumn id="1" name="Structure" dataDxfId="79"/>
    <tableColumn id="2" name="ID" dataDxfId="78"/>
    <tableColumn id="3" name="Name" dataDxfId="77"/>
  </tableColumns>
  <tableStyleInfo name="TableStyleMedium2" showFirstColumn="0" showLastColumn="0" showRowStripes="1" showColumnStripes="0"/>
</table>
</file>

<file path=xl/tables/table41.xml><?xml version="1.0" encoding="utf-8"?>
<table xmlns="http://schemas.openxmlformats.org/spreadsheetml/2006/main" id="3" name="Table33132343157" displayName="Table33132343157" ref="A2:B13" totalsRowShown="0" headerRowDxfId="76" headerRowBorderDxfId="75" tableBorderDxfId="74" totalsRowBorderDxfId="73">
  <tableColumns count="2">
    <tableColumn id="1" name="Attribute"/>
    <tableColumn id="2" name="Value" dataDxfId="72"/>
  </tableColumns>
  <tableStyleInfo name="TableStyleLight11" showFirstColumn="0" showLastColumn="0" showRowStripes="1" showColumnStripes="0"/>
</table>
</file>

<file path=xl/tables/table42.xml><?xml version="1.0" encoding="utf-8"?>
<table xmlns="http://schemas.openxmlformats.org/spreadsheetml/2006/main" id="4" name="Table533353758" displayName="Table533353758" ref="D2:F12" totalsRowShown="0" headerRowBorderDxfId="71" tableBorderDxfId="70" totalsRowBorderDxfId="69">
  <tableColumns count="3">
    <tableColumn id="1" name="Structure" dataDxfId="68"/>
    <tableColumn id="2" name="ID" dataDxfId="67"/>
    <tableColumn id="3" name="Name" dataDxfId="66"/>
  </tableColumns>
  <tableStyleInfo name="TableStyleMedium2" showFirstColumn="0" showLastColumn="0" showRowStripes="1" showColumnStripes="0"/>
</table>
</file>

<file path=xl/tables/table43.xml><?xml version="1.0" encoding="utf-8"?>
<table xmlns="http://schemas.openxmlformats.org/spreadsheetml/2006/main" id="27" name="Table3313234315528" displayName="Table3313234315528" ref="A2:B13" totalsRowShown="0" headerRowDxfId="65" headerRowBorderDxfId="64" tableBorderDxfId="63" totalsRowBorderDxfId="62">
  <tableColumns count="2">
    <tableColumn id="1" name="Attribute"/>
    <tableColumn id="2" name="Value"/>
  </tableColumns>
  <tableStyleInfo name="TableStyleLight11" showFirstColumn="0" showLastColumn="0" showRowStripes="1" showColumnStripes="0"/>
</table>
</file>

<file path=xl/tables/table44.xml><?xml version="1.0" encoding="utf-8"?>
<table xmlns="http://schemas.openxmlformats.org/spreadsheetml/2006/main" id="28" name="Table53335375629" displayName="Table53335375629" ref="D2:F5" totalsRowShown="0" headerRowDxfId="61" headerRowBorderDxfId="60" tableBorderDxfId="59" totalsRowBorderDxfId="58">
  <tableColumns count="3">
    <tableColumn id="1" name="Structure" dataDxfId="57"/>
    <tableColumn id="2" name="ID" dataDxfId="56"/>
    <tableColumn id="3" name="Name" dataDxfId="55"/>
  </tableColumns>
  <tableStyleInfo name="TableStyleMedium2" showFirstColumn="0" showLastColumn="0" showRowStripes="1" showColumnStripes="0"/>
</table>
</file>

<file path=xl/tables/table45.xml><?xml version="1.0" encoding="utf-8"?>
<table xmlns="http://schemas.openxmlformats.org/spreadsheetml/2006/main" id="13" name="Table33132343155" displayName="Table33132343155" ref="A2:B13" totalsRowShown="0" headerRowDxfId="54" headerRowBorderDxfId="53" tableBorderDxfId="52" totalsRowBorderDxfId="51">
  <tableColumns count="2">
    <tableColumn id="1" name="Attribute"/>
    <tableColumn id="2" name="Value"/>
  </tableColumns>
  <tableStyleInfo name="TableStyleLight11" showFirstColumn="0" showLastColumn="0" showRowStripes="1" showColumnStripes="0"/>
</table>
</file>

<file path=xl/tables/table46.xml><?xml version="1.0" encoding="utf-8"?>
<table xmlns="http://schemas.openxmlformats.org/spreadsheetml/2006/main" id="14" name="Table533353756" displayName="Table533353756" ref="D2:F12" totalsRowShown="0" headerRowDxfId="50" headerRowBorderDxfId="49" tableBorderDxfId="48" totalsRowBorderDxfId="47">
  <tableColumns count="3">
    <tableColumn id="1" name="Structure" dataDxfId="46"/>
    <tableColumn id="2" name="ID" dataDxfId="45"/>
    <tableColumn id="3" name="Name" dataDxfId="44"/>
  </tableColumns>
  <tableStyleInfo name="TableStyleMedium2" showFirstColumn="0" showLastColumn="0" showRowStripes="1" showColumnStripes="0"/>
</table>
</file>

<file path=xl/tables/table47.xml><?xml version="1.0" encoding="utf-8"?>
<table xmlns="http://schemas.openxmlformats.org/spreadsheetml/2006/main" id="15" name="Table33132343155596163" displayName="Table33132343155596163" ref="A2:B13" totalsRowShown="0" headerRowDxfId="43" headerRowBorderDxfId="42" tableBorderDxfId="41" totalsRowBorderDxfId="40">
  <tableColumns count="2">
    <tableColumn id="1" name="Attribute"/>
    <tableColumn id="2" name="Value"/>
  </tableColumns>
  <tableStyleInfo name="TableStyleLight11" showFirstColumn="0" showLastColumn="0" showRowStripes="1" showColumnStripes="0"/>
</table>
</file>

<file path=xl/tables/table48.xml><?xml version="1.0" encoding="utf-8"?>
<table xmlns="http://schemas.openxmlformats.org/spreadsheetml/2006/main" id="16" name="Table533353756606264" displayName="Table533353756606264" ref="D2:F7" totalsRowShown="0" headerRowDxfId="39" headerRowBorderDxfId="38" tableBorderDxfId="37" totalsRowBorderDxfId="36">
  <tableColumns count="3">
    <tableColumn id="1" name="Structure" dataDxfId="35"/>
    <tableColumn id="2" name="ID" dataDxfId="34"/>
    <tableColumn id="3" name="Name" dataDxfId="33"/>
  </tableColumns>
  <tableStyleInfo name="TableStyleMedium2" showFirstColumn="0" showLastColumn="0" showRowStripes="1" showColumnStripes="0"/>
</table>
</file>

<file path=xl/tables/table49.xml><?xml version="1.0" encoding="utf-8"?>
<table xmlns="http://schemas.openxmlformats.org/spreadsheetml/2006/main" id="17" name="Table331323431555961" displayName="Table331323431555961" ref="A2:B13" totalsRowShown="0" headerRowDxfId="32" headerRowBorderDxfId="31" tableBorderDxfId="30" totalsRowBorderDxfId="29">
  <tableColumns count="2">
    <tableColumn id="1" name="Attribute"/>
    <tableColumn id="2" name="Value"/>
  </tableColumns>
  <tableStyleInfo name="TableStyleLight11" showFirstColumn="0" showLastColumn="0" showRowStripes="1" showColumnStripes="0"/>
</table>
</file>

<file path=xl/tables/table50.xml><?xml version="1.0" encoding="utf-8"?>
<table xmlns="http://schemas.openxmlformats.org/spreadsheetml/2006/main" id="18" name="Table5333537566062" displayName="Table5333537566062" ref="D2:F7" totalsRowShown="0" headerRowDxfId="28" headerRowBorderDxfId="27" tableBorderDxfId="26" totalsRowBorderDxfId="25">
  <tableColumns count="3">
    <tableColumn id="1" name="Structure" dataDxfId="24"/>
    <tableColumn id="2" name="ID" dataDxfId="23"/>
    <tableColumn id="3" name="Name" dataDxfId="22"/>
  </tableColumns>
  <tableStyleInfo name="TableStyleMedium2" showFirstColumn="0" showLastColumn="0" showRowStripes="1" showColumnStripes="0"/>
</table>
</file>

<file path=xl/tables/table51.xml><?xml version="1.0" encoding="utf-8"?>
<table xmlns="http://schemas.openxmlformats.org/spreadsheetml/2006/main" id="19" name="Table3313234315559" displayName="Table3313234315559" ref="A2:B13" totalsRowShown="0" headerRowDxfId="21" headerRowBorderDxfId="20" tableBorderDxfId="19" totalsRowBorderDxfId="18">
  <tableColumns count="2">
    <tableColumn id="1" name="Attribute"/>
    <tableColumn id="2" name="Value"/>
  </tableColumns>
  <tableStyleInfo name="TableStyleLight11" showFirstColumn="0" showLastColumn="0" showRowStripes="1" showColumnStripes="0"/>
</table>
</file>

<file path=xl/tables/table52.xml><?xml version="1.0" encoding="utf-8"?>
<table xmlns="http://schemas.openxmlformats.org/spreadsheetml/2006/main" id="20" name="Table53335375660" displayName="Table53335375660" ref="D2:F13" totalsRowShown="0" headerRowDxfId="17" headerRowBorderDxfId="16" tableBorderDxfId="15" totalsRowBorderDxfId="14">
  <tableColumns count="3">
    <tableColumn id="1" name="Structure" dataDxfId="13"/>
    <tableColumn id="2" name="ID" dataDxfId="12"/>
    <tableColumn id="3" name="Name" dataDxfId="11"/>
  </tableColumns>
  <tableStyleInfo name="TableStyleMedium2" showFirstColumn="0" showLastColumn="0" showRowStripes="1" showColumnStripes="0"/>
</table>
</file>

<file path=xl/tables/table53.xml><?xml version="1.0" encoding="utf-8"?>
<table xmlns="http://schemas.openxmlformats.org/spreadsheetml/2006/main" id="52" name="Table3313234315553" displayName="Table3313234315553" ref="A2:B13" totalsRowShown="0" headerRowDxfId="10" headerRowBorderDxfId="9" tableBorderDxfId="8" totalsRowBorderDxfId="7">
  <tableColumns count="2">
    <tableColumn id="1" name="Attribute"/>
    <tableColumn id="2" name="Value"/>
  </tableColumns>
  <tableStyleInfo name="TableStyleLight11" showFirstColumn="0" showLastColumn="0" showRowStripes="1" showColumnStripes="0"/>
</table>
</file>

<file path=xl/tables/table54.xml><?xml version="1.0" encoding="utf-8"?>
<table xmlns="http://schemas.openxmlformats.org/spreadsheetml/2006/main" id="53" name="Table53335375654" displayName="Table53335375654" ref="D2:F10" totalsRowShown="0" headerRowDxfId="6" headerRowBorderDxfId="5" tableBorderDxfId="4" totalsRowBorderDxfId="3">
  <tableColumns count="3">
    <tableColumn id="1" name="Structure" dataDxfId="2"/>
    <tableColumn id="2" name="ID" dataDxfId="1"/>
    <tableColumn id="3"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table" Target="../tables/table2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 Target="../tables/table2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table" Target="../tables/table31.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table" Target="../tables/table35.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40.xml"/><Relationship Id="rId2" Type="http://schemas.openxmlformats.org/officeDocument/2006/relationships/table" Target="../tables/table3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table" Target="../tables/table42.xml"/><Relationship Id="rId2" Type="http://schemas.openxmlformats.org/officeDocument/2006/relationships/table" Target="../tables/table4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table" Target="../tables/table44.xml"/><Relationship Id="rId2" Type="http://schemas.openxmlformats.org/officeDocument/2006/relationships/table" Target="../tables/table43.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46.xml"/><Relationship Id="rId2" Type="http://schemas.openxmlformats.org/officeDocument/2006/relationships/table" Target="../tables/table45.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48.xml"/><Relationship Id="rId2" Type="http://schemas.openxmlformats.org/officeDocument/2006/relationships/table" Target="../tables/table47.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table" Target="../tables/table50.xml"/><Relationship Id="rId2" Type="http://schemas.openxmlformats.org/officeDocument/2006/relationships/table" Target="../tables/table4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table" Target="../tables/table52.xml"/><Relationship Id="rId2" Type="http://schemas.openxmlformats.org/officeDocument/2006/relationships/table" Target="../tables/table51.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54.xml"/><Relationship Id="rId2" Type="http://schemas.openxmlformats.org/officeDocument/2006/relationships/table" Target="../tables/table53.x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6"/>
  <sheetViews>
    <sheetView workbookViewId="0">
      <selection activeCell="D19" sqref="D19"/>
    </sheetView>
  </sheetViews>
  <sheetFormatPr defaultRowHeight="15" x14ac:dyDescent="0.25"/>
  <cols>
    <col min="1" max="1" width="14.5703125" style="1" bestFit="1" customWidth="1"/>
    <col min="2" max="2" width="33.42578125" style="1" bestFit="1" customWidth="1"/>
    <col min="3" max="3" width="5.42578125" style="1" customWidth="1"/>
    <col min="4" max="4" width="15.28515625" style="1" bestFit="1" customWidth="1"/>
    <col min="5" max="5" width="13.7109375" style="1" bestFit="1" customWidth="1"/>
    <col min="6" max="6" width="20.42578125" style="1" bestFit="1" customWidth="1"/>
    <col min="7" max="7" width="5.85546875" style="1" bestFit="1" customWidth="1"/>
    <col min="8" max="8" width="23.85546875" style="1" bestFit="1" customWidth="1"/>
    <col min="9" max="9" width="13.2851562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6.5703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388</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388</v>
      </c>
      <c r="C3" s="31"/>
      <c r="D3" s="1" t="s">
        <v>340</v>
      </c>
      <c r="E3" t="s">
        <v>340</v>
      </c>
      <c r="F3" t="s">
        <v>393</v>
      </c>
      <c r="H3" s="20" t="str">
        <f>VLOOKUP(Table53335375656[[#This Row],[Structure]],[1]!Dictionary[#All],3,FALSE)</f>
        <v>Body</v>
      </c>
      <c r="I3" s="19" t="str">
        <f>VLOOKUP(Table53335375656[[#This Row],[Structure]],[1]!Dictionary[#All],4,FALSE)</f>
        <v>BODY</v>
      </c>
      <c r="J3" s="19" t="str">
        <f>VLOOKUP(Table53335375656[[#This Row],[Structure]],[1]!Dictionary[#All],5,FALSE)</f>
        <v>99VMS_STRUCTCODE</v>
      </c>
      <c r="K3" s="18" t="str">
        <f>VLOOKUP(Table53335375656[[#This Row],[Structure]],[1]!Dictionary[#All],6,FALSE)</f>
        <v>1.0</v>
      </c>
      <c r="L3" s="17" t="str">
        <f>VLOOKUP(Table53335375656[[#This Row],[Structure]],[1]!VolumeType[#All],2,FALSE)</f>
        <v>Special</v>
      </c>
      <c r="M3" s="16" t="str">
        <f>VLOOKUP(Table53335375656[[#This Row],[Structure]],[1]!VolumeType[#All],3,FALSE)</f>
        <v>BODY</v>
      </c>
      <c r="N3" s="15" t="str">
        <f>VLOOKUP(Table53335375656[[#This Row],[Structure]],[1]!Colors[#All],3,FALSE)</f>
        <v>z Body</v>
      </c>
      <c r="O3" s="13" t="str">
        <f>IFERROR(VLOOKUP(Table53335375656[[#This Row],[Structure]],[1]!DVH_lines[#Data],2,FALSE),"")</f>
        <v/>
      </c>
      <c r="P3" s="14" t="str">
        <f>IFERROR(VLOOKUP(Table53335375656[[#This Row],[Structure]],[1]!DVH_lines[#Data],3,FALSE),"")</f>
        <v/>
      </c>
      <c r="Q3" s="12" t="str">
        <f>IFERROR(VLOOKUP(Table53335375656[[#This Row],[Structure]],[1]!DVH_lines[#Data],4,FALSE),"")</f>
        <v/>
      </c>
      <c r="R3" s="13">
        <f>IFERROR(VLOOKUP(Table53335375656[[#This Row],[Structure]],[1]!SearchCT[#Data],2,FALSE),"")</f>
        <v>-350</v>
      </c>
      <c r="S3" s="12">
        <f>IFERROR(VLOOKUP(Table53335375656[[#This Row],[Structure]],[1]!SearchCT[#Data],3,FALSE),"")</f>
        <v>-50</v>
      </c>
    </row>
    <row r="4" spans="1:19" x14ac:dyDescent="0.25">
      <c r="A4" s="1" t="s">
        <v>40</v>
      </c>
      <c r="B4" s="1" t="s">
        <v>39</v>
      </c>
      <c r="C4" s="31"/>
      <c r="D4" t="s">
        <v>390</v>
      </c>
      <c r="E4" t="s">
        <v>390</v>
      </c>
      <c r="F4" t="s">
        <v>390</v>
      </c>
      <c r="H4" s="20" t="str">
        <f>VLOOKUP(Table53335375656[[#This Row],[Structure]],[1]!Dictionary[#All],3,FALSE)</f>
        <v>Skin</v>
      </c>
      <c r="I4" s="19">
        <f>VLOOKUP(Table53335375656[[#This Row],[Structure]],[1]!Dictionary[#All],4,FALSE)</f>
        <v>7163</v>
      </c>
      <c r="J4" s="19" t="str">
        <f>VLOOKUP(Table53335375656[[#This Row],[Structure]],[1]!Dictionary[#All],5,FALSE)</f>
        <v>FMA</v>
      </c>
      <c r="K4" s="18" t="str">
        <f>VLOOKUP(Table53335375656[[#This Row],[Structure]],[1]!Dictionary[#All],6,FALSE)</f>
        <v>3.2</v>
      </c>
      <c r="L4" s="17" t="str">
        <f>VLOOKUP(Table53335375656[[#This Row],[Structure]],[1]!VolumeType[#All],2,FALSE)</f>
        <v>Organ</v>
      </c>
      <c r="M4" s="16" t="str">
        <f>VLOOKUP(Table53335375656[[#This Row],[Structure]],[1]!VolumeType[#All],3,FALSE)</f>
        <v>Organ</v>
      </c>
      <c r="N4" s="15" t="str">
        <f>VLOOKUP(Table53335375656[[#This Row],[Structure]],[1]!Colors[#All],3,FALSE)</f>
        <v>z Skin</v>
      </c>
      <c r="O4" s="13" t="str">
        <f>IFERROR(VLOOKUP(Table53335375656[[#This Row],[Structure]],[1]!DVH_lines[#Data],2,FALSE),"")</f>
        <v/>
      </c>
      <c r="P4" s="14" t="str">
        <f>IFERROR(VLOOKUP(Table53335375656[[#This Row],[Structure]],[1]!DVH_lines[#Data],3,FALSE),"")</f>
        <v/>
      </c>
      <c r="Q4" s="12" t="str">
        <f>IFERROR(VLOOKUP(Table53335375656[[#This Row],[Structure]],[1]!DVH_lines[#Data],4,FALSE),"")</f>
        <v/>
      </c>
      <c r="R4" s="13" t="str">
        <f>IFERROR(VLOOKUP(Table53335375656[[#This Row],[Structure]],[1]!SearchCT[#Data],2,FALSE),"")</f>
        <v/>
      </c>
      <c r="S4" s="12" t="str">
        <f>IFERROR(VLOOKUP(Table53335375656[[#This Row],[Structure]],[1]!SearchCT[#Data],3,FALSE),"")</f>
        <v/>
      </c>
    </row>
    <row r="5" spans="1:19" x14ac:dyDescent="0.25">
      <c r="A5" s="1" t="s">
        <v>37</v>
      </c>
      <c r="B5" s="1" t="s">
        <v>398</v>
      </c>
      <c r="C5" s="31"/>
      <c r="D5" t="s">
        <v>391</v>
      </c>
      <c r="E5" t="s">
        <v>392</v>
      </c>
      <c r="F5" t="s">
        <v>392</v>
      </c>
      <c r="H5" s="20" t="str">
        <f>VLOOKUP(Table53335375656[[#This Row],[Structure]],[1]!Dictionary[#All],3,FALSE)</f>
        <v>Bone marrow</v>
      </c>
      <c r="I5" s="19">
        <f>VLOOKUP(Table53335375656[[#This Row],[Structure]],[1]!Dictionary[#All],4,FALSE)</f>
        <v>9608</v>
      </c>
      <c r="J5" s="19" t="str">
        <f>VLOOKUP(Table53335375656[[#This Row],[Structure]],[1]!Dictionary[#All],5,FALSE)</f>
        <v>FMA</v>
      </c>
      <c r="K5" s="18" t="str">
        <f>VLOOKUP(Table53335375656[[#This Row],[Structure]],[1]!Dictionary[#All],6,FALSE)</f>
        <v>3.2</v>
      </c>
      <c r="L5" s="17" t="str">
        <f>VLOOKUP(Table53335375656[[#This Row],[Structure]],[1]!VolumeType[#All],2,FALSE)</f>
        <v>Organ</v>
      </c>
      <c r="M5" s="16" t="str">
        <f>VLOOKUP(Table53335375656[[#This Row],[Structure]],[1]!VolumeType[#All],3,FALSE)</f>
        <v>Organ</v>
      </c>
      <c r="N5" s="15" t="str">
        <f>VLOOKUP(Table53335375656[[#This Row],[Structure]],[1]!Colors[#All],3,FALSE)</f>
        <v>z Bone Marrow</v>
      </c>
      <c r="O5" s="13" t="str">
        <f>IFERROR(VLOOKUP(Table53335375656[[#This Row],[Structure]],[1]!DVH_lines[#Data],2,FALSE),"")</f>
        <v/>
      </c>
      <c r="P5" s="14" t="str">
        <f>IFERROR(VLOOKUP(Table53335375656[[#This Row],[Structure]],[1]!DVH_lines[#Data],3,FALSE),"")</f>
        <v/>
      </c>
      <c r="Q5" s="12" t="str">
        <f>IFERROR(VLOOKUP(Table53335375656[[#This Row],[Structure]],[1]!DVH_lines[#Data],4,FALSE),"")</f>
        <v/>
      </c>
      <c r="R5" s="13" t="str">
        <f>IFERROR(VLOOKUP(Table53335375656[[#This Row],[Structure]],[1]!SearchCT[#Data],2,FALSE),"")</f>
        <v/>
      </c>
      <c r="S5" s="12" t="str">
        <f>IFERROR(VLOOKUP(Table53335375656[[#This Row],[Structure]],[1]!SearchCT[#Data],3,FALSE),"")</f>
        <v/>
      </c>
    </row>
    <row r="6" spans="1:19" x14ac:dyDescent="0.25">
      <c r="A6" s="1" t="s">
        <v>35</v>
      </c>
      <c r="B6" s="1">
        <v>3</v>
      </c>
      <c r="C6" s="31"/>
      <c r="D6" s="1" t="s">
        <v>394</v>
      </c>
      <c r="E6" t="s">
        <v>396</v>
      </c>
      <c r="F6" t="s">
        <v>396</v>
      </c>
      <c r="H6" s="20" t="str">
        <f>VLOOKUP(Table53335375656[[#This Row],[Structure]],[1]!Dictionary[#All],3,FALSE)</f>
        <v>Bone organ</v>
      </c>
      <c r="I6" s="19">
        <f>VLOOKUP(Table53335375656[[#This Row],[Structure]],[1]!Dictionary[#All],4,FALSE)</f>
        <v>5018</v>
      </c>
      <c r="J6" s="19" t="str">
        <f>VLOOKUP(Table53335375656[[#This Row],[Structure]],[1]!Dictionary[#All],5,FALSE)</f>
        <v>FMA</v>
      </c>
      <c r="K6" s="18" t="str">
        <f>VLOOKUP(Table53335375656[[#This Row],[Structure]],[1]!Dictionary[#All],6,FALSE)</f>
        <v>3.2</v>
      </c>
      <c r="L6" s="17" t="str">
        <f>VLOOKUP(Table53335375656[[#This Row],[Structure]],[1]!VolumeType[#All],2,FALSE)</f>
        <v>Special</v>
      </c>
      <c r="M6" s="16" t="str">
        <f>VLOOKUP(Table53335375656[[#This Row],[Structure]],[1]!VolumeType[#All],3,FALSE)</f>
        <v>None</v>
      </c>
      <c r="N6" s="15" t="str">
        <f>VLOOKUP(Table53335375656[[#This Row],[Structure]],[1]!Colors[#All],3,FALSE)</f>
        <v>z Bone Rendering</v>
      </c>
      <c r="O6" s="13" t="str">
        <f>IFERROR(VLOOKUP(Table53335375656[[#This Row],[Structure]],[1]!DVH_lines[#Data],2,FALSE),"")</f>
        <v/>
      </c>
      <c r="P6" s="14" t="str">
        <f>IFERROR(VLOOKUP(Table53335375656[[#This Row],[Structure]],[1]!DVH_lines[#Data],3,FALSE),"")</f>
        <v/>
      </c>
      <c r="Q6" s="12" t="str">
        <f>IFERROR(VLOOKUP(Table53335375656[[#This Row],[Structure]],[1]!DVH_lines[#Data],4,FALSE),"")</f>
        <v/>
      </c>
      <c r="R6" s="13" t="str">
        <f>IFERROR(VLOOKUP(Table53335375656[[#This Row],[Structure]],[1]!SearchCT[#Data],2,FALSE),"")</f>
        <v/>
      </c>
      <c r="S6" s="12" t="str">
        <f>IFERROR(VLOOKUP(Table53335375656[[#This Row],[Structure]],[1]!SearchCT[#Data],3,FALSE),"")</f>
        <v/>
      </c>
    </row>
    <row r="7" spans="1:19" ht="15.75" thickBot="1" x14ac:dyDescent="0.3">
      <c r="A7" s="1" t="s">
        <v>33</v>
      </c>
      <c r="D7" s="1" t="s">
        <v>395</v>
      </c>
      <c r="E7" s="1" t="s">
        <v>395</v>
      </c>
      <c r="F7" t="s">
        <v>397</v>
      </c>
      <c r="H7" s="10" t="str">
        <f>VLOOKUP(Table53335375656[[#This Row],[Structure]],[1]!Dictionary[#All],3,FALSE)</f>
        <v>Undefined Normal Tissue</v>
      </c>
      <c r="I7" s="9" t="str">
        <f>VLOOKUP(Table53335375656[[#This Row],[Structure]],[1]!Dictionary[#All],4,FALSE)</f>
        <v>NormalTissue</v>
      </c>
      <c r="J7" s="9" t="str">
        <f>VLOOKUP(Table53335375656[[#This Row],[Structure]],[1]!Dictionary[#All],5,FALSE)</f>
        <v>99VMS_STRUCTCODE</v>
      </c>
      <c r="K7" s="8" t="str">
        <f>VLOOKUP(Table53335375656[[#This Row],[Structure]],[1]!Dictionary[#All],6,FALSE)</f>
        <v>1.0</v>
      </c>
      <c r="L7" s="7" t="str">
        <f>VLOOKUP(Table53335375656[[#This Row],[Structure]],[1]!VolumeType[#All],2,FALSE)</f>
        <v>Control</v>
      </c>
      <c r="M7" s="6" t="str">
        <f>VLOOKUP(Table53335375656[[#This Row],[Structure]],[1]!VolumeType[#All],3,FALSE)</f>
        <v>Avoidance</v>
      </c>
      <c r="N7" s="5" t="str">
        <f>VLOOKUP(Table53335375656[[#This Row],[Structure]],[1]!Colors[#All],3,FALSE)</f>
        <v>z Normal Tissue</v>
      </c>
      <c r="O7" s="3" t="str">
        <f>IFERROR(VLOOKUP(Table53335375656[[#This Row],[Structure]],[1]!DVH_lines[#Data],2,FALSE),"")</f>
        <v/>
      </c>
      <c r="P7" s="4" t="str">
        <f>IFERROR(VLOOKUP(Table53335375656[[#This Row],[Structure]],[1]!DVH_lines[#Data],3,FALSE),"")</f>
        <v/>
      </c>
      <c r="Q7" s="2" t="str">
        <f>IFERROR(VLOOKUP(Table53335375656[[#This Row],[Structure]],[1]!DVH_lines[#Data],4,FALSE),"")</f>
        <v/>
      </c>
      <c r="R7" s="3" t="str">
        <f>IFERROR(VLOOKUP(Table53335375656[[#This Row],[Structure]],[1]!SearchCT[#Data],2,FALSE),"")</f>
        <v/>
      </c>
      <c r="S7" s="2" t="str">
        <f>IFERROR(VLOOKUP(Table53335375656[[#This Row],[Structure]],[1]!SearchCT[#Data],3,FALSE),"")</f>
        <v/>
      </c>
    </row>
    <row r="8" spans="1:19" x14ac:dyDescent="0.25">
      <c r="A8" s="1" t="s">
        <v>30</v>
      </c>
    </row>
    <row r="9" spans="1:19" x14ac:dyDescent="0.25">
      <c r="A9" s="1" t="s">
        <v>27</v>
      </c>
      <c r="B9" s="1" t="s">
        <v>26</v>
      </c>
    </row>
    <row r="10" spans="1:19" x14ac:dyDescent="0.25">
      <c r="A10" s="1" t="s">
        <v>23</v>
      </c>
      <c r="B10" s="1" t="s">
        <v>22</v>
      </c>
    </row>
    <row r="11" spans="1:19" x14ac:dyDescent="0.25">
      <c r="A11" s="1" t="s">
        <v>19</v>
      </c>
      <c r="B11" s="1" t="s">
        <v>389</v>
      </c>
    </row>
    <row r="12" spans="1:19" x14ac:dyDescent="0.25">
      <c r="A12" s="1" t="s">
        <v>17</v>
      </c>
      <c r="B12" s="1" t="s">
        <v>16</v>
      </c>
    </row>
    <row r="13" spans="1:19" x14ac:dyDescent="0.25">
      <c r="A13" s="1" t="s">
        <v>14</v>
      </c>
      <c r="B13" s="1" t="s">
        <v>13</v>
      </c>
    </row>
    <row r="14" spans="1:19" x14ac:dyDescent="0.25">
      <c r="A14" s="26"/>
      <c r="B14" s="26"/>
    </row>
    <row r="34" spans="4:6" x14ac:dyDescent="0.25">
      <c r="D34"/>
      <c r="F34"/>
    </row>
    <row r="35" spans="4:6" x14ac:dyDescent="0.25">
      <c r="D35"/>
      <c r="F35"/>
    </row>
    <row r="36" spans="4:6" x14ac:dyDescent="0.25">
      <c r="F36"/>
    </row>
    <row r="37" spans="4:6" x14ac:dyDescent="0.25">
      <c r="F37"/>
    </row>
    <row r="38" spans="4:6" x14ac:dyDescent="0.25">
      <c r="F38"/>
    </row>
    <row r="39" spans="4:6" x14ac:dyDescent="0.25">
      <c r="F39"/>
    </row>
    <row r="40" spans="4:6" x14ac:dyDescent="0.25">
      <c r="F40"/>
    </row>
    <row r="41" spans="4:6" x14ac:dyDescent="0.25">
      <c r="F41"/>
    </row>
    <row r="42" spans="4:6" x14ac:dyDescent="0.25">
      <c r="F42"/>
    </row>
    <row r="43" spans="4:6" x14ac:dyDescent="0.25">
      <c r="F43"/>
    </row>
    <row r="44" spans="4:6" x14ac:dyDescent="0.25">
      <c r="F44"/>
    </row>
    <row r="45" spans="4:6" x14ac:dyDescent="0.25">
      <c r="F45"/>
    </row>
    <row r="46" spans="4:6" x14ac:dyDescent="0.25">
      <c r="F4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3"/>
  <sheetViews>
    <sheetView workbookViewId="0">
      <selection activeCell="E16" sqref="E16"/>
    </sheetView>
  </sheetViews>
  <sheetFormatPr defaultRowHeight="15" x14ac:dyDescent="0.25"/>
  <cols>
    <col min="1" max="1" width="14.5703125" style="1" bestFit="1" customWidth="1"/>
    <col min="2" max="2" width="18.140625" style="1" bestFit="1" customWidth="1"/>
    <col min="3" max="3" width="5.42578125" style="1" customWidth="1"/>
    <col min="4" max="5" width="15.140625" style="1" bestFit="1" customWidth="1"/>
    <col min="6" max="6" width="20" style="1" bestFit="1" customWidth="1"/>
    <col min="7" max="7" width="6.7109375" style="1" customWidth="1"/>
    <col min="8" max="8" width="18.5703125" style="1" bestFit="1" customWidth="1"/>
    <col min="9" max="9" width="7.42578125" style="1" customWidth="1"/>
    <col min="10" max="10" width="13.5703125" style="1" bestFit="1" customWidth="1"/>
    <col min="11" max="11" width="21" style="1" bestFit="1" customWidth="1"/>
    <col min="12" max="12" width="9.7109375" style="1" bestFit="1" customWidth="1"/>
    <col min="13" max="13" width="13.28515625" style="1" bestFit="1" customWidth="1"/>
    <col min="14" max="14" width="15.710937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141</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141</v>
      </c>
      <c r="C3" s="31"/>
      <c r="D3" s="32" t="s">
        <v>139</v>
      </c>
      <c r="E3" s="24" t="s">
        <v>140</v>
      </c>
      <c r="F3" s="23" t="s">
        <v>139</v>
      </c>
      <c r="H3" s="20" t="str">
        <f>VLOOKUP(D3,[1]!Dictionary[#All],3,FALSE)</f>
        <v>Brainstem</v>
      </c>
      <c r="I3" s="19">
        <f>VLOOKUP(D3,[1]!Dictionary[#All],4,FALSE)</f>
        <v>79876</v>
      </c>
      <c r="J3" s="19" t="str">
        <f>VLOOKUP(D3,[1]!Dictionary[#All],5,FALSE)</f>
        <v>FMA</v>
      </c>
      <c r="K3" s="18" t="str">
        <f>VLOOKUP(D3,[1]!Dictionary[#All],6,FALSE)</f>
        <v>3.2</v>
      </c>
      <c r="L3" s="17" t="str">
        <f>VLOOKUP(D3,[1]!VolumeType[#All],2,FALSE)</f>
        <v>Organ</v>
      </c>
      <c r="M3" s="16" t="str">
        <f>VLOOKUP(D3,[1]!VolumeType[#All],3,FALSE)</f>
        <v>Organ</v>
      </c>
      <c r="N3" s="15" t="str">
        <f>VLOOKUP(D3,[1]!Colors[#All],3,FALSE)</f>
        <v>z Brain Stem</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1" t="s">
        <v>39</v>
      </c>
      <c r="C4" s="31"/>
      <c r="D4" s="21" t="s">
        <v>138</v>
      </c>
      <c r="E4" s="24" t="s">
        <v>138</v>
      </c>
      <c r="F4" s="23" t="s">
        <v>138</v>
      </c>
      <c r="H4" s="20" t="str">
        <f>VLOOKUP(D4,[1]!Dictionary[#All],3,FALSE)</f>
        <v>Brain</v>
      </c>
      <c r="I4" s="19">
        <f>VLOOKUP(D4,[1]!Dictionary[#All],4,FALSE)</f>
        <v>50801</v>
      </c>
      <c r="J4" s="19" t="str">
        <f>VLOOKUP(D4,[1]!Dictionary[#All],5,FALSE)</f>
        <v>FMA</v>
      </c>
      <c r="K4" s="18" t="str">
        <f>VLOOKUP(D4,[1]!Dictionary[#All],6,FALSE)</f>
        <v>3.2</v>
      </c>
      <c r="L4" s="17" t="str">
        <f>VLOOKUP(D4,[1]!VolumeType[#All],2,FALSE)</f>
        <v>Organ</v>
      </c>
      <c r="M4" s="16" t="str">
        <f>VLOOKUP(D4,[1]!VolumeType[#All],3,FALSE)</f>
        <v>Organ</v>
      </c>
      <c r="N4" s="15" t="str">
        <f>VLOOKUP(D4,[1]!Colors[#All],3,FALSE)</f>
        <v>z Brain</v>
      </c>
      <c r="O4" s="13" t="str">
        <f>IFERROR(VLOOKUP(D4,[1]!DVH_lines[#Data],2,FALSE),"")</f>
        <v/>
      </c>
      <c r="P4" s="14" t="str">
        <f>IFERROR(VLOOKUP(D4,[1]!DVH_lines[#Data],3,FALSE),"")</f>
        <v/>
      </c>
      <c r="Q4" s="12" t="str">
        <f>IFERROR(VLOOKUP(D4,[1]!DVH_lines[#Data],4,FALSE),"")</f>
        <v/>
      </c>
      <c r="R4" s="13">
        <f>IFERROR(VLOOKUP(D4,[1]!SearchCT[#Data],2,FALSE),"")</f>
        <v>10</v>
      </c>
      <c r="S4" s="12">
        <f>IFERROR(VLOOKUP(D4,[1]!SearchCT[#Data],3,FALSE),"")</f>
        <v>50</v>
      </c>
    </row>
    <row r="5" spans="1:19" x14ac:dyDescent="0.25">
      <c r="A5" s="1" t="s">
        <v>37</v>
      </c>
      <c r="B5" s="1" t="s">
        <v>311</v>
      </c>
      <c r="C5" s="31"/>
      <c r="D5" s="21" t="s">
        <v>120</v>
      </c>
      <c r="E5" s="25" t="s">
        <v>120</v>
      </c>
      <c r="F5" s="25" t="s">
        <v>120</v>
      </c>
      <c r="H5" s="20" t="str">
        <f>VLOOKUP(D5,[1]!Dictionary[#All],3,FALSE)</f>
        <v>Pituitary gland</v>
      </c>
      <c r="I5" s="19">
        <f>VLOOKUP(D5,[1]!Dictionary[#All],4,FALSE)</f>
        <v>13889</v>
      </c>
      <c r="J5" s="19" t="str">
        <f>VLOOKUP(D5,[1]!Dictionary[#All],5,FALSE)</f>
        <v>FMA</v>
      </c>
      <c r="K5" s="18" t="str">
        <f>VLOOKUP(D5,[1]!Dictionary[#All],6,FALSE)</f>
        <v>3.2</v>
      </c>
      <c r="L5" s="17" t="str">
        <f>VLOOKUP(D5,[1]!VolumeType[#All],2,FALSE)</f>
        <v>Organ</v>
      </c>
      <c r="M5" s="16" t="str">
        <f>VLOOKUP(D5,[1]!VolumeType[#All],3,FALSE)</f>
        <v>Organ</v>
      </c>
      <c r="N5" s="15" t="str">
        <f>VLOOKUP(D5,[1]!Colors[#All],3,FALSE)</f>
        <v>z Pituitary</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x14ac:dyDescent="0.25">
      <c r="A6" s="1" t="s">
        <v>35</v>
      </c>
      <c r="B6" s="1">
        <v>3</v>
      </c>
      <c r="C6" s="31"/>
      <c r="D6" s="21" t="s">
        <v>119</v>
      </c>
      <c r="E6" s="25" t="s">
        <v>119</v>
      </c>
      <c r="F6" s="25" t="s">
        <v>119</v>
      </c>
      <c r="H6" s="20" t="str">
        <f>VLOOKUP(D6,[1]!Dictionary[#All],3,FALSE)</f>
        <v>Temporal lobe</v>
      </c>
      <c r="I6" s="19">
        <f>VLOOKUP(D6,[1]!Dictionary[#All],4,FALSE)</f>
        <v>61825</v>
      </c>
      <c r="J6" s="19" t="str">
        <f>VLOOKUP(D6,[1]!Dictionary[#All],5,FALSE)</f>
        <v>FMA</v>
      </c>
      <c r="K6" s="18" t="str">
        <f>VLOOKUP(D6,[1]!Dictionary[#All],6,FALSE)</f>
        <v>3.2</v>
      </c>
      <c r="L6" s="17" t="str">
        <f>VLOOKUP(D6,[1]!VolumeType[#All],2,FALSE)</f>
        <v>Organ</v>
      </c>
      <c r="M6" s="16" t="str">
        <f>VLOOKUP(D6,[1]!VolumeType[#All],3,FALSE)</f>
        <v>Organ</v>
      </c>
      <c r="N6" s="15" t="str">
        <f>VLOOKUP(D6,[1]!Colors[#All],3,FALSE)</f>
        <v>zTemporal lobes</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x14ac:dyDescent="0.25">
      <c r="A7" s="1" t="s">
        <v>33</v>
      </c>
      <c r="D7" s="21" t="s">
        <v>304</v>
      </c>
      <c r="E7" s="25" t="s">
        <v>300</v>
      </c>
      <c r="F7" s="25" t="s">
        <v>301</v>
      </c>
      <c r="H7" s="20" t="str">
        <f>VLOOKUP(D7,[1]!Dictionary[#All],3,FALSE)</f>
        <v>Hippocampus</v>
      </c>
      <c r="I7" s="19">
        <f>VLOOKUP(D7,[1]!Dictionary[#All],4,FALSE)</f>
        <v>275020</v>
      </c>
      <c r="J7" s="19" t="str">
        <f>VLOOKUP(D7,[1]!Dictionary[#All],5,FALSE)</f>
        <v>FMA</v>
      </c>
      <c r="K7" s="18" t="str">
        <f>VLOOKUP(D7,[1]!Dictionary[#All],6,FALSE)</f>
        <v>3.2</v>
      </c>
      <c r="L7" s="17" t="str">
        <f>VLOOKUP(D7,[1]!VolumeType[#All],2,FALSE)</f>
        <v>Organ</v>
      </c>
      <c r="M7" s="16" t="str">
        <f>VLOOKUP(D7,[1]!VolumeType[#All],3,FALSE)</f>
        <v>Organ</v>
      </c>
      <c r="N7" s="15" t="str">
        <f>VLOOKUP(D7,[1]!Colors[#All],3,FALSE)</f>
        <v>z Hippocampus B</v>
      </c>
      <c r="O7" s="13" t="str">
        <f>IFERROR(VLOOKUP(D7,[1]!DVH_lines[#Data],2,FALSE),"")</f>
        <v/>
      </c>
      <c r="P7" s="14" t="str">
        <f>IFERROR(VLOOKUP(D7,[1]!DVH_lines[#Data],3,FALSE),"")</f>
        <v/>
      </c>
      <c r="Q7" s="12" t="str">
        <f>IFERROR(VLOOKUP(D7,[1]!DVH_lines[#Data],4,FALSE),"")</f>
        <v/>
      </c>
      <c r="R7" s="13" t="str">
        <f>IFERROR(VLOOKUP(D7,[1]!SearchCT[#Data],2,FALSE),"")</f>
        <v/>
      </c>
      <c r="S7" s="12" t="str">
        <f>IFERROR(VLOOKUP(D7,[1]!SearchCT[#Data],3,FALSE),"")</f>
        <v/>
      </c>
    </row>
    <row r="8" spans="1:19" x14ac:dyDescent="0.25">
      <c r="A8" s="1" t="s">
        <v>30</v>
      </c>
      <c r="D8" s="21" t="s">
        <v>306</v>
      </c>
      <c r="E8" s="25" t="s">
        <v>302</v>
      </c>
      <c r="F8" s="25" t="s">
        <v>307</v>
      </c>
      <c r="H8" s="20" t="str">
        <f>VLOOKUP(D8,[1]!Dictionary[#All],3,FALSE)</f>
        <v>Right hippocampus</v>
      </c>
      <c r="I8" s="19">
        <f>VLOOKUP(D8,[1]!Dictionary[#All],4,FALSE)</f>
        <v>275022</v>
      </c>
      <c r="J8" s="19" t="str">
        <f>VLOOKUP(D8,[1]!Dictionary[#All],5,FALSE)</f>
        <v>FMA</v>
      </c>
      <c r="K8" s="18" t="str">
        <f>VLOOKUP(D8,[1]!Dictionary[#All],6,FALSE)</f>
        <v>3.2</v>
      </c>
      <c r="L8" s="17" t="str">
        <f>VLOOKUP(D8,[1]!VolumeType[#All],2,FALSE)</f>
        <v>Organ</v>
      </c>
      <c r="M8" s="16" t="str">
        <f>VLOOKUP(D8,[1]!VolumeType[#All],3,FALSE)</f>
        <v>Organ</v>
      </c>
      <c r="N8" s="15" t="str">
        <f>VLOOKUP(D8,[1]!Colors[#All],3,FALSE)</f>
        <v>z Hippocampus R</v>
      </c>
      <c r="O8" s="13" t="str">
        <f>IFERROR(VLOOKUP(D8,[1]!DVH_lines[#Data],2,FALSE),"")</f>
        <v/>
      </c>
      <c r="P8" s="14" t="str">
        <f>IFERROR(VLOOKUP(D8,[1]!DVH_lines[#Data],3,FALSE),"")</f>
        <v/>
      </c>
      <c r="Q8" s="12" t="str">
        <f>IFERROR(VLOOKUP(D8,[1]!DVH_lines[#Data],4,FALSE),"")</f>
        <v/>
      </c>
      <c r="R8" s="13" t="str">
        <f>IFERROR(VLOOKUP(D8,[1]!SearchCT[#Data],2,FALSE),"")</f>
        <v/>
      </c>
      <c r="S8" s="12" t="str">
        <f>IFERROR(VLOOKUP(D8,[1]!SearchCT[#Data],3,FALSE),"")</f>
        <v/>
      </c>
    </row>
    <row r="9" spans="1:19" ht="15.75" thickBot="1" x14ac:dyDescent="0.3">
      <c r="A9" s="1" t="s">
        <v>27</v>
      </c>
      <c r="B9" s="1" t="s">
        <v>26</v>
      </c>
      <c r="D9" s="21" t="s">
        <v>305</v>
      </c>
      <c r="E9" s="25" t="s">
        <v>303</v>
      </c>
      <c r="F9" s="25" t="s">
        <v>308</v>
      </c>
      <c r="H9" s="10" t="str">
        <f>VLOOKUP(D9,[1]!Dictionary[#All],3,FALSE)</f>
        <v>Left hippocampus</v>
      </c>
      <c r="I9" s="9">
        <f>VLOOKUP(D9,[1]!Dictionary[#All],4,FALSE)</f>
        <v>275024</v>
      </c>
      <c r="J9" s="9" t="str">
        <f>VLOOKUP(D9,[1]!Dictionary[#All],5,FALSE)</f>
        <v>FMA</v>
      </c>
      <c r="K9" s="8" t="str">
        <f>VLOOKUP(D9,[1]!Dictionary[#All],6,FALSE)</f>
        <v>3.2</v>
      </c>
      <c r="L9" s="7" t="str">
        <f>VLOOKUP(D9,[1]!VolumeType[#All],2,FALSE)</f>
        <v>Organ</v>
      </c>
      <c r="M9" s="6" t="str">
        <f>VLOOKUP(D9,[1]!VolumeType[#All],3,FALSE)</f>
        <v>Organ</v>
      </c>
      <c r="N9" s="5" t="str">
        <f>VLOOKUP(D9,[1]!Colors[#All],3,FALSE)</f>
        <v>z Hippocampus L</v>
      </c>
      <c r="O9" s="3" t="str">
        <f>IFERROR(VLOOKUP(D9,[1]!DVH_lines[#Data],2,FALSE),"")</f>
        <v/>
      </c>
      <c r="P9" s="4" t="str">
        <f>IFERROR(VLOOKUP(D9,[1]!DVH_lines[#Data],3,FALSE),"")</f>
        <v/>
      </c>
      <c r="Q9" s="2" t="str">
        <f>IFERROR(VLOOKUP(D9,[1]!DVH_lines[#Data],4,FALSE),"")</f>
        <v/>
      </c>
      <c r="R9" s="3" t="str">
        <f>IFERROR(VLOOKUP(D9,[1]!SearchCT[#Data],2,FALSE),"")</f>
        <v/>
      </c>
      <c r="S9" s="2" t="str">
        <f>IFERROR(VLOOKUP(D9,[1]!SearchCT[#Data],3,FALSE),"")</f>
        <v/>
      </c>
    </row>
    <row r="10" spans="1:19" x14ac:dyDescent="0.25">
      <c r="A10" s="1" t="s">
        <v>23</v>
      </c>
      <c r="B10" s="1" t="s">
        <v>22</v>
      </c>
    </row>
    <row r="11" spans="1:19" x14ac:dyDescent="0.25">
      <c r="A11" s="1" t="s">
        <v>19</v>
      </c>
      <c r="B11" s="1" t="s">
        <v>123</v>
      </c>
    </row>
    <row r="12" spans="1:19" x14ac:dyDescent="0.25">
      <c r="A12" s="1" t="s">
        <v>17</v>
      </c>
      <c r="B12" s="1" t="s">
        <v>16</v>
      </c>
    </row>
    <row r="13" spans="1:19" x14ac:dyDescent="0.25">
      <c r="A13" s="1" t="s">
        <v>14</v>
      </c>
      <c r="B13" s="1" t="s">
        <v>13</v>
      </c>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3"/>
  <sheetViews>
    <sheetView workbookViewId="0">
      <selection activeCell="G28" sqref="G28"/>
    </sheetView>
  </sheetViews>
  <sheetFormatPr defaultRowHeight="15" x14ac:dyDescent="0.25"/>
  <cols>
    <col min="1" max="1" width="14.5703125" style="1" bestFit="1" customWidth="1"/>
    <col min="2" max="2" width="18.140625" style="1" bestFit="1" customWidth="1"/>
    <col min="3" max="3" width="5.42578125" style="1" customWidth="1"/>
    <col min="4" max="5" width="15.140625" style="1" bestFit="1" customWidth="1"/>
    <col min="6" max="6" width="20" style="1" bestFit="1" customWidth="1"/>
    <col min="7" max="7" width="6.7109375" style="1" customWidth="1"/>
    <col min="8" max="8" width="18.5703125" style="1" bestFit="1" customWidth="1"/>
    <col min="9" max="9" width="7.42578125" style="1" customWidth="1"/>
    <col min="10" max="10" width="13.5703125" style="1" bestFit="1" customWidth="1"/>
    <col min="11" max="11" width="21" style="1" bestFit="1" customWidth="1"/>
    <col min="12" max="12" width="9.7109375" style="1" bestFit="1" customWidth="1"/>
    <col min="13" max="13" width="13.28515625" style="1" bestFit="1" customWidth="1"/>
    <col min="14" max="14" width="15.710937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310</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310</v>
      </c>
      <c r="C3" s="31"/>
      <c r="D3" s="21" t="s">
        <v>132</v>
      </c>
      <c r="E3" s="25" t="s">
        <v>133</v>
      </c>
      <c r="F3" s="25" t="s">
        <v>132</v>
      </c>
      <c r="H3" s="20" t="str">
        <f>VLOOKUP(D3,[1]!Dictionary[#All],3,FALSE)</f>
        <v>Optic chiasm</v>
      </c>
      <c r="I3" s="19">
        <f>VLOOKUP(D3,[1]!Dictionary[#All],4,FALSE)</f>
        <v>62045</v>
      </c>
      <c r="J3" s="19" t="str">
        <f>VLOOKUP(D3,[1]!Dictionary[#All],5,FALSE)</f>
        <v>FMA</v>
      </c>
      <c r="K3" s="18" t="str">
        <f>VLOOKUP(D3,[1]!Dictionary[#All],6,FALSE)</f>
        <v>3.2</v>
      </c>
      <c r="L3" s="17" t="str">
        <f>VLOOKUP(D3,[1]!VolumeType[#All],2,FALSE)</f>
        <v>Organ</v>
      </c>
      <c r="M3" s="16" t="str">
        <f>VLOOKUP(D3,[1]!VolumeType[#All],3,FALSE)</f>
        <v>Organ</v>
      </c>
      <c r="N3" s="15" t="str">
        <f>VLOOKUP(D3,[1]!Colors[#All],3,FALSE)</f>
        <v>z Optic Chiasm</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1" t="s">
        <v>39</v>
      </c>
      <c r="C4" s="31"/>
      <c r="D4" s="21" t="s">
        <v>131</v>
      </c>
      <c r="E4" s="25" t="s">
        <v>130</v>
      </c>
      <c r="F4" s="25" t="s">
        <v>129</v>
      </c>
      <c r="H4" s="20" t="str">
        <f>VLOOKUP(D4,[1]!Dictionary[#All],3,FALSE)</f>
        <v>Left optic nerve</v>
      </c>
      <c r="I4" s="19">
        <f>VLOOKUP(D4,[1]!Dictionary[#All],4,FALSE)</f>
        <v>50878</v>
      </c>
      <c r="J4" s="19" t="str">
        <f>VLOOKUP(D4,[1]!Dictionary[#All],5,FALSE)</f>
        <v>FMA</v>
      </c>
      <c r="K4" s="18" t="str">
        <f>VLOOKUP(D4,[1]!Dictionary[#All],6,FALSE)</f>
        <v>3.2</v>
      </c>
      <c r="L4" s="17" t="str">
        <f>VLOOKUP(D4,[1]!VolumeType[#All],2,FALSE)</f>
        <v>Organ</v>
      </c>
      <c r="M4" s="16" t="str">
        <f>VLOOKUP(D4,[1]!VolumeType[#All],3,FALSE)</f>
        <v>Organ</v>
      </c>
      <c r="N4" s="15" t="str">
        <f>VLOOKUP(D4,[1]!Colors[#All],3,FALSE)</f>
        <v>z Optic Nerve L</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1" t="s">
        <v>312</v>
      </c>
      <c r="C5" s="31"/>
      <c r="D5" s="21" t="s">
        <v>128</v>
      </c>
      <c r="E5" s="25" t="s">
        <v>127</v>
      </c>
      <c r="F5" s="25" t="s">
        <v>126</v>
      </c>
      <c r="H5" s="20" t="str">
        <f>VLOOKUP(D5,[1]!Dictionary[#All],3,FALSE)</f>
        <v>Right optic nerve</v>
      </c>
      <c r="I5" s="19">
        <f>VLOOKUP(D5,[1]!Dictionary[#All],4,FALSE)</f>
        <v>50875</v>
      </c>
      <c r="J5" s="19" t="str">
        <f>VLOOKUP(D5,[1]!Dictionary[#All],5,FALSE)</f>
        <v>FMA</v>
      </c>
      <c r="K5" s="18" t="str">
        <f>VLOOKUP(D5,[1]!Dictionary[#All],6,FALSE)</f>
        <v>3.2</v>
      </c>
      <c r="L5" s="17" t="str">
        <f>VLOOKUP(D5,[1]!VolumeType[#All],2,FALSE)</f>
        <v>Organ</v>
      </c>
      <c r="M5" s="16" t="str">
        <f>VLOOKUP(D5,[1]!VolumeType[#All],3,FALSE)</f>
        <v>Organ</v>
      </c>
      <c r="N5" s="15" t="str">
        <f>VLOOKUP(D5,[1]!Colors[#All],3,FALSE)</f>
        <v>z Optic Nerve R</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ht="15.75" thickBot="1" x14ac:dyDescent="0.3">
      <c r="A6" s="1" t="s">
        <v>35</v>
      </c>
      <c r="B6" s="1">
        <v>3</v>
      </c>
      <c r="C6" s="31"/>
      <c r="D6" s="70" t="s">
        <v>299</v>
      </c>
      <c r="E6" s="1" t="s">
        <v>298</v>
      </c>
      <c r="F6" s="1" t="s">
        <v>298</v>
      </c>
      <c r="H6" s="10" t="str">
        <f>VLOOKUP(D6,[1]!Dictionary[#All],3,FALSE)</f>
        <v>Set of optic nerves</v>
      </c>
      <c r="I6" s="9">
        <f>VLOOKUP(D6,[1]!Dictionary[#All],4,FALSE)</f>
        <v>264799</v>
      </c>
      <c r="J6" s="9" t="str">
        <f>VLOOKUP(D6,[1]!Dictionary[#All],5,FALSE)</f>
        <v>FMA</v>
      </c>
      <c r="K6" s="8" t="str">
        <f>VLOOKUP(D6,[1]!Dictionary[#All],6,FALSE)</f>
        <v>3.2</v>
      </c>
      <c r="L6" s="7" t="str">
        <f>VLOOKUP(D6,[1]!VolumeType[#All],2,FALSE)</f>
        <v>Organ</v>
      </c>
      <c r="M6" s="6" t="str">
        <f>VLOOKUP(D6,[1]!VolumeType[#All],3,FALSE)</f>
        <v>Organ</v>
      </c>
      <c r="N6" s="5" t="str">
        <f>VLOOKUP(D6,[1]!Colors[#All],3,FALSE)</f>
        <v>z Ovary R</v>
      </c>
      <c r="O6" s="3" t="str">
        <f>IFERROR(VLOOKUP(D6,[1]!DVH_lines[#Data],2,FALSE),"")</f>
        <v/>
      </c>
      <c r="P6" s="4" t="str">
        <f>IFERROR(VLOOKUP(D6,[1]!DVH_lines[#Data],3,FALSE),"")</f>
        <v/>
      </c>
      <c r="Q6" s="2" t="str">
        <f>IFERROR(VLOOKUP(D6,[1]!DVH_lines[#Data],4,FALSE),"")</f>
        <v/>
      </c>
      <c r="R6" s="3" t="str">
        <f>IFERROR(VLOOKUP(D6,[1]!SearchCT[#Data],2,FALSE),"")</f>
        <v/>
      </c>
      <c r="S6" s="2" t="str">
        <f>IFERROR(VLOOKUP(D6,[1]!SearchCT[#Data],3,FALSE),"")</f>
        <v/>
      </c>
    </row>
    <row r="7" spans="1:19" x14ac:dyDescent="0.25">
      <c r="A7" s="1" t="s">
        <v>33</v>
      </c>
    </row>
    <row r="8" spans="1:19" x14ac:dyDescent="0.25">
      <c r="A8" s="1" t="s">
        <v>30</v>
      </c>
    </row>
    <row r="9" spans="1:19" x14ac:dyDescent="0.25">
      <c r="A9" s="1" t="s">
        <v>27</v>
      </c>
      <c r="B9" s="1" t="s">
        <v>26</v>
      </c>
    </row>
    <row r="10" spans="1:19" x14ac:dyDescent="0.25">
      <c r="A10" s="1" t="s">
        <v>23</v>
      </c>
      <c r="B10" s="1" t="s">
        <v>22</v>
      </c>
    </row>
    <row r="11" spans="1:19" x14ac:dyDescent="0.25">
      <c r="A11" s="1" t="s">
        <v>19</v>
      </c>
      <c r="B11" s="1" t="s">
        <v>309</v>
      </c>
    </row>
    <row r="12" spans="1:19" x14ac:dyDescent="0.25">
      <c r="A12" s="1" t="s">
        <v>17</v>
      </c>
      <c r="B12" s="1" t="s">
        <v>16</v>
      </c>
    </row>
    <row r="13" spans="1:19" x14ac:dyDescent="0.25">
      <c r="A13" s="1" t="s">
        <v>14</v>
      </c>
      <c r="B13" s="1" t="s">
        <v>13</v>
      </c>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3"/>
  <sheetViews>
    <sheetView workbookViewId="0">
      <selection activeCell="D11" sqref="D11:F22"/>
    </sheetView>
  </sheetViews>
  <sheetFormatPr defaultRowHeight="15" x14ac:dyDescent="0.25"/>
  <cols>
    <col min="1" max="1" width="14.5703125" style="1" bestFit="1" customWidth="1"/>
    <col min="2" max="2" width="18.140625" style="1" bestFit="1" customWidth="1"/>
    <col min="3" max="3" width="5.42578125" style="1" customWidth="1"/>
    <col min="4" max="5" width="15.140625" style="1" bestFit="1" customWidth="1"/>
    <col min="6" max="6" width="20" style="1" bestFit="1" customWidth="1"/>
    <col min="7" max="7" width="6.7109375" style="1" customWidth="1"/>
    <col min="8" max="8" width="18.5703125" style="1" bestFit="1" customWidth="1"/>
    <col min="9" max="9" width="6"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5.710937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255</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255</v>
      </c>
      <c r="C3" s="31"/>
      <c r="D3" s="50" t="s">
        <v>137</v>
      </c>
      <c r="E3" s="25" t="s">
        <v>137</v>
      </c>
      <c r="F3" s="25" t="s">
        <v>136</v>
      </c>
      <c r="H3" s="20" t="str">
        <f>VLOOKUP(D3,[1]!Dictionary[#All],3,FALSE)</f>
        <v>Left lens</v>
      </c>
      <c r="I3" s="19">
        <f>VLOOKUP(D3,[1]!Dictionary[#All],4,FALSE)</f>
        <v>58243</v>
      </c>
      <c r="J3" s="19" t="str">
        <f>VLOOKUP(D3,[1]!Dictionary[#All],5,FALSE)</f>
        <v>FMA</v>
      </c>
      <c r="K3" s="18" t="str">
        <f>VLOOKUP(D3,[1]!Dictionary[#All],6,FALSE)</f>
        <v>3.2</v>
      </c>
      <c r="L3" s="17" t="str">
        <f>VLOOKUP(D3,[1]!VolumeType[#All],2,FALSE)</f>
        <v>Organ</v>
      </c>
      <c r="M3" s="16" t="str">
        <f>VLOOKUP(D3,[1]!VolumeType[#All],3,FALSE)</f>
        <v>Organ</v>
      </c>
      <c r="N3" s="15" t="str">
        <f>VLOOKUP(D3,[1]!Colors[#All],3,FALSE)</f>
        <v>z Lens L</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1" t="s">
        <v>39</v>
      </c>
      <c r="C4" s="31"/>
      <c r="D4" s="50" t="s">
        <v>135</v>
      </c>
      <c r="E4" s="24" t="s">
        <v>135</v>
      </c>
      <c r="F4" s="25" t="s">
        <v>134</v>
      </c>
      <c r="H4" s="20" t="str">
        <f>VLOOKUP(D4,[1]!Dictionary[#All],3,FALSE)</f>
        <v>Right lens</v>
      </c>
      <c r="I4" s="19">
        <f>VLOOKUP(D4,[1]!Dictionary[#All],4,FALSE)</f>
        <v>58242</v>
      </c>
      <c r="J4" s="19" t="str">
        <f>VLOOKUP(D4,[1]!Dictionary[#All],5,FALSE)</f>
        <v>FMA</v>
      </c>
      <c r="K4" s="18" t="str">
        <f>VLOOKUP(D4,[1]!Dictionary[#All],6,FALSE)</f>
        <v>3.2</v>
      </c>
      <c r="L4" s="17" t="str">
        <f>VLOOKUP(D4,[1]!VolumeType[#All],2,FALSE)</f>
        <v>Organ</v>
      </c>
      <c r="M4" s="16" t="str">
        <f>VLOOKUP(D4,[1]!VolumeType[#All],3,FALSE)</f>
        <v>Organ</v>
      </c>
      <c r="N4" s="15" t="str">
        <f>VLOOKUP(D4,[1]!Colors[#All],3,FALSE)</f>
        <v>z Lens R</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1" t="s">
        <v>297</v>
      </c>
      <c r="C5" s="31"/>
      <c r="D5" s="21" t="s">
        <v>125</v>
      </c>
      <c r="E5" s="25" t="s">
        <v>125</v>
      </c>
      <c r="F5" s="25" t="s">
        <v>124</v>
      </c>
      <c r="H5" s="20" t="str">
        <f>VLOOKUP(D5,[1]!Dictionary[#All],3,FALSE)</f>
        <v>Left eyeball</v>
      </c>
      <c r="I5" s="19">
        <f>VLOOKUP(D5,[1]!Dictionary[#All],4,FALSE)</f>
        <v>12515</v>
      </c>
      <c r="J5" s="19" t="str">
        <f>VLOOKUP(D5,[1]!Dictionary[#All],5,FALSE)</f>
        <v>FMA</v>
      </c>
      <c r="K5" s="18" t="str">
        <f>VLOOKUP(D5,[1]!Dictionary[#All],6,FALSE)</f>
        <v>3.2</v>
      </c>
      <c r="L5" s="17" t="str">
        <f>VLOOKUP(D5,[1]!VolumeType[#All],2,FALSE)</f>
        <v>Organ</v>
      </c>
      <c r="M5" s="16" t="str">
        <f>VLOOKUP(D5,[1]!VolumeType[#All],3,FALSE)</f>
        <v>Organ</v>
      </c>
      <c r="N5" s="15" t="str">
        <f>VLOOKUP(D5,[1]!Colors[#All],3,FALSE)</f>
        <v>z Orbit L</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x14ac:dyDescent="0.25">
      <c r="A6" s="1" t="s">
        <v>35</v>
      </c>
      <c r="B6" s="1">
        <v>3</v>
      </c>
      <c r="C6" s="31"/>
      <c r="D6" s="21" t="s">
        <v>122</v>
      </c>
      <c r="E6" s="25" t="s">
        <v>122</v>
      </c>
      <c r="F6" s="25" t="s">
        <v>121</v>
      </c>
      <c r="H6" s="20" t="str">
        <f>VLOOKUP(D6,[1]!Dictionary[#All],3,FALSE)</f>
        <v>Right eyeball</v>
      </c>
      <c r="I6" s="19">
        <f>VLOOKUP(D6,[1]!Dictionary[#All],4,FALSE)</f>
        <v>12514</v>
      </c>
      <c r="J6" s="19" t="str">
        <f>VLOOKUP(D6,[1]!Dictionary[#All],5,FALSE)</f>
        <v>FMA</v>
      </c>
      <c r="K6" s="18" t="str">
        <f>VLOOKUP(D6,[1]!Dictionary[#All],6,FALSE)</f>
        <v>3.2</v>
      </c>
      <c r="L6" s="17" t="str">
        <f>VLOOKUP(D6,[1]!VolumeType[#All],2,FALSE)</f>
        <v>Organ</v>
      </c>
      <c r="M6" s="16" t="str">
        <f>VLOOKUP(D6,[1]!VolumeType[#All],3,FALSE)</f>
        <v>Organ</v>
      </c>
      <c r="N6" s="15" t="str">
        <f>VLOOKUP(D6,[1]!Colors[#All],3,FALSE)</f>
        <v>z Orbit R</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x14ac:dyDescent="0.25">
      <c r="A7" s="1" t="s">
        <v>33</v>
      </c>
      <c r="D7" s="21" t="s">
        <v>118</v>
      </c>
      <c r="E7" s="25" t="s">
        <v>118</v>
      </c>
      <c r="F7" s="25" t="s">
        <v>117</v>
      </c>
      <c r="H7" s="20" t="str">
        <f>VLOOKUP(D7,[1]!Dictionary[#All],3,FALSE)</f>
        <v>Lacrimal gland</v>
      </c>
      <c r="I7" s="19">
        <f>VLOOKUP(D7,[1]!Dictionary[#All],4,FALSE)</f>
        <v>59101</v>
      </c>
      <c r="J7" s="19" t="str">
        <f>VLOOKUP(D7,[1]!Dictionary[#All],5,FALSE)</f>
        <v>FMA</v>
      </c>
      <c r="K7" s="18" t="str">
        <f>VLOOKUP(D7,[1]!Dictionary[#All],6,FALSE)</f>
        <v>3.2</v>
      </c>
      <c r="L7" s="17" t="str">
        <f>VLOOKUP(D7,[1]!VolumeType[#All],2,FALSE)</f>
        <v>Organ</v>
      </c>
      <c r="M7" s="16" t="str">
        <f>VLOOKUP(D7,[1]!VolumeType[#All],3,FALSE)</f>
        <v>Organ</v>
      </c>
      <c r="N7" s="15" t="str">
        <f>VLOOKUP(D7,[1]!Colors[#All],3,FALSE)</f>
        <v>z Parotid B</v>
      </c>
      <c r="O7" s="13" t="str">
        <f>IFERROR(VLOOKUP(D7,[1]!DVH_lines[#Data],2,FALSE),"")</f>
        <v/>
      </c>
      <c r="P7" s="14" t="str">
        <f>IFERROR(VLOOKUP(D7,[1]!DVH_lines[#Data],3,FALSE),"")</f>
        <v/>
      </c>
      <c r="Q7" s="12" t="str">
        <f>IFERROR(VLOOKUP(D7,[1]!DVH_lines[#Data],4,FALSE),"")</f>
        <v/>
      </c>
      <c r="R7" s="13" t="str">
        <f>IFERROR(VLOOKUP(D7,[1]!SearchCT[#Data],2,FALSE),"")</f>
        <v/>
      </c>
      <c r="S7" s="12" t="str">
        <f>IFERROR(VLOOKUP(D7,[1]!SearchCT[#Data],3,FALSE),"")</f>
        <v/>
      </c>
    </row>
    <row r="8" spans="1:19" x14ac:dyDescent="0.25">
      <c r="A8" s="1" t="s">
        <v>30</v>
      </c>
      <c r="D8" s="21" t="s">
        <v>116</v>
      </c>
      <c r="E8" s="25" t="s">
        <v>116</v>
      </c>
      <c r="F8" s="25" t="s">
        <v>115</v>
      </c>
      <c r="H8" s="20" t="str">
        <f>VLOOKUP(D8,[1]!Dictionary[#All],3,FALSE)</f>
        <v>Left lacrimal gland</v>
      </c>
      <c r="I8" s="19">
        <f>VLOOKUP(D8,[1]!Dictionary[#All],4,FALSE)</f>
        <v>59103</v>
      </c>
      <c r="J8" s="19" t="str">
        <f>VLOOKUP(D8,[1]!Dictionary[#All],5,FALSE)</f>
        <v>FMA</v>
      </c>
      <c r="K8" s="18" t="str">
        <f>VLOOKUP(D8,[1]!Dictionary[#All],6,FALSE)</f>
        <v>3.2</v>
      </c>
      <c r="L8" s="17" t="str">
        <f>VLOOKUP(D8,[1]!VolumeType[#All],2,FALSE)</f>
        <v>Organ</v>
      </c>
      <c r="M8" s="16" t="str">
        <f>VLOOKUP(D8,[1]!VolumeType[#All],3,FALSE)</f>
        <v>Organ</v>
      </c>
      <c r="N8" s="15" t="str">
        <f>VLOOKUP(D8,[1]!Colors[#All],3,FALSE)</f>
        <v>z Parotid L</v>
      </c>
      <c r="O8" s="13" t="str">
        <f>IFERROR(VLOOKUP(D8,[1]!DVH_lines[#Data],2,FALSE),"")</f>
        <v/>
      </c>
      <c r="P8" s="14" t="str">
        <f>IFERROR(VLOOKUP(D8,[1]!DVH_lines[#Data],3,FALSE),"")</f>
        <v/>
      </c>
      <c r="Q8" s="12" t="str">
        <f>IFERROR(VLOOKUP(D8,[1]!DVH_lines[#Data],4,FALSE),"")</f>
        <v/>
      </c>
      <c r="R8" s="13" t="str">
        <f>IFERROR(VLOOKUP(D8,[1]!SearchCT[#Data],2,FALSE),"")</f>
        <v/>
      </c>
      <c r="S8" s="12" t="str">
        <f>IFERROR(VLOOKUP(D8,[1]!SearchCT[#Data],3,FALSE),"")</f>
        <v/>
      </c>
    </row>
    <row r="9" spans="1:19" ht="15.75" thickBot="1" x14ac:dyDescent="0.3">
      <c r="A9" s="1" t="s">
        <v>27</v>
      </c>
      <c r="B9" s="1" t="s">
        <v>26</v>
      </c>
      <c r="D9" s="11" t="s">
        <v>114</v>
      </c>
      <c r="E9" s="22" t="s">
        <v>114</v>
      </c>
      <c r="F9" s="22" t="s">
        <v>113</v>
      </c>
      <c r="H9" s="10" t="str">
        <f>VLOOKUP(D9,[1]!Dictionary[#All],3,FALSE)</f>
        <v>Right lacrimal gland</v>
      </c>
      <c r="I9" s="9" t="str">
        <f>VLOOKUP(D9,[1]!Dictionary[#All],4,FALSE)</f>
        <v>59102</v>
      </c>
      <c r="J9" s="9" t="str">
        <f>VLOOKUP(D9,[1]!Dictionary[#All],5,FALSE)</f>
        <v>FMA</v>
      </c>
      <c r="K9" s="8" t="str">
        <f>VLOOKUP(D9,[1]!Dictionary[#All],6,FALSE)</f>
        <v>3.2</v>
      </c>
      <c r="L9" s="7" t="str">
        <f>VLOOKUP(D9,[1]!VolumeType[#All],2,FALSE)</f>
        <v>Organ</v>
      </c>
      <c r="M9" s="6" t="str">
        <f>VLOOKUP(D9,[1]!VolumeType[#All],3,FALSE)</f>
        <v>Organ</v>
      </c>
      <c r="N9" s="5" t="str">
        <f>VLOOKUP(D9,[1]!Colors[#All],3,FALSE)</f>
        <v>z Parotid R</v>
      </c>
      <c r="O9" s="3" t="str">
        <f>IFERROR(VLOOKUP(D9,[1]!DVH_lines[#Data],2,FALSE),"")</f>
        <v/>
      </c>
      <c r="P9" s="4" t="str">
        <f>IFERROR(VLOOKUP(D9,[1]!DVH_lines[#Data],3,FALSE),"")</f>
        <v/>
      </c>
      <c r="Q9" s="2" t="str">
        <f>IFERROR(VLOOKUP(D9,[1]!DVH_lines[#Data],4,FALSE),"")</f>
        <v/>
      </c>
      <c r="R9" s="3" t="str">
        <f>IFERROR(VLOOKUP(D9,[1]!SearchCT[#Data],2,FALSE),"")</f>
        <v/>
      </c>
      <c r="S9" s="2" t="str">
        <f>IFERROR(VLOOKUP(D9,[1]!SearchCT[#Data],3,FALSE),"")</f>
        <v/>
      </c>
    </row>
    <row r="10" spans="1:19" x14ac:dyDescent="0.25">
      <c r="A10" s="1" t="s">
        <v>23</v>
      </c>
      <c r="B10" s="1" t="s">
        <v>22</v>
      </c>
    </row>
    <row r="11" spans="1:19" x14ac:dyDescent="0.25">
      <c r="A11" s="1" t="s">
        <v>19</v>
      </c>
      <c r="B11" s="1" t="s">
        <v>251</v>
      </c>
    </row>
    <row r="12" spans="1:19" x14ac:dyDescent="0.25">
      <c r="A12" s="1" t="s">
        <v>17</v>
      </c>
      <c r="B12" s="1" t="s">
        <v>16</v>
      </c>
    </row>
    <row r="13" spans="1:19" x14ac:dyDescent="0.25">
      <c r="A13" s="1" t="s">
        <v>14</v>
      </c>
      <c r="B13" s="1" t="s">
        <v>13</v>
      </c>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5"/>
  <sheetViews>
    <sheetView tabSelected="1" workbookViewId="0">
      <selection activeCell="D20" sqref="D20"/>
    </sheetView>
  </sheetViews>
  <sheetFormatPr defaultColWidth="9.140625" defaultRowHeight="15" x14ac:dyDescent="0.25"/>
  <cols>
    <col min="1" max="1" width="14.5703125" style="1" bestFit="1" customWidth="1"/>
    <col min="2" max="2" width="26.5703125" style="1" bestFit="1" customWidth="1"/>
    <col min="3" max="3" width="5.42578125" style="1" customWidth="1"/>
    <col min="4" max="5" width="16.140625" style="1" bestFit="1" customWidth="1"/>
    <col min="6" max="6" width="25.5703125" style="1" bestFit="1" customWidth="1"/>
    <col min="7" max="7" width="6.7109375" style="1" customWidth="1"/>
    <col min="8" max="8" width="2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7.28515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4" customHeight="1" thickBot="1" x14ac:dyDescent="0.4">
      <c r="A1" s="71" t="s">
        <v>322</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ht="15" customHeight="1" x14ac:dyDescent="0.25">
      <c r="A3" s="1" t="s">
        <v>42</v>
      </c>
      <c r="B3" s="1" t="s">
        <v>322</v>
      </c>
      <c r="C3" s="31"/>
      <c r="D3" s="21" t="s">
        <v>159</v>
      </c>
      <c r="E3" s="24" t="s">
        <v>159</v>
      </c>
      <c r="F3" s="23" t="s">
        <v>158</v>
      </c>
      <c r="H3" s="20" t="str">
        <f>VLOOKUP(D3,[1]!Dictionary[#All],3,FALSE)</f>
        <v>Left cochlea</v>
      </c>
      <c r="I3" s="19">
        <f>VLOOKUP(D3,[1]!Dictionary[#All],4,FALSE)</f>
        <v>60203</v>
      </c>
      <c r="J3" s="19" t="str">
        <f>VLOOKUP(D3,[1]!Dictionary[#All],5,FALSE)</f>
        <v>FMA</v>
      </c>
      <c r="K3" s="18" t="str">
        <f>VLOOKUP(D3,[1]!Dictionary[#All],6,FALSE)</f>
        <v>3.2</v>
      </c>
      <c r="L3" s="17" t="str">
        <f>VLOOKUP(D3,[1]!VolumeType[#All],2,FALSE)</f>
        <v>Organ</v>
      </c>
      <c r="M3" s="16" t="str">
        <f>VLOOKUP(D3,[1]!VolumeType[#All],3,FALSE)</f>
        <v>Organ</v>
      </c>
      <c r="N3" s="15" t="str">
        <f>VLOOKUP(D3,[1]!Colors[#All],3,FALSE)</f>
        <v>z Cochlea L</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ht="15" customHeight="1" x14ac:dyDescent="0.25">
      <c r="A4" s="1" t="s">
        <v>40</v>
      </c>
      <c r="B4" s="1" t="s">
        <v>39</v>
      </c>
      <c r="C4" s="31"/>
      <c r="D4" s="21" t="s">
        <v>157</v>
      </c>
      <c r="E4" s="24" t="s">
        <v>157</v>
      </c>
      <c r="F4" s="23" t="s">
        <v>156</v>
      </c>
      <c r="H4" s="20" t="str">
        <f>VLOOKUP(D4,[1]!Dictionary[#All],3,FALSE)</f>
        <v>Right cochlea</v>
      </c>
      <c r="I4" s="19">
        <f>VLOOKUP(D4,[1]!Dictionary[#All],4,FALSE)</f>
        <v>60202</v>
      </c>
      <c r="J4" s="19" t="str">
        <f>VLOOKUP(D4,[1]!Dictionary[#All],5,FALSE)</f>
        <v>FMA</v>
      </c>
      <c r="K4" s="18" t="str">
        <f>VLOOKUP(D4,[1]!Dictionary[#All],6,FALSE)</f>
        <v>3.2</v>
      </c>
      <c r="L4" s="17" t="str">
        <f>VLOOKUP(D4,[1]!VolumeType[#All],2,FALSE)</f>
        <v>Organ</v>
      </c>
      <c r="M4" s="16" t="str">
        <f>VLOOKUP(D4,[1]!VolumeType[#All],3,FALSE)</f>
        <v>Organ</v>
      </c>
      <c r="N4" s="15" t="str">
        <f>VLOOKUP(D4,[1]!Colors[#All],3,FALSE)</f>
        <v>z Cochlea R</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ht="15" customHeight="1" x14ac:dyDescent="0.25">
      <c r="A5" s="1" t="s">
        <v>37</v>
      </c>
      <c r="B5" s="1" t="s">
        <v>330</v>
      </c>
      <c r="C5" s="31"/>
      <c r="D5" s="21" t="s">
        <v>326</v>
      </c>
      <c r="E5" s="21" t="s">
        <v>326</v>
      </c>
      <c r="F5" s="23" t="s">
        <v>317</v>
      </c>
      <c r="H5" s="20" t="str">
        <f>VLOOKUP(D5,[1]!Dictionary[#All],3,FALSE)</f>
        <v>Left ear</v>
      </c>
      <c r="I5" s="19">
        <f>VLOOKUP(D5,[1]!Dictionary[#All],4,FALSE)</f>
        <v>53642</v>
      </c>
      <c r="J5" s="19" t="str">
        <f>VLOOKUP(D5,[1]!Dictionary[#All],5,FALSE)</f>
        <v>FMA</v>
      </c>
      <c r="K5" s="18" t="str">
        <f>VLOOKUP(D5,[1]!Dictionary[#All],6,FALSE)</f>
        <v>3.2</v>
      </c>
      <c r="L5" s="17" t="str">
        <f>VLOOKUP(D5,[1]!VolumeType[#All],2,FALSE)</f>
        <v>Organ</v>
      </c>
      <c r="M5" s="16" t="str">
        <f>VLOOKUP(D5,[1]!VolumeType[#All],3,FALSE)</f>
        <v>Organ</v>
      </c>
      <c r="N5" s="15" t="str">
        <f>VLOOKUP(D5,[1]!Colors[#All],3,FALSE)</f>
        <v>z Cochlea L</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ht="15" customHeight="1" x14ac:dyDescent="0.25">
      <c r="A6" s="1" t="s">
        <v>35</v>
      </c>
      <c r="B6" s="1">
        <v>3</v>
      </c>
      <c r="C6" s="31"/>
      <c r="D6" s="21" t="s">
        <v>329</v>
      </c>
      <c r="E6" s="21" t="s">
        <v>329</v>
      </c>
      <c r="F6" s="23" t="s">
        <v>316</v>
      </c>
      <c r="H6" s="20" t="str">
        <f>VLOOKUP(D6,[1]!Dictionary[#All],3,FALSE)</f>
        <v>Right ear</v>
      </c>
      <c r="I6" s="19">
        <f>VLOOKUP(D6,[1]!Dictionary[#All],4,FALSE)</f>
        <v>53641</v>
      </c>
      <c r="J6" s="19" t="str">
        <f>VLOOKUP(D6,[1]!Dictionary[#All],5,FALSE)</f>
        <v>FMA</v>
      </c>
      <c r="K6" s="18" t="str">
        <f>VLOOKUP(D6,[1]!Dictionary[#All],6,FALSE)</f>
        <v>3.2</v>
      </c>
      <c r="L6" s="17" t="str">
        <f>VLOOKUP(D6,[1]!VolumeType[#All],2,FALSE)</f>
        <v>Organ</v>
      </c>
      <c r="M6" s="16" t="str">
        <f>VLOOKUP(D6,[1]!VolumeType[#All],3,FALSE)</f>
        <v>Organ</v>
      </c>
      <c r="N6" s="15" t="str">
        <f>VLOOKUP(D6,[1]!Colors[#All],3,FALSE)</f>
        <v>z Cochlea R</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ht="15" customHeight="1" x14ac:dyDescent="0.25">
      <c r="A7" s="1" t="s">
        <v>33</v>
      </c>
      <c r="D7" s="21" t="s">
        <v>327</v>
      </c>
      <c r="E7" s="21" t="s">
        <v>327</v>
      </c>
      <c r="F7" s="23" t="s">
        <v>319</v>
      </c>
      <c r="H7" s="20" t="str">
        <f>VLOOKUP(D7,[1]!Dictionary[#All],3,FALSE)</f>
        <v>Left middle ear</v>
      </c>
      <c r="I7" s="19">
        <f>VLOOKUP(D7,[1]!Dictionary[#All],4,FALSE)</f>
        <v>56515</v>
      </c>
      <c r="J7" s="19" t="str">
        <f>VLOOKUP(D7,[1]!Dictionary[#All],5,FALSE)</f>
        <v>FMA</v>
      </c>
      <c r="K7" s="18" t="str">
        <f>VLOOKUP(D7,[1]!Dictionary[#All],6,FALSE)</f>
        <v>3.2</v>
      </c>
      <c r="L7" s="17" t="str">
        <f>VLOOKUP(D7,[1]!VolumeType[#All],2,FALSE)</f>
        <v>Organ</v>
      </c>
      <c r="M7" s="16" t="str">
        <f>VLOOKUP(D7,[1]!VolumeType[#All],3,FALSE)</f>
        <v>Organ</v>
      </c>
      <c r="N7" s="15" t="str">
        <f>VLOOKUP(D7,[1]!Colors[#All],3,FALSE)</f>
        <v>z Cochlea L</v>
      </c>
      <c r="O7" s="13" t="str">
        <f>IFERROR(VLOOKUP(D7,[1]!DVH_lines[#Data],2,FALSE),"")</f>
        <v/>
      </c>
      <c r="P7" s="14" t="str">
        <f>IFERROR(VLOOKUP(D7,[1]!DVH_lines[#Data],3,FALSE),"")</f>
        <v/>
      </c>
      <c r="Q7" s="12" t="str">
        <f>IFERROR(VLOOKUP(D7,[1]!DVH_lines[#Data],4,FALSE),"")</f>
        <v/>
      </c>
      <c r="R7" s="13" t="str">
        <f>IFERROR(VLOOKUP(D7,[1]!SearchCT[#Data],2,FALSE),"")</f>
        <v/>
      </c>
      <c r="S7" s="12" t="str">
        <f>IFERROR(VLOOKUP(D7,[1]!SearchCT[#Data],3,FALSE),"")</f>
        <v/>
      </c>
    </row>
    <row r="8" spans="1:19" ht="15" customHeight="1" x14ac:dyDescent="0.25">
      <c r="A8" s="1" t="s">
        <v>30</v>
      </c>
      <c r="D8" s="21" t="s">
        <v>328</v>
      </c>
      <c r="E8" s="21" t="s">
        <v>328</v>
      </c>
      <c r="F8" s="23" t="s">
        <v>318</v>
      </c>
      <c r="H8" s="20" t="str">
        <f>VLOOKUP(D8,[1]!Dictionary[#All],3,FALSE)</f>
        <v>Right middle ear</v>
      </c>
      <c r="I8" s="19">
        <f>VLOOKUP(D8,[1]!Dictionary[#All],4,FALSE)</f>
        <v>56514</v>
      </c>
      <c r="J8" s="19" t="str">
        <f>VLOOKUP(D8,[1]!Dictionary[#All],5,FALSE)</f>
        <v>FMA</v>
      </c>
      <c r="K8" s="18" t="str">
        <f>VLOOKUP(D8,[1]!Dictionary[#All],6,FALSE)</f>
        <v>3.2</v>
      </c>
      <c r="L8" s="17" t="str">
        <f>VLOOKUP(D8,[1]!VolumeType[#All],2,FALSE)</f>
        <v>Organ</v>
      </c>
      <c r="M8" s="16" t="str">
        <f>VLOOKUP(D8,[1]!VolumeType[#All],3,FALSE)</f>
        <v>Organ</v>
      </c>
      <c r="N8" s="15" t="str">
        <f>VLOOKUP(D8,[1]!Colors[#All],3,FALSE)</f>
        <v>z Cochlea R</v>
      </c>
      <c r="O8" s="13" t="str">
        <f>IFERROR(VLOOKUP(D8,[1]!DVH_lines[#Data],2,FALSE),"")</f>
        <v/>
      </c>
      <c r="P8" s="14" t="str">
        <f>IFERROR(VLOOKUP(D8,[1]!DVH_lines[#Data],3,FALSE),"")</f>
        <v/>
      </c>
      <c r="Q8" s="12" t="str">
        <f>IFERROR(VLOOKUP(D8,[1]!DVH_lines[#Data],4,FALSE),"")</f>
        <v/>
      </c>
      <c r="R8" s="13" t="str">
        <f>IFERROR(VLOOKUP(D8,[1]!SearchCT[#Data],2,FALSE),"")</f>
        <v/>
      </c>
      <c r="S8" s="12" t="str">
        <f>IFERROR(VLOOKUP(D8,[1]!SearchCT[#Data],3,FALSE),"")</f>
        <v/>
      </c>
    </row>
    <row r="9" spans="1:19" ht="15" customHeight="1" x14ac:dyDescent="0.25">
      <c r="A9" s="1" t="s">
        <v>27</v>
      </c>
      <c r="B9" s="1" t="s">
        <v>26</v>
      </c>
      <c r="D9" s="21" t="s">
        <v>324</v>
      </c>
      <c r="E9" s="21" t="s">
        <v>324</v>
      </c>
      <c r="F9" s="23" t="s">
        <v>321</v>
      </c>
      <c r="H9" s="20" t="str">
        <f>VLOOKUP(D9,[1]!Dictionary[#All],3,FALSE)</f>
        <v>Left internal ear</v>
      </c>
      <c r="I9" s="19">
        <f>VLOOKUP(D9,[1]!Dictionary[#All],4,FALSE)</f>
        <v>61021</v>
      </c>
      <c r="J9" s="19" t="str">
        <f>VLOOKUP(D9,[1]!Dictionary[#All],5,FALSE)</f>
        <v>FMA</v>
      </c>
      <c r="K9" s="18" t="str">
        <f>VLOOKUP(D9,[1]!Dictionary[#All],6,FALSE)</f>
        <v>3.2</v>
      </c>
      <c r="L9" s="17" t="str">
        <f>VLOOKUP(D9,[1]!VolumeType[#All],2,FALSE)</f>
        <v>Organ</v>
      </c>
      <c r="M9" s="16" t="str">
        <f>VLOOKUP(D9,[1]!VolumeType[#All],3,FALSE)</f>
        <v>Organ</v>
      </c>
      <c r="N9" s="15" t="str">
        <f>VLOOKUP(D9,[1]!Colors[#All],3,FALSE)</f>
        <v>z Cochlea L</v>
      </c>
      <c r="O9" s="13" t="str">
        <f>IFERROR(VLOOKUP(D9,[1]!DVH_lines[#Data],2,FALSE),"")</f>
        <v/>
      </c>
      <c r="P9" s="14" t="str">
        <f>IFERROR(VLOOKUP(D9,[1]!DVH_lines[#Data],3,FALSE),"")</f>
        <v/>
      </c>
      <c r="Q9" s="12" t="str">
        <f>IFERROR(VLOOKUP(D9,[1]!DVH_lines[#Data],4,FALSE),"")</f>
        <v/>
      </c>
      <c r="R9" s="13" t="str">
        <f>IFERROR(VLOOKUP(D9,[1]!SearchCT[#Data],2,FALSE),"")</f>
        <v/>
      </c>
      <c r="S9" s="12" t="str">
        <f>IFERROR(VLOOKUP(D9,[1]!SearchCT[#Data],3,FALSE),"")</f>
        <v/>
      </c>
    </row>
    <row r="10" spans="1:19" ht="15" customHeight="1" thickBot="1" x14ac:dyDescent="0.3">
      <c r="A10" s="1" t="s">
        <v>23</v>
      </c>
      <c r="B10" s="1" t="s">
        <v>22</v>
      </c>
      <c r="D10" s="21" t="s">
        <v>325</v>
      </c>
      <c r="E10" s="21" t="s">
        <v>325</v>
      </c>
      <c r="F10" s="23" t="s">
        <v>320</v>
      </c>
      <c r="H10" s="10" t="str">
        <f>VLOOKUP(D10,[1]!Dictionary[#All],3,FALSE)</f>
        <v>Right internal ear</v>
      </c>
      <c r="I10" s="9">
        <f>VLOOKUP(D10,[1]!Dictionary[#All],4,FALSE)</f>
        <v>61020</v>
      </c>
      <c r="J10" s="9" t="str">
        <f>VLOOKUP(D10,[1]!Dictionary[#All],5,FALSE)</f>
        <v>FMA</v>
      </c>
      <c r="K10" s="8" t="str">
        <f>VLOOKUP(D10,[1]!Dictionary[#All],6,FALSE)</f>
        <v>3.2</v>
      </c>
      <c r="L10" s="7" t="str">
        <f>VLOOKUP(D10,[1]!VolumeType[#All],2,FALSE)</f>
        <v>Organ</v>
      </c>
      <c r="M10" s="6" t="str">
        <f>VLOOKUP(D10,[1]!VolumeType[#All],3,FALSE)</f>
        <v>Organ</v>
      </c>
      <c r="N10" s="5" t="str">
        <f>VLOOKUP(D10,[1]!Colors[#All],3,FALSE)</f>
        <v>z Cochlea R</v>
      </c>
      <c r="O10" s="3" t="str">
        <f>IFERROR(VLOOKUP(D10,[1]!DVH_lines[#Data],2,FALSE),"")</f>
        <v/>
      </c>
      <c r="P10" s="4" t="str">
        <f>IFERROR(VLOOKUP(D10,[1]!DVH_lines[#Data],3,FALSE),"")</f>
        <v/>
      </c>
      <c r="Q10" s="2" t="str">
        <f>IFERROR(VLOOKUP(D10,[1]!DVH_lines[#Data],4,FALSE),"")</f>
        <v/>
      </c>
      <c r="R10" s="3" t="str">
        <f>IFERROR(VLOOKUP(D10,[1]!SearchCT[#Data],2,FALSE),"")</f>
        <v/>
      </c>
      <c r="S10" s="2" t="str">
        <f>IFERROR(VLOOKUP(D10,[1]!SearchCT[#Data],3,FALSE),"")</f>
        <v/>
      </c>
    </row>
    <row r="11" spans="1:19" ht="15" customHeight="1" x14ac:dyDescent="0.25">
      <c r="A11" s="1" t="s">
        <v>19</v>
      </c>
      <c r="B11" s="1" t="s">
        <v>323</v>
      </c>
    </row>
    <row r="12" spans="1:19" ht="15" customHeight="1" x14ac:dyDescent="0.25">
      <c r="A12" s="1" t="s">
        <v>17</v>
      </c>
      <c r="B12" s="1" t="s">
        <v>16</v>
      </c>
    </row>
    <row r="13" spans="1:19" ht="15" customHeight="1" x14ac:dyDescent="0.25">
      <c r="A13" s="1" t="s">
        <v>14</v>
      </c>
      <c r="B13" s="1" t="s">
        <v>13</v>
      </c>
    </row>
    <row r="14" spans="1:19" ht="15" customHeight="1" x14ac:dyDescent="0.25"/>
    <row r="15" spans="1:19" ht="15" customHeight="1" x14ac:dyDescent="0.25"/>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5"/>
  <sheetViews>
    <sheetView workbookViewId="0">
      <selection activeCell="G31" sqref="G31"/>
    </sheetView>
  </sheetViews>
  <sheetFormatPr defaultColWidth="9.140625" defaultRowHeight="15" x14ac:dyDescent="0.25"/>
  <cols>
    <col min="1" max="1" width="14.5703125" style="1" bestFit="1" customWidth="1"/>
    <col min="2" max="2" width="26.5703125" style="1" bestFit="1" customWidth="1"/>
    <col min="3" max="3" width="5.42578125" style="1" customWidth="1"/>
    <col min="4" max="5" width="16.140625" style="1" bestFit="1" customWidth="1"/>
    <col min="6" max="6" width="25.5703125" style="1" bestFit="1" customWidth="1"/>
    <col min="7" max="7" width="6.7109375" style="1" customWidth="1"/>
    <col min="8" max="8" width="25" style="1" bestFit="1" customWidth="1"/>
    <col min="9" max="9" width="14.570312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7.28515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4" customHeight="1" thickBot="1" x14ac:dyDescent="0.4">
      <c r="A1" s="71" t="s">
        <v>253</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ht="15" customHeight="1" x14ac:dyDescent="0.25">
      <c r="A3" s="1" t="s">
        <v>42</v>
      </c>
      <c r="B3" s="1" t="s">
        <v>253</v>
      </c>
      <c r="C3" s="31"/>
      <c r="D3" s="21" t="s">
        <v>154</v>
      </c>
      <c r="E3" s="24" t="s">
        <v>154</v>
      </c>
      <c r="F3" s="25" t="s">
        <v>154</v>
      </c>
      <c r="H3" s="20" t="str">
        <f>VLOOKUP(D3,[1]!Dictionary[#All],3,FALSE)</f>
        <v>Mandible</v>
      </c>
      <c r="I3" s="19">
        <f>VLOOKUP(D3,[1]!Dictionary[#All],4,FALSE)</f>
        <v>52748</v>
      </c>
      <c r="J3" s="19" t="str">
        <f>VLOOKUP(D3,[1]!Dictionary[#All],5,FALSE)</f>
        <v>FMA</v>
      </c>
      <c r="K3" s="18" t="str">
        <f>VLOOKUP(D3,[1]!Dictionary[#All],6,FALSE)</f>
        <v>3.2</v>
      </c>
      <c r="L3" s="17" t="str">
        <f>VLOOKUP(D3,[1]!VolumeType[#All],2,FALSE)</f>
        <v>Organ</v>
      </c>
      <c r="M3" s="16" t="str">
        <f>VLOOKUP(D3,[1]!VolumeType[#All],3,FALSE)</f>
        <v>Organ</v>
      </c>
      <c r="N3" s="15" t="str">
        <f>VLOOKUP(D3,[1]!Colors[#All],3,FALSE)</f>
        <v>z Bone Rendering</v>
      </c>
      <c r="O3" s="13" t="str">
        <f>IFERROR(VLOOKUP(D3,[1]!DVH_lines[#Data],2,FALSE),"")</f>
        <v/>
      </c>
      <c r="P3" s="14" t="str">
        <f>IFERROR(VLOOKUP(D3,[1]!DVH_lines[#Data],3,FALSE),"")</f>
        <v/>
      </c>
      <c r="Q3" s="12" t="str">
        <f>IFERROR(VLOOKUP(D3,[1]!DVH_lines[#Data],4,FALSE),"")</f>
        <v/>
      </c>
      <c r="R3" s="13">
        <f>IFERROR(VLOOKUP(D3,[1]!SearchCT[#Data],2,FALSE),"")</f>
        <v>200</v>
      </c>
      <c r="S3" s="12">
        <f>IFERROR(VLOOKUP(D3,[1]!SearchCT[#Data],3,FALSE),"")</f>
        <v>2500</v>
      </c>
    </row>
    <row r="4" spans="1:19" ht="15" customHeight="1" x14ac:dyDescent="0.25">
      <c r="A4" s="1" t="s">
        <v>40</v>
      </c>
      <c r="B4" s="1" t="s">
        <v>39</v>
      </c>
      <c r="C4" s="31"/>
      <c r="D4" s="21" t="s">
        <v>153</v>
      </c>
      <c r="E4" s="25" t="s">
        <v>153</v>
      </c>
      <c r="F4" s="25" t="s">
        <v>152</v>
      </c>
      <c r="H4" s="20" t="str">
        <f>VLOOKUP(D4,[1]!Dictionary[#All],3,FALSE)</f>
        <v>Left parotid gland</v>
      </c>
      <c r="I4" s="19">
        <f>VLOOKUP(D4,[1]!Dictionary[#All],4,FALSE)</f>
        <v>59798</v>
      </c>
      <c r="J4" s="19" t="str">
        <f>VLOOKUP(D4,[1]!Dictionary[#All],5,FALSE)</f>
        <v>FMA</v>
      </c>
      <c r="K4" s="18" t="str">
        <f>VLOOKUP(D4,[1]!Dictionary[#All],6,FALSE)</f>
        <v>3.2</v>
      </c>
      <c r="L4" s="17" t="str">
        <f>VLOOKUP(D4,[1]!VolumeType[#All],2,FALSE)</f>
        <v>Organ</v>
      </c>
      <c r="M4" s="16" t="str">
        <f>VLOOKUP(D4,[1]!VolumeType[#All],3,FALSE)</f>
        <v>Organ</v>
      </c>
      <c r="N4" s="15" t="str">
        <f>VLOOKUP(D4,[1]!Colors[#All],3,FALSE)</f>
        <v>z Parotid L</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ht="15" customHeight="1" x14ac:dyDescent="0.25">
      <c r="A5" s="1" t="s">
        <v>37</v>
      </c>
      <c r="B5" s="1" t="s">
        <v>335</v>
      </c>
      <c r="C5" s="31"/>
      <c r="D5" s="21" t="s">
        <v>151</v>
      </c>
      <c r="E5" s="25" t="s">
        <v>151</v>
      </c>
      <c r="F5" s="25" t="s">
        <v>150</v>
      </c>
      <c r="H5" s="20" t="str">
        <f>VLOOKUP(D5,[1]!Dictionary[#All],3,FALSE)</f>
        <v>Right parotid gland</v>
      </c>
      <c r="I5" s="19">
        <f>VLOOKUP(D5,[1]!Dictionary[#All],4,FALSE)</f>
        <v>59797</v>
      </c>
      <c r="J5" s="19" t="str">
        <f>VLOOKUP(D5,[1]!Dictionary[#All],5,FALSE)</f>
        <v>FMA</v>
      </c>
      <c r="K5" s="18" t="str">
        <f>VLOOKUP(D5,[1]!Dictionary[#All],6,FALSE)</f>
        <v>3.2</v>
      </c>
      <c r="L5" s="17" t="str">
        <f>VLOOKUP(D5,[1]!VolumeType[#All],2,FALSE)</f>
        <v>Organ</v>
      </c>
      <c r="M5" s="16" t="str">
        <f>VLOOKUP(D5,[1]!VolumeType[#All],3,FALSE)</f>
        <v>Organ</v>
      </c>
      <c r="N5" s="15" t="str">
        <f>VLOOKUP(D5,[1]!Colors[#All],3,FALSE)</f>
        <v>z Parotid R</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ht="15" customHeight="1" x14ac:dyDescent="0.25">
      <c r="A6" s="1" t="s">
        <v>35</v>
      </c>
      <c r="B6" s="1">
        <v>3</v>
      </c>
      <c r="C6" s="31"/>
      <c r="D6" s="1" t="s">
        <v>331</v>
      </c>
      <c r="E6" s="1" t="s">
        <v>331</v>
      </c>
      <c r="F6" s="1" t="s">
        <v>332</v>
      </c>
      <c r="H6" s="20" t="str">
        <f>VLOOKUP(D6,[1]!Dictionary[#All],3,FALSE)</f>
        <v>Parotid Glands</v>
      </c>
      <c r="I6" s="19" t="str">
        <f>VLOOKUP(D6,[1]!Dictionary[#All],4,FALSE)</f>
        <v>Parotids</v>
      </c>
      <c r="J6" s="19" t="str">
        <f>VLOOKUP(D6,[1]!Dictionary[#All],5,FALSE)</f>
        <v>99VMS_STRUCTCODE</v>
      </c>
      <c r="K6" s="18" t="str">
        <f>VLOOKUP(D6,[1]!Dictionary[#All],6,FALSE)</f>
        <v>1.0</v>
      </c>
      <c r="L6" s="17" t="str">
        <f>VLOOKUP(D6,[1]!VolumeType[#All],2,FALSE)</f>
        <v>Organ</v>
      </c>
      <c r="M6" s="16" t="str">
        <f>VLOOKUP(D6,[1]!VolumeType[#All],3,FALSE)</f>
        <v>Organ</v>
      </c>
      <c r="N6" s="15" t="str">
        <f>VLOOKUP(D6,[1]!Colors[#All],3,FALSE)</f>
        <v>z Parotid B</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ht="15" customHeight="1" x14ac:dyDescent="0.25">
      <c r="A7" s="1" t="s">
        <v>33</v>
      </c>
      <c r="D7" s="21" t="s">
        <v>333</v>
      </c>
      <c r="E7" s="25" t="s">
        <v>333</v>
      </c>
      <c r="F7" s="25" t="s">
        <v>334</v>
      </c>
      <c r="H7" s="20" t="str">
        <f>VLOOKUP(D7,[1]!Dictionary[#All],3,FALSE)</f>
        <v>Submandibular Glands</v>
      </c>
      <c r="I7" s="19" t="str">
        <f>VLOOKUP(D7,[1]!Dictionary[#All],4,FALSE)</f>
        <v>Submandibular</v>
      </c>
      <c r="J7" s="19" t="str">
        <f>VLOOKUP(D7,[1]!Dictionary[#All],5,FALSE)</f>
        <v>99VMS_STRUCTCODE</v>
      </c>
      <c r="K7" s="18" t="str">
        <f>VLOOKUP(D7,[1]!Dictionary[#All],6,FALSE)</f>
        <v>1.0</v>
      </c>
      <c r="L7" s="17" t="str">
        <f>VLOOKUP(D7,[1]!VolumeType[#All],2,FALSE)</f>
        <v>Organ</v>
      </c>
      <c r="M7" s="16" t="str">
        <f>VLOOKUP(D7,[1]!VolumeType[#All],3,FALSE)</f>
        <v>Organ</v>
      </c>
      <c r="N7" s="15" t="str">
        <f>VLOOKUP(D7,[1]!Colors[#All],3,FALSE)</f>
        <v>zSubmandibular B</v>
      </c>
      <c r="O7" s="13" t="str">
        <f>IFERROR(VLOOKUP(D7,[1]!DVH_lines[#Data],2,FALSE),"")</f>
        <v/>
      </c>
      <c r="P7" s="14" t="str">
        <f>IFERROR(VLOOKUP(D7,[1]!DVH_lines[#Data],3,FALSE),"")</f>
        <v/>
      </c>
      <c r="Q7" s="12" t="str">
        <f>IFERROR(VLOOKUP(D7,[1]!DVH_lines[#Data],4,FALSE),"")</f>
        <v/>
      </c>
      <c r="R7" s="13" t="str">
        <f>IFERROR(VLOOKUP(D7,[1]!SearchCT[#Data],2,FALSE),"")</f>
        <v/>
      </c>
      <c r="S7" s="12" t="str">
        <f>IFERROR(VLOOKUP(D7,[1]!SearchCT[#Data],3,FALSE),"")</f>
        <v/>
      </c>
    </row>
    <row r="8" spans="1:19" ht="15" customHeight="1" x14ac:dyDescent="0.25">
      <c r="A8" s="1" t="s">
        <v>30</v>
      </c>
      <c r="D8" s="21" t="s">
        <v>149</v>
      </c>
      <c r="E8" s="25" t="s">
        <v>149</v>
      </c>
      <c r="F8" s="25" t="s">
        <v>148</v>
      </c>
      <c r="H8" s="20" t="str">
        <f>VLOOKUP(D8,[1]!Dictionary[#All],3,FALSE)</f>
        <v>Left submandibular gland</v>
      </c>
      <c r="I8" s="19">
        <f>VLOOKUP(D8,[1]!Dictionary[#All],4,FALSE)</f>
        <v>59803</v>
      </c>
      <c r="J8" s="19" t="str">
        <f>VLOOKUP(D8,[1]!Dictionary[#All],5,FALSE)</f>
        <v>FMA</v>
      </c>
      <c r="K8" s="18" t="str">
        <f>VLOOKUP(D8,[1]!Dictionary[#All],6,FALSE)</f>
        <v>3.2</v>
      </c>
      <c r="L8" s="17" t="str">
        <f>VLOOKUP(D8,[1]!VolumeType[#All],2,FALSE)</f>
        <v>Organ</v>
      </c>
      <c r="M8" s="16" t="str">
        <f>VLOOKUP(D8,[1]!VolumeType[#All],3,FALSE)</f>
        <v>Organ</v>
      </c>
      <c r="N8" s="15" t="str">
        <f>VLOOKUP(D8,[1]!Colors[#All],3,FALSE)</f>
        <v>zSubmandibular L</v>
      </c>
      <c r="O8" s="13" t="str">
        <f>IFERROR(VLOOKUP(D8,[1]!DVH_lines[#Data],2,FALSE),"")</f>
        <v/>
      </c>
      <c r="P8" s="14" t="str">
        <f>IFERROR(VLOOKUP(D8,[1]!DVH_lines[#Data],3,FALSE),"")</f>
        <v/>
      </c>
      <c r="Q8" s="12" t="str">
        <f>IFERROR(VLOOKUP(D8,[1]!DVH_lines[#Data],4,FALSE),"")</f>
        <v/>
      </c>
      <c r="R8" s="13" t="str">
        <f>IFERROR(VLOOKUP(D8,[1]!SearchCT[#Data],2,FALSE),"")</f>
        <v/>
      </c>
      <c r="S8" s="12" t="str">
        <f>IFERROR(VLOOKUP(D8,[1]!SearchCT[#Data],3,FALSE),"")</f>
        <v/>
      </c>
    </row>
    <row r="9" spans="1:19" ht="15" customHeight="1" thickBot="1" x14ac:dyDescent="0.3">
      <c r="A9" s="1" t="s">
        <v>27</v>
      </c>
      <c r="B9" s="1" t="s">
        <v>26</v>
      </c>
      <c r="D9" s="21" t="s">
        <v>147</v>
      </c>
      <c r="E9" s="25" t="s">
        <v>147</v>
      </c>
      <c r="F9" s="25" t="s">
        <v>146</v>
      </c>
      <c r="H9" s="10" t="str">
        <f>VLOOKUP(D9,[1]!Dictionary[#All],3,FALSE)</f>
        <v>Right submandibular gland</v>
      </c>
      <c r="I9" s="9">
        <f>VLOOKUP(D9,[1]!Dictionary[#All],4,FALSE)</f>
        <v>59802</v>
      </c>
      <c r="J9" s="9" t="str">
        <f>VLOOKUP(D9,[1]!Dictionary[#All],5,FALSE)</f>
        <v>FMA</v>
      </c>
      <c r="K9" s="8" t="str">
        <f>VLOOKUP(D9,[1]!Dictionary[#All],6,FALSE)</f>
        <v>3.2</v>
      </c>
      <c r="L9" s="7" t="str">
        <f>VLOOKUP(D9,[1]!VolumeType[#All],2,FALSE)</f>
        <v>Organ</v>
      </c>
      <c r="M9" s="6" t="str">
        <f>VLOOKUP(D9,[1]!VolumeType[#All],3,FALSE)</f>
        <v>Organ</v>
      </c>
      <c r="N9" s="5" t="str">
        <f>VLOOKUP(D9,[1]!Colors[#All],3,FALSE)</f>
        <v>zSubmandibular R</v>
      </c>
      <c r="O9" s="3" t="str">
        <f>IFERROR(VLOOKUP(D9,[1]!DVH_lines[#Data],2,FALSE),"")</f>
        <v/>
      </c>
      <c r="P9" s="4" t="str">
        <f>IFERROR(VLOOKUP(D9,[1]!DVH_lines[#Data],3,FALSE),"")</f>
        <v/>
      </c>
      <c r="Q9" s="2" t="str">
        <f>IFERROR(VLOOKUP(D9,[1]!DVH_lines[#Data],4,FALSE),"")</f>
        <v/>
      </c>
      <c r="R9" s="3" t="str">
        <f>IFERROR(VLOOKUP(D9,[1]!SearchCT[#Data],2,FALSE),"")</f>
        <v/>
      </c>
      <c r="S9" s="2" t="str">
        <f>IFERROR(VLOOKUP(D9,[1]!SearchCT[#Data],3,FALSE),"")</f>
        <v/>
      </c>
    </row>
    <row r="10" spans="1:19" ht="15" customHeight="1" x14ac:dyDescent="0.25">
      <c r="A10" s="1" t="s">
        <v>23</v>
      </c>
      <c r="B10" s="1" t="s">
        <v>22</v>
      </c>
    </row>
    <row r="11" spans="1:19" ht="15" customHeight="1" x14ac:dyDescent="0.25">
      <c r="A11" s="1" t="s">
        <v>19</v>
      </c>
      <c r="B11" s="1" t="s">
        <v>252</v>
      </c>
    </row>
    <row r="12" spans="1:19" ht="15" customHeight="1" x14ac:dyDescent="0.25">
      <c r="A12" s="1" t="s">
        <v>17</v>
      </c>
      <c r="B12" s="1" t="s">
        <v>16</v>
      </c>
    </row>
    <row r="13" spans="1:19" ht="15" customHeight="1" x14ac:dyDescent="0.25">
      <c r="A13" s="1" t="s">
        <v>14</v>
      </c>
      <c r="B13" s="1" t="s">
        <v>13</v>
      </c>
    </row>
    <row r="14" spans="1:19" ht="15" customHeight="1" x14ac:dyDescent="0.25"/>
    <row r="15" spans="1:19" ht="15" customHeight="1" x14ac:dyDescent="0.25"/>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5"/>
  <sheetViews>
    <sheetView workbookViewId="0">
      <selection activeCell="D3" sqref="D3:J7"/>
    </sheetView>
  </sheetViews>
  <sheetFormatPr defaultColWidth="9.140625" defaultRowHeight="15" x14ac:dyDescent="0.25"/>
  <cols>
    <col min="1" max="1" width="14.5703125" style="1" bestFit="1" customWidth="1"/>
    <col min="2" max="2" width="26.5703125" style="1" bestFit="1" customWidth="1"/>
    <col min="3" max="3" width="5.42578125" style="1" customWidth="1"/>
    <col min="4" max="5" width="16.140625" style="1" bestFit="1" customWidth="1"/>
    <col min="6" max="6" width="25.5703125" style="1" bestFit="1" customWidth="1"/>
    <col min="7" max="7" width="6.7109375" style="1" customWidth="1"/>
    <col min="8" max="8" width="2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7.28515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4" customHeight="1" thickBot="1" x14ac:dyDescent="0.4">
      <c r="A1" s="71" t="s">
        <v>256</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ht="15" customHeight="1" x14ac:dyDescent="0.25">
      <c r="A3" s="1" t="s">
        <v>42</v>
      </c>
      <c r="B3" s="1" t="s">
        <v>256</v>
      </c>
      <c r="C3" s="31"/>
      <c r="D3" s="21" t="s">
        <v>145</v>
      </c>
      <c r="E3" s="25" t="s">
        <v>145</v>
      </c>
      <c r="F3" s="25" t="s">
        <v>145</v>
      </c>
      <c r="H3" s="20" t="str">
        <f>VLOOKUP(D3,[1]!Dictionary[#All],3,FALSE)</f>
        <v>Cavity of mouth</v>
      </c>
      <c r="I3" s="19">
        <f>VLOOKUP(D3,[1]!Dictionary[#All],4,FALSE)</f>
        <v>20292</v>
      </c>
      <c r="J3" s="19" t="str">
        <f>VLOOKUP(D3,[1]!Dictionary[#All],5,FALSE)</f>
        <v>FMA</v>
      </c>
      <c r="K3" s="18" t="str">
        <f>VLOOKUP(D3,[1]!Dictionary[#All],6,FALSE)</f>
        <v>3.2</v>
      </c>
      <c r="L3" s="17" t="str">
        <f>VLOOKUP(D3,[1]!VolumeType[#All],2,FALSE)</f>
        <v>Organ</v>
      </c>
      <c r="M3" s="16" t="str">
        <f>VLOOKUP(D3,[1]!VolumeType[#All],3,FALSE)</f>
        <v>Organ</v>
      </c>
      <c r="N3" s="15" t="str">
        <f>VLOOKUP(D3,[1]!Colors[#All],3,FALSE)</f>
        <v>z Oral cavity</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ht="15" customHeight="1" x14ac:dyDescent="0.25">
      <c r="A4" s="1" t="s">
        <v>40</v>
      </c>
      <c r="B4" s="1" t="s">
        <v>39</v>
      </c>
      <c r="C4" s="31"/>
      <c r="D4" s="21" t="s">
        <v>142</v>
      </c>
      <c r="E4" s="25" t="s">
        <v>142</v>
      </c>
      <c r="F4" s="25" t="s">
        <v>142</v>
      </c>
      <c r="H4" s="20" t="str">
        <f>VLOOKUP(D4,[1]!Dictionary[#All],3,FALSE)</f>
        <v>Set of lips</v>
      </c>
      <c r="I4" s="19">
        <f>VLOOKUP(D4,[1]!Dictionary[#All],4,FALSE)</f>
        <v>268855</v>
      </c>
      <c r="J4" s="19" t="str">
        <f>VLOOKUP(D4,[1]!Dictionary[#All],5,FALSE)</f>
        <v>FMA</v>
      </c>
      <c r="K4" s="18" t="str">
        <f>VLOOKUP(D4,[1]!Dictionary[#All],6,FALSE)</f>
        <v>3.2</v>
      </c>
      <c r="L4" s="17" t="str">
        <f>VLOOKUP(D4,[1]!VolumeType[#All],2,FALSE)</f>
        <v>Organ</v>
      </c>
      <c r="M4" s="16" t="str">
        <f>VLOOKUP(D4,[1]!VolumeType[#All],3,FALSE)</f>
        <v>Organ</v>
      </c>
      <c r="N4" s="15" t="str">
        <f>VLOOKUP(D4,[1]!Colors[#All],3,FALSE)</f>
        <v>z Lips</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ht="15" customHeight="1" x14ac:dyDescent="0.25">
      <c r="A5" s="1" t="s">
        <v>37</v>
      </c>
      <c r="B5" s="1" t="s">
        <v>257</v>
      </c>
      <c r="C5" s="31"/>
      <c r="D5" s="21" t="s">
        <v>143</v>
      </c>
      <c r="E5" s="25" t="s">
        <v>143</v>
      </c>
      <c r="F5" s="25" t="s">
        <v>143</v>
      </c>
      <c r="H5" s="20" t="str">
        <f>VLOOKUP(D5,[1]!Dictionary[#All],3,FALSE)</f>
        <v>Tongue</v>
      </c>
      <c r="I5" s="19">
        <f>VLOOKUP(D5,[1]!Dictionary[#All],4,FALSE)</f>
        <v>54640</v>
      </c>
      <c r="J5" s="19" t="str">
        <f>VLOOKUP(D5,[1]!Dictionary[#All],5,FALSE)</f>
        <v>FMA</v>
      </c>
      <c r="K5" s="18" t="str">
        <f>VLOOKUP(D5,[1]!Dictionary[#All],6,FALSE)</f>
        <v>3.2</v>
      </c>
      <c r="L5" s="17" t="str">
        <f>VLOOKUP(D5,[1]!VolumeType[#All],2,FALSE)</f>
        <v>Organ</v>
      </c>
      <c r="M5" s="16" t="str">
        <f>VLOOKUP(D5,[1]!VolumeType[#All],3,FALSE)</f>
        <v>Organ</v>
      </c>
      <c r="N5" s="15" t="str">
        <f>VLOOKUP(D5,[1]!Colors[#All],3,FALSE)</f>
        <v>z Tongue</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ht="15" customHeight="1" x14ac:dyDescent="0.25">
      <c r="A6" s="1" t="s">
        <v>35</v>
      </c>
      <c r="B6" s="1">
        <v>3</v>
      </c>
      <c r="C6" s="31"/>
      <c r="D6" s="21" t="s">
        <v>144</v>
      </c>
      <c r="E6" s="25" t="s">
        <v>144</v>
      </c>
      <c r="F6" s="25" t="s">
        <v>144</v>
      </c>
      <c r="H6" s="20" t="str">
        <f>VLOOKUP(D6,[1]!Dictionary[#All],3,FALSE)</f>
        <v>Pharynx</v>
      </c>
      <c r="I6" s="19">
        <f>VLOOKUP(D6,[1]!Dictionary[#All],4,FALSE)</f>
        <v>46688</v>
      </c>
      <c r="J6" s="19" t="str">
        <f>VLOOKUP(D6,[1]!Dictionary[#All],5,FALSE)</f>
        <v>FMA</v>
      </c>
      <c r="K6" s="18" t="str">
        <f>VLOOKUP(D6,[1]!Dictionary[#All],6,FALSE)</f>
        <v>3.2</v>
      </c>
      <c r="L6" s="17" t="str">
        <f>VLOOKUP(D6,[1]!VolumeType[#All],2,FALSE)</f>
        <v>Organ</v>
      </c>
      <c r="M6" s="16" t="str">
        <f>VLOOKUP(D6,[1]!VolumeType[#All],3,FALSE)</f>
        <v>Organ</v>
      </c>
      <c r="N6" s="15" t="str">
        <f>VLOOKUP(D6,[1]!Colors[#All],3,FALSE)</f>
        <v>z Pharynx</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ht="15" customHeight="1" thickBot="1" x14ac:dyDescent="0.3">
      <c r="A7" s="1" t="s">
        <v>33</v>
      </c>
      <c r="D7" s="21" t="s">
        <v>155</v>
      </c>
      <c r="E7" s="25" t="s">
        <v>155</v>
      </c>
      <c r="F7" s="25" t="s">
        <v>155</v>
      </c>
      <c r="H7" s="10" t="str">
        <f>VLOOKUP(D7,[1]!Dictionary[#All],3,FALSE)</f>
        <v>Larynx</v>
      </c>
      <c r="I7" s="9">
        <f>VLOOKUP(D7,[1]!Dictionary[#All],4,FALSE)</f>
        <v>55097</v>
      </c>
      <c r="J7" s="9" t="str">
        <f>VLOOKUP(D7,[1]!Dictionary[#All],5,FALSE)</f>
        <v>FMA</v>
      </c>
      <c r="K7" s="8" t="str">
        <f>VLOOKUP(D7,[1]!Dictionary[#All],6,FALSE)</f>
        <v>3.2</v>
      </c>
      <c r="L7" s="7" t="str">
        <f>VLOOKUP(D7,[1]!VolumeType[#All],2,FALSE)</f>
        <v>Organ</v>
      </c>
      <c r="M7" s="6" t="str">
        <f>VLOOKUP(D7,[1]!VolumeType[#All],3,FALSE)</f>
        <v>Organ</v>
      </c>
      <c r="N7" s="5" t="str">
        <f>VLOOKUP(D7,[1]!Colors[#All],3,FALSE)</f>
        <v>z Larynx</v>
      </c>
      <c r="O7" s="3" t="str">
        <f>IFERROR(VLOOKUP(D7,[1]!DVH_lines[#Data],2,FALSE),"")</f>
        <v/>
      </c>
      <c r="P7" s="4" t="str">
        <f>IFERROR(VLOOKUP(D7,[1]!DVH_lines[#Data],3,FALSE),"")</f>
        <v/>
      </c>
      <c r="Q7" s="2" t="str">
        <f>IFERROR(VLOOKUP(D7,[1]!DVH_lines[#Data],4,FALSE),"")</f>
        <v/>
      </c>
      <c r="R7" s="3" t="str">
        <f>IFERROR(VLOOKUP(D7,[1]!SearchCT[#Data],2,FALSE),"")</f>
        <v/>
      </c>
      <c r="S7" s="2" t="str">
        <f>IFERROR(VLOOKUP(D7,[1]!SearchCT[#Data],3,FALSE),"")</f>
        <v/>
      </c>
    </row>
    <row r="8" spans="1:19" ht="15" customHeight="1" x14ac:dyDescent="0.25">
      <c r="A8" s="1" t="s">
        <v>30</v>
      </c>
    </row>
    <row r="9" spans="1:19" ht="15" customHeight="1" x14ac:dyDescent="0.25">
      <c r="A9" s="1" t="s">
        <v>27</v>
      </c>
      <c r="B9" s="1" t="s">
        <v>26</v>
      </c>
    </row>
    <row r="10" spans="1:19" ht="15" customHeight="1" x14ac:dyDescent="0.25">
      <c r="A10" s="1" t="s">
        <v>23</v>
      </c>
      <c r="B10" s="1" t="s">
        <v>22</v>
      </c>
    </row>
    <row r="11" spans="1:19" ht="15" customHeight="1" x14ac:dyDescent="0.25">
      <c r="A11" s="1" t="s">
        <v>19</v>
      </c>
      <c r="B11" s="1" t="s">
        <v>254</v>
      </c>
    </row>
    <row r="12" spans="1:19" ht="15" customHeight="1" x14ac:dyDescent="0.25">
      <c r="A12" s="1" t="s">
        <v>17</v>
      </c>
      <c r="B12" s="1" t="s">
        <v>16</v>
      </c>
    </row>
    <row r="13" spans="1:19" ht="15" customHeight="1" x14ac:dyDescent="0.25">
      <c r="A13" s="1" t="s">
        <v>14</v>
      </c>
      <c r="B13" s="1" t="s">
        <v>13</v>
      </c>
    </row>
    <row r="14" spans="1:19" ht="15" customHeight="1" x14ac:dyDescent="0.25"/>
    <row r="15" spans="1:19" ht="15" customHeight="1" x14ac:dyDescent="0.25"/>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3" sqref="D3:J6"/>
    </sheetView>
  </sheetViews>
  <sheetFormatPr defaultColWidth="9.140625" defaultRowHeight="15" x14ac:dyDescent="0.25"/>
  <cols>
    <col min="1" max="1" width="14.5703125" style="51" bestFit="1" customWidth="1"/>
    <col min="2" max="2" width="36.42578125" style="51" bestFit="1" customWidth="1"/>
    <col min="3" max="3" width="5.42578125" style="51" customWidth="1"/>
    <col min="4" max="4" width="10.28515625" style="51" bestFit="1" customWidth="1"/>
    <col min="5" max="5" width="9.7109375" style="51" bestFit="1" customWidth="1"/>
    <col min="6" max="6" width="46.42578125" style="51" bestFit="1" customWidth="1"/>
    <col min="7" max="7" width="6.7109375" style="51" customWidth="1"/>
    <col min="8" max="8" width="46.5703125" style="51" bestFit="1" customWidth="1"/>
    <col min="9" max="9" width="7" style="51" bestFit="1" customWidth="1"/>
    <col min="10" max="10" width="13.5703125" style="51" bestFit="1" customWidth="1"/>
    <col min="11" max="11" width="21" style="51" bestFit="1" customWidth="1"/>
    <col min="12" max="12" width="9.7109375" style="51" bestFit="1" customWidth="1"/>
    <col min="13" max="13" width="13.28515625" style="51" bestFit="1" customWidth="1"/>
    <col min="14" max="14" width="15.140625" style="51" bestFit="1" customWidth="1"/>
    <col min="15" max="15" width="14.42578125" style="51" bestFit="1" customWidth="1"/>
    <col min="16" max="16" width="14.140625" style="51" bestFit="1" customWidth="1"/>
    <col min="17" max="17" width="15.42578125" style="51" bestFit="1" customWidth="1"/>
    <col min="18" max="18" width="14" style="51" bestFit="1" customWidth="1"/>
    <col min="19" max="19" width="14.42578125" style="51" bestFit="1" customWidth="1"/>
    <col min="20" max="16384" width="9.140625" style="51"/>
  </cols>
  <sheetData>
    <row r="1" spans="1:19" ht="21.75" thickBot="1" x14ac:dyDescent="0.4">
      <c r="A1" s="71" t="s">
        <v>258</v>
      </c>
      <c r="B1" s="71"/>
      <c r="C1" s="61"/>
      <c r="D1" s="71" t="s">
        <v>64</v>
      </c>
      <c r="E1" s="71"/>
      <c r="F1" s="71"/>
      <c r="H1" s="72" t="s">
        <v>63</v>
      </c>
      <c r="I1" s="73"/>
      <c r="J1" s="73"/>
      <c r="K1" s="74"/>
      <c r="L1" s="72" t="s">
        <v>62</v>
      </c>
      <c r="M1" s="74"/>
      <c r="N1" s="42" t="s">
        <v>61</v>
      </c>
      <c r="O1" s="72" t="s">
        <v>60</v>
      </c>
      <c r="P1" s="73"/>
      <c r="Q1" s="74"/>
      <c r="R1" s="72" t="s">
        <v>59</v>
      </c>
      <c r="S1" s="74"/>
    </row>
    <row r="2" spans="1:19" ht="16.5" thickBot="1" x14ac:dyDescent="0.3">
      <c r="A2" s="40" t="s">
        <v>58</v>
      </c>
      <c r="B2" s="41" t="s">
        <v>57</v>
      </c>
      <c r="C2" s="55"/>
      <c r="D2" s="40" t="s">
        <v>39</v>
      </c>
      <c r="E2" s="39" t="s">
        <v>56</v>
      </c>
      <c r="F2" s="38" t="s">
        <v>55</v>
      </c>
      <c r="H2" s="60" t="s">
        <v>54</v>
      </c>
      <c r="I2" s="58" t="s">
        <v>53</v>
      </c>
      <c r="J2" s="58" t="s">
        <v>52</v>
      </c>
      <c r="K2" s="56" t="s">
        <v>51</v>
      </c>
      <c r="L2" s="57" t="s">
        <v>50</v>
      </c>
      <c r="M2" s="58" t="s">
        <v>49</v>
      </c>
      <c r="N2" s="59" t="s">
        <v>48</v>
      </c>
      <c r="O2" s="57" t="s">
        <v>47</v>
      </c>
      <c r="P2" s="58" t="s">
        <v>46</v>
      </c>
      <c r="Q2" s="56" t="s">
        <v>45</v>
      </c>
      <c r="R2" s="57" t="s">
        <v>44</v>
      </c>
      <c r="S2" s="56" t="s">
        <v>43</v>
      </c>
    </row>
    <row r="3" spans="1:19" x14ac:dyDescent="0.25">
      <c r="A3" s="1" t="s">
        <v>42</v>
      </c>
      <c r="B3" s="1" t="s">
        <v>258</v>
      </c>
      <c r="C3" s="55"/>
      <c r="D3" s="32" t="s">
        <v>183</v>
      </c>
      <c r="E3" s="24" t="s">
        <v>183</v>
      </c>
      <c r="F3" s="23" t="s">
        <v>182</v>
      </c>
      <c r="H3" s="20" t="str">
        <f>VLOOKUP(D3,[1]!Dictionary[#All],3,FALSE)</f>
        <v>Submental lymphatic chain</v>
      </c>
      <c r="I3" s="19">
        <f>VLOOKUP(D3,[1]!Dictionary[#All],4,FALSE)</f>
        <v>223846</v>
      </c>
      <c r="J3" s="19" t="str">
        <f>VLOOKUP(D3,[1]!Dictionary[#All],5,FALSE)</f>
        <v>FMA</v>
      </c>
      <c r="K3" s="18" t="str">
        <f>VLOOKUP(D3,[1]!Dictionary[#All],6,FALSE)</f>
        <v>3.2</v>
      </c>
      <c r="L3" s="53" t="str">
        <f>VLOOKUP(D3,[1]!VolumeType[#All],2,FALSE)</f>
        <v>CTV</v>
      </c>
      <c r="M3" s="16" t="str">
        <f>VLOOKUP(D3,[1]!VolumeType[#All],3,FALSE)</f>
        <v>Nodes</v>
      </c>
      <c r="N3" s="15" t="str">
        <f>VLOOKUP(D3,[1]!Colors[#All],3,FALSE)</f>
        <v>z CTV int L</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1" t="s">
        <v>39</v>
      </c>
      <c r="C4" s="55"/>
      <c r="D4" s="21" t="s">
        <v>181</v>
      </c>
      <c r="E4" s="24" t="s">
        <v>181</v>
      </c>
      <c r="F4" s="23" t="s">
        <v>180</v>
      </c>
      <c r="H4" s="20" t="str">
        <f>VLOOKUP(D4,[1]!Dictionary[#All],3,FALSE)</f>
        <v>Submandibular lymphatic chain</v>
      </c>
      <c r="I4" s="19">
        <f>VLOOKUP(D4,[1]!Dictionary[#All],4,FALSE)</f>
        <v>223782</v>
      </c>
      <c r="J4" s="19" t="str">
        <f>VLOOKUP(D4,[1]!Dictionary[#All],5,FALSE)</f>
        <v>FMA</v>
      </c>
      <c r="K4" s="18" t="str">
        <f>VLOOKUP(D4,[1]!Dictionary[#All],6,FALSE)</f>
        <v>3.2</v>
      </c>
      <c r="L4" s="53" t="str">
        <f>VLOOKUP(D4,[1]!VolumeType[#All],2,FALSE)</f>
        <v>CTV</v>
      </c>
      <c r="M4" s="16" t="str">
        <f>VLOOKUP(D4,[1]!VolumeType[#All],3,FALSE)</f>
        <v>Nodes</v>
      </c>
      <c r="N4" s="15" t="str">
        <f>VLOOKUP(D4,[1]!Colors[#All],3,FALSE)</f>
        <v>z CTV int R</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1" t="s">
        <v>259</v>
      </c>
      <c r="C5" s="55"/>
      <c r="D5" s="64" t="s">
        <v>179</v>
      </c>
      <c r="E5" s="65" t="s">
        <v>179</v>
      </c>
      <c r="F5" s="65" t="s">
        <v>178</v>
      </c>
      <c r="H5" s="20" t="str">
        <f>VLOOKUP(D5,[1]!Dictionary[#All],3,FALSE)</f>
        <v>Left level II lymphatic chain</v>
      </c>
      <c r="I5" s="19">
        <f>VLOOKUP(D5,[1]!Dictionary[#All],4,FALSE)</f>
        <v>265660</v>
      </c>
      <c r="J5" s="19" t="str">
        <f>VLOOKUP(D5,[1]!Dictionary[#All],5,FALSE)</f>
        <v>FMA</v>
      </c>
      <c r="K5" s="18" t="str">
        <f>VLOOKUP(D5,[1]!Dictionary[#All],6,FALSE)</f>
        <v>3.2</v>
      </c>
      <c r="L5" s="53" t="str">
        <f>VLOOKUP(D5,[1]!VolumeType[#All],2,FALSE)</f>
        <v>CTV</v>
      </c>
      <c r="M5" s="16" t="str">
        <f>VLOOKUP(D5,[1]!VolumeType[#All],3,FALSE)</f>
        <v>Nodes</v>
      </c>
      <c r="N5" s="15" t="str">
        <f>VLOOKUP(D5,[1]!Colors[#All],3,FALSE)</f>
        <v>z CTV int L</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ht="15.75" thickBot="1" x14ac:dyDescent="0.3">
      <c r="A6" s="1" t="s">
        <v>35</v>
      </c>
      <c r="B6" s="1">
        <v>3</v>
      </c>
      <c r="D6" s="66" t="s">
        <v>177</v>
      </c>
      <c r="E6" s="67" t="s">
        <v>177</v>
      </c>
      <c r="F6" s="67" t="s">
        <v>176</v>
      </c>
      <c r="H6" s="10" t="str">
        <f>VLOOKUP(D6,[1]!Dictionary[#All],3,FALSE)</f>
        <v>Right level II lymphatic chain</v>
      </c>
      <c r="I6" s="9">
        <f>VLOOKUP(D6,[1]!Dictionary[#All],4,FALSE)</f>
        <v>265658</v>
      </c>
      <c r="J6" s="9" t="str">
        <f>VLOOKUP(D6,[1]!Dictionary[#All],5,FALSE)</f>
        <v>FMA</v>
      </c>
      <c r="K6" s="8" t="str">
        <f>VLOOKUP(D6,[1]!Dictionary[#All],6,FALSE)</f>
        <v>3.2</v>
      </c>
      <c r="L6" s="52" t="str">
        <f>VLOOKUP(D6,[1]!VolumeType[#All],2,FALSE)</f>
        <v>CTV</v>
      </c>
      <c r="M6" s="6" t="str">
        <f>VLOOKUP(D6,[1]!VolumeType[#All],3,FALSE)</f>
        <v>Nodes</v>
      </c>
      <c r="N6" s="5" t="str">
        <f>VLOOKUP(D6,[1]!Colors[#All],3,FALSE)</f>
        <v>z CTV int R</v>
      </c>
      <c r="O6" s="3" t="str">
        <f>IFERROR(VLOOKUP(D6,[1]!DVH_lines[#Data],2,FALSE),"")</f>
        <v/>
      </c>
      <c r="P6" s="4" t="str">
        <f>IFERROR(VLOOKUP(D6,[1]!DVH_lines[#Data],3,FALSE),"")</f>
        <v/>
      </c>
      <c r="Q6" s="2" t="str">
        <f>IFERROR(VLOOKUP(D6,[1]!DVH_lines[#Data],4,FALSE),"")</f>
        <v/>
      </c>
      <c r="R6" s="3" t="str">
        <f>IFERROR(VLOOKUP(D6,[1]!SearchCT[#Data],2,FALSE),"")</f>
        <v/>
      </c>
      <c r="S6" s="2" t="str">
        <f>IFERROR(VLOOKUP(D6,[1]!SearchCT[#Data],3,FALSE),"")</f>
        <v/>
      </c>
    </row>
    <row r="7" spans="1:19" x14ac:dyDescent="0.25">
      <c r="A7" s="1" t="s">
        <v>33</v>
      </c>
      <c r="B7" s="1"/>
    </row>
    <row r="8" spans="1:19" x14ac:dyDescent="0.25">
      <c r="A8" s="1" t="s">
        <v>30</v>
      </c>
      <c r="B8" s="1"/>
    </row>
    <row r="9" spans="1:19" x14ac:dyDescent="0.25">
      <c r="A9" s="1" t="s">
        <v>27</v>
      </c>
      <c r="B9" s="1" t="s">
        <v>74</v>
      </c>
    </row>
    <row r="10" spans="1:19" x14ac:dyDescent="0.25">
      <c r="A10" s="1" t="s">
        <v>23</v>
      </c>
      <c r="B10" s="1" t="s">
        <v>22</v>
      </c>
    </row>
    <row r="11" spans="1:19" x14ac:dyDescent="0.25">
      <c r="A11" s="1" t="s">
        <v>19</v>
      </c>
      <c r="B11" s="1" t="s">
        <v>260</v>
      </c>
    </row>
    <row r="12" spans="1:19" x14ac:dyDescent="0.25">
      <c r="A12" s="1" t="s">
        <v>17</v>
      </c>
      <c r="B12" s="1" t="s">
        <v>16</v>
      </c>
    </row>
    <row r="13" spans="1:19" x14ac:dyDescent="0.25">
      <c r="A13" s="1" t="s">
        <v>14</v>
      </c>
      <c r="B13" s="1" t="s">
        <v>13</v>
      </c>
    </row>
    <row r="14" spans="1:19" x14ac:dyDescent="0.25">
      <c r="A14" s="1"/>
      <c r="B14" s="1"/>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3" sqref="D3:J6"/>
    </sheetView>
  </sheetViews>
  <sheetFormatPr defaultColWidth="9.140625" defaultRowHeight="15" x14ac:dyDescent="0.25"/>
  <cols>
    <col min="1" max="1" width="14.5703125" style="51" bestFit="1" customWidth="1"/>
    <col min="2" max="2" width="36.42578125" style="51" bestFit="1" customWidth="1"/>
    <col min="3" max="3" width="5.42578125" style="51" customWidth="1"/>
    <col min="4" max="4" width="10.28515625" style="51" bestFit="1" customWidth="1"/>
    <col min="5" max="5" width="9.7109375" style="51" bestFit="1" customWidth="1"/>
    <col min="6" max="6" width="46.42578125" style="51" bestFit="1" customWidth="1"/>
    <col min="7" max="7" width="6.7109375" style="51" customWidth="1"/>
    <col min="8" max="8" width="46.5703125" style="51" bestFit="1" customWidth="1"/>
    <col min="9" max="9" width="7" style="51" bestFit="1" customWidth="1"/>
    <col min="10" max="10" width="13.5703125" style="51" bestFit="1" customWidth="1"/>
    <col min="11" max="11" width="21" style="51" bestFit="1" customWidth="1"/>
    <col min="12" max="12" width="9.7109375" style="51" bestFit="1" customWidth="1"/>
    <col min="13" max="13" width="13.28515625" style="51" bestFit="1" customWidth="1"/>
    <col min="14" max="14" width="15.140625" style="51" bestFit="1" customWidth="1"/>
    <col min="15" max="15" width="14.42578125" style="51" bestFit="1" customWidth="1"/>
    <col min="16" max="16" width="14.140625" style="51" bestFit="1" customWidth="1"/>
    <col min="17" max="17" width="15.42578125" style="51" bestFit="1" customWidth="1"/>
    <col min="18" max="18" width="14" style="51" bestFit="1" customWidth="1"/>
    <col min="19" max="19" width="14.42578125" style="51" bestFit="1" customWidth="1"/>
    <col min="20" max="16384" width="9.140625" style="51"/>
  </cols>
  <sheetData>
    <row r="1" spans="1:19" ht="21.75" thickBot="1" x14ac:dyDescent="0.4">
      <c r="A1" s="71" t="s">
        <v>262</v>
      </c>
      <c r="B1" s="71"/>
      <c r="C1" s="61"/>
      <c r="D1" s="71" t="s">
        <v>64</v>
      </c>
      <c r="E1" s="71"/>
      <c r="F1" s="71"/>
      <c r="H1" s="72" t="s">
        <v>63</v>
      </c>
      <c r="I1" s="73"/>
      <c r="J1" s="73"/>
      <c r="K1" s="74"/>
      <c r="L1" s="72" t="s">
        <v>62</v>
      </c>
      <c r="M1" s="74"/>
      <c r="N1" s="42" t="s">
        <v>61</v>
      </c>
      <c r="O1" s="72" t="s">
        <v>60</v>
      </c>
      <c r="P1" s="73"/>
      <c r="Q1" s="74"/>
      <c r="R1" s="72" t="s">
        <v>59</v>
      </c>
      <c r="S1" s="74"/>
    </row>
    <row r="2" spans="1:19" ht="16.5" thickBot="1" x14ac:dyDescent="0.3">
      <c r="A2" s="40" t="s">
        <v>58</v>
      </c>
      <c r="B2" s="41" t="s">
        <v>57</v>
      </c>
      <c r="C2" s="55"/>
      <c r="D2" s="40" t="s">
        <v>39</v>
      </c>
      <c r="E2" s="39" t="s">
        <v>56</v>
      </c>
      <c r="F2" s="38" t="s">
        <v>55</v>
      </c>
      <c r="H2" s="60" t="s">
        <v>54</v>
      </c>
      <c r="I2" s="58" t="s">
        <v>53</v>
      </c>
      <c r="J2" s="58" t="s">
        <v>52</v>
      </c>
      <c r="K2" s="56" t="s">
        <v>51</v>
      </c>
      <c r="L2" s="57" t="s">
        <v>50</v>
      </c>
      <c r="M2" s="58" t="s">
        <v>49</v>
      </c>
      <c r="N2" s="59" t="s">
        <v>48</v>
      </c>
      <c r="O2" s="57" t="s">
        <v>47</v>
      </c>
      <c r="P2" s="58" t="s">
        <v>46</v>
      </c>
      <c r="Q2" s="56" t="s">
        <v>45</v>
      </c>
      <c r="R2" s="57" t="s">
        <v>44</v>
      </c>
      <c r="S2" s="56" t="s">
        <v>43</v>
      </c>
    </row>
    <row r="3" spans="1:19" x14ac:dyDescent="0.25">
      <c r="A3" s="1" t="s">
        <v>42</v>
      </c>
      <c r="B3" s="1" t="s">
        <v>262</v>
      </c>
      <c r="C3" s="55"/>
      <c r="D3" s="48" t="s">
        <v>175</v>
      </c>
      <c r="E3" s="25" t="s">
        <v>175</v>
      </c>
      <c r="F3" s="23" t="s">
        <v>174</v>
      </c>
      <c r="H3" s="20" t="str">
        <f>VLOOKUP(D3,[1]!Dictionary[#All],3,FALSE)</f>
        <v>Left level III lymphatic chain</v>
      </c>
      <c r="I3" s="19">
        <f>VLOOKUP(D3,[1]!Dictionary[#All],4,FALSE)</f>
        <v>241953</v>
      </c>
      <c r="J3" s="19" t="str">
        <f>VLOOKUP(D3,[1]!Dictionary[#All],5,FALSE)</f>
        <v>FMA</v>
      </c>
      <c r="K3" s="18" t="str">
        <f>VLOOKUP(D3,[1]!Dictionary[#All],6,FALSE)</f>
        <v>3.2</v>
      </c>
      <c r="L3" s="53" t="str">
        <f>VLOOKUP(D3,[1]!VolumeType[#All],2,FALSE)</f>
        <v>CTV</v>
      </c>
      <c r="M3" s="16" t="str">
        <f>VLOOKUP(D3,[1]!VolumeType[#All],3,FALSE)</f>
        <v>Nodes</v>
      </c>
      <c r="N3" s="15" t="str">
        <f>VLOOKUP(D3,[1]!Colors[#All],3,FALSE)</f>
        <v>z CTV int L</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1" t="s">
        <v>39</v>
      </c>
      <c r="C4" s="55"/>
      <c r="D4" s="48" t="s">
        <v>173</v>
      </c>
      <c r="E4" s="24" t="s">
        <v>173</v>
      </c>
      <c r="F4" s="47" t="s">
        <v>172</v>
      </c>
      <c r="H4" s="20" t="str">
        <f>VLOOKUP(D4,[1]!Dictionary[#All],3,FALSE)</f>
        <v>Right level III lymphatic chain</v>
      </c>
      <c r="I4" s="19">
        <f>VLOOKUP(D4,[1]!Dictionary[#All],4,FALSE)</f>
        <v>241951</v>
      </c>
      <c r="J4" s="19" t="str">
        <f>VLOOKUP(D4,[1]!Dictionary[#All],5,FALSE)</f>
        <v>FMA</v>
      </c>
      <c r="K4" s="18" t="str">
        <f>VLOOKUP(D4,[1]!Dictionary[#All],6,FALSE)</f>
        <v>3.2</v>
      </c>
      <c r="L4" s="53" t="str">
        <f>VLOOKUP(D4,[1]!VolumeType[#All],2,FALSE)</f>
        <v>CTV</v>
      </c>
      <c r="M4" s="16" t="str">
        <f>VLOOKUP(D4,[1]!VolumeType[#All],3,FALSE)</f>
        <v>Nodes</v>
      </c>
      <c r="N4" s="15" t="str">
        <f>VLOOKUP(D4,[1]!Colors[#All],3,FALSE)</f>
        <v>z CTV int R</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1" t="s">
        <v>261</v>
      </c>
      <c r="C5" s="55"/>
      <c r="D5" s="46" t="s">
        <v>171</v>
      </c>
      <c r="E5" s="25" t="s">
        <v>171</v>
      </c>
      <c r="F5" s="25" t="s">
        <v>170</v>
      </c>
      <c r="H5" s="20" t="str">
        <f>VLOOKUP(D5,[1]!Dictionary[#All],3,FALSE)</f>
        <v>Left inferior lateral deep cervical lymphatic chain</v>
      </c>
      <c r="I5" s="19">
        <f>VLOOKUP(D5,[1]!Dictionary[#All],4,FALSE)</f>
        <v>241959</v>
      </c>
      <c r="J5" s="19" t="str">
        <f>VLOOKUP(D5,[1]!Dictionary[#All],5,FALSE)</f>
        <v>FMA</v>
      </c>
      <c r="K5" s="18" t="str">
        <f>VLOOKUP(D5,[1]!Dictionary[#All],6,FALSE)</f>
        <v>3.2</v>
      </c>
      <c r="L5" s="53" t="str">
        <f>VLOOKUP(D5,[1]!VolumeType[#All],2,FALSE)</f>
        <v>CTV</v>
      </c>
      <c r="M5" s="16" t="str">
        <f>VLOOKUP(D5,[1]!VolumeType[#All],3,FALSE)</f>
        <v>Nodes</v>
      </c>
      <c r="N5" s="15" t="str">
        <f>VLOOKUP(D5,[1]!Colors[#All],3,FALSE)</f>
        <v>z CTV int L</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ht="15.75" thickBot="1" x14ac:dyDescent="0.3">
      <c r="A6" s="1" t="s">
        <v>35</v>
      </c>
      <c r="B6" s="1">
        <v>3</v>
      </c>
      <c r="C6" s="55"/>
      <c r="D6" s="21" t="s">
        <v>169</v>
      </c>
      <c r="E6" s="25" t="s">
        <v>169</v>
      </c>
      <c r="F6" s="25" t="s">
        <v>168</v>
      </c>
      <c r="H6" s="10" t="str">
        <f>VLOOKUP(D6,[1]!Dictionary[#All],3,FALSE)</f>
        <v>Right inferior lateral deep cervical lymphatic chain</v>
      </c>
      <c r="I6" s="9">
        <f>VLOOKUP(D6,[1]!Dictionary[#All],4,FALSE)</f>
        <v>241957</v>
      </c>
      <c r="J6" s="9" t="str">
        <f>VLOOKUP(D6,[1]!Dictionary[#All],5,FALSE)</f>
        <v>FMA</v>
      </c>
      <c r="K6" s="8" t="str">
        <f>VLOOKUP(D6,[1]!Dictionary[#All],6,FALSE)</f>
        <v>3.2</v>
      </c>
      <c r="L6" s="52" t="str">
        <f>VLOOKUP(D6,[1]!VolumeType[#All],2,FALSE)</f>
        <v>CTV</v>
      </c>
      <c r="M6" s="6" t="str">
        <f>VLOOKUP(D6,[1]!VolumeType[#All],3,FALSE)</f>
        <v>Nodes</v>
      </c>
      <c r="N6" s="5" t="str">
        <f>VLOOKUP(D6,[1]!Colors[#All],3,FALSE)</f>
        <v>z CTV int R</v>
      </c>
      <c r="O6" s="3" t="str">
        <f>IFERROR(VLOOKUP(D6,[1]!DVH_lines[#Data],2,FALSE),"")</f>
        <v/>
      </c>
      <c r="P6" s="4" t="str">
        <f>IFERROR(VLOOKUP(D6,[1]!DVH_lines[#Data],3,FALSE),"")</f>
        <v/>
      </c>
      <c r="Q6" s="2" t="str">
        <f>IFERROR(VLOOKUP(D6,[1]!DVH_lines[#Data],4,FALSE),"")</f>
        <v/>
      </c>
      <c r="R6" s="3" t="str">
        <f>IFERROR(VLOOKUP(D6,[1]!SearchCT[#Data],2,FALSE),"")</f>
        <v/>
      </c>
      <c r="S6" s="2" t="str">
        <f>IFERROR(VLOOKUP(D6,[1]!SearchCT[#Data],3,FALSE),"")</f>
        <v/>
      </c>
    </row>
    <row r="7" spans="1:19" x14ac:dyDescent="0.25">
      <c r="A7" s="1" t="s">
        <v>33</v>
      </c>
      <c r="B7" s="1"/>
    </row>
    <row r="8" spans="1:19" x14ac:dyDescent="0.25">
      <c r="A8" s="1" t="s">
        <v>30</v>
      </c>
      <c r="B8" s="1"/>
    </row>
    <row r="9" spans="1:19" x14ac:dyDescent="0.25">
      <c r="A9" s="1" t="s">
        <v>27</v>
      </c>
      <c r="B9" s="1" t="s">
        <v>74</v>
      </c>
    </row>
    <row r="10" spans="1:19" x14ac:dyDescent="0.25">
      <c r="A10" s="1" t="s">
        <v>23</v>
      </c>
      <c r="B10" s="1" t="s">
        <v>22</v>
      </c>
    </row>
    <row r="11" spans="1:19" x14ac:dyDescent="0.25">
      <c r="A11" s="1" t="s">
        <v>19</v>
      </c>
      <c r="B11" s="1" t="s">
        <v>263</v>
      </c>
    </row>
    <row r="12" spans="1:19" x14ac:dyDescent="0.25">
      <c r="A12" s="1" t="s">
        <v>17</v>
      </c>
      <c r="B12" s="1" t="s">
        <v>16</v>
      </c>
    </row>
    <row r="13" spans="1:19" x14ac:dyDescent="0.25">
      <c r="A13" s="1" t="s">
        <v>14</v>
      </c>
      <c r="B13" s="1" t="s">
        <v>13</v>
      </c>
    </row>
    <row r="14" spans="1:19" x14ac:dyDescent="0.25">
      <c r="A14" s="1"/>
      <c r="B14" s="1"/>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3" sqref="D3:J6"/>
    </sheetView>
  </sheetViews>
  <sheetFormatPr defaultColWidth="9.140625" defaultRowHeight="15" x14ac:dyDescent="0.25"/>
  <cols>
    <col min="1" max="1" width="14.5703125" style="51" bestFit="1" customWidth="1"/>
    <col min="2" max="2" width="36.42578125" style="51" bestFit="1" customWidth="1"/>
    <col min="3" max="3" width="5.42578125" style="51" customWidth="1"/>
    <col min="4" max="4" width="10.28515625" style="51" bestFit="1" customWidth="1"/>
    <col min="5" max="5" width="9.7109375" style="51" bestFit="1" customWidth="1"/>
    <col min="6" max="6" width="46.42578125" style="51" bestFit="1" customWidth="1"/>
    <col min="7" max="7" width="6.7109375" style="51" customWidth="1"/>
    <col min="8" max="8" width="46.5703125" style="51" bestFit="1" customWidth="1"/>
    <col min="9" max="9" width="7" style="51" bestFit="1" customWidth="1"/>
    <col min="10" max="10" width="13.5703125" style="51" bestFit="1" customWidth="1"/>
    <col min="11" max="11" width="21" style="51" bestFit="1" customWidth="1"/>
    <col min="12" max="12" width="9.7109375" style="51" bestFit="1" customWidth="1"/>
    <col min="13" max="13" width="13.28515625" style="51" bestFit="1" customWidth="1"/>
    <col min="14" max="14" width="15.140625" style="51" bestFit="1" customWidth="1"/>
    <col min="15" max="15" width="14.42578125" style="51" bestFit="1" customWidth="1"/>
    <col min="16" max="16" width="14.140625" style="51" bestFit="1" customWidth="1"/>
    <col min="17" max="17" width="15.42578125" style="51" bestFit="1" customWidth="1"/>
    <col min="18" max="18" width="14" style="51" bestFit="1" customWidth="1"/>
    <col min="19" max="19" width="14.42578125" style="51" bestFit="1" customWidth="1"/>
    <col min="20" max="16384" width="9.140625" style="51"/>
  </cols>
  <sheetData>
    <row r="1" spans="1:19" ht="21.75" thickBot="1" x14ac:dyDescent="0.4">
      <c r="A1" s="71" t="s">
        <v>264</v>
      </c>
      <c r="B1" s="71"/>
      <c r="C1" s="61"/>
      <c r="D1" s="71" t="s">
        <v>64</v>
      </c>
      <c r="E1" s="71"/>
      <c r="F1" s="71"/>
      <c r="H1" s="72" t="s">
        <v>63</v>
      </c>
      <c r="I1" s="73"/>
      <c r="J1" s="73"/>
      <c r="K1" s="74"/>
      <c r="L1" s="72" t="s">
        <v>62</v>
      </c>
      <c r="M1" s="74"/>
      <c r="N1" s="42" t="s">
        <v>61</v>
      </c>
      <c r="O1" s="72" t="s">
        <v>60</v>
      </c>
      <c r="P1" s="73"/>
      <c r="Q1" s="74"/>
      <c r="R1" s="72" t="s">
        <v>59</v>
      </c>
      <c r="S1" s="74"/>
    </row>
    <row r="2" spans="1:19" ht="16.5" thickBot="1" x14ac:dyDescent="0.3">
      <c r="A2" s="40" t="s">
        <v>58</v>
      </c>
      <c r="B2" s="41" t="s">
        <v>57</v>
      </c>
      <c r="C2" s="55"/>
      <c r="D2" s="40" t="s">
        <v>39</v>
      </c>
      <c r="E2" s="39" t="s">
        <v>56</v>
      </c>
      <c r="F2" s="38" t="s">
        <v>55</v>
      </c>
      <c r="H2" s="60" t="s">
        <v>54</v>
      </c>
      <c r="I2" s="58" t="s">
        <v>53</v>
      </c>
      <c r="J2" s="58" t="s">
        <v>52</v>
      </c>
      <c r="K2" s="56" t="s">
        <v>51</v>
      </c>
      <c r="L2" s="57" t="s">
        <v>50</v>
      </c>
      <c r="M2" s="58" t="s">
        <v>49</v>
      </c>
      <c r="N2" s="59" t="s">
        <v>48</v>
      </c>
      <c r="O2" s="57" t="s">
        <v>47</v>
      </c>
      <c r="P2" s="58" t="s">
        <v>46</v>
      </c>
      <c r="Q2" s="56" t="s">
        <v>45</v>
      </c>
      <c r="R2" s="57" t="s">
        <v>44</v>
      </c>
      <c r="S2" s="56" t="s">
        <v>43</v>
      </c>
    </row>
    <row r="3" spans="1:19" x14ac:dyDescent="0.25">
      <c r="A3" s="1" t="s">
        <v>42</v>
      </c>
      <c r="B3" s="1" t="s">
        <v>264</v>
      </c>
      <c r="C3" s="55"/>
      <c r="D3" s="21" t="s">
        <v>167</v>
      </c>
      <c r="E3" s="25" t="s">
        <v>167</v>
      </c>
      <c r="F3" s="25" t="s">
        <v>166</v>
      </c>
      <c r="H3" s="20" t="str">
        <f>VLOOKUP(D3,[1]!Dictionary[#All],3,FALSE)</f>
        <v>Left level V lymphatic chain</v>
      </c>
      <c r="I3" s="19">
        <f>VLOOKUP(D3,[1]!Dictionary[#All],4,FALSE)</f>
        <v>241965</v>
      </c>
      <c r="J3" s="19" t="str">
        <f>VLOOKUP(D3,[1]!Dictionary[#All],5,FALSE)</f>
        <v>FMA</v>
      </c>
      <c r="K3" s="18" t="str">
        <f>VLOOKUP(D3,[1]!Dictionary[#All],6,FALSE)</f>
        <v>3.2</v>
      </c>
      <c r="L3" s="53" t="str">
        <f>VLOOKUP(D3,[1]!VolumeType[#All],2,FALSE)</f>
        <v>CTV</v>
      </c>
      <c r="M3" s="16" t="str">
        <f>VLOOKUP(D3,[1]!VolumeType[#All],3,FALSE)</f>
        <v>Nodes</v>
      </c>
      <c r="N3" s="15" t="str">
        <f>VLOOKUP(D3,[1]!Colors[#All],3,FALSE)</f>
        <v>z CTV int L</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1" t="s">
        <v>39</v>
      </c>
      <c r="C4" s="55"/>
      <c r="D4" s="21" t="s">
        <v>165</v>
      </c>
      <c r="E4" s="25" t="s">
        <v>165</v>
      </c>
      <c r="F4" s="25" t="s">
        <v>164</v>
      </c>
      <c r="H4" s="20" t="str">
        <f>VLOOKUP(D4,[1]!Dictionary[#All],3,FALSE)</f>
        <v>Right level V lymphatic chain</v>
      </c>
      <c r="I4" s="19">
        <f>VLOOKUP(D4,[1]!Dictionary[#All],4,FALSE)</f>
        <v>241963</v>
      </c>
      <c r="J4" s="19" t="str">
        <f>VLOOKUP(D4,[1]!Dictionary[#All],5,FALSE)</f>
        <v>FMA</v>
      </c>
      <c r="K4" s="18" t="str">
        <f>VLOOKUP(D4,[1]!Dictionary[#All],6,FALSE)</f>
        <v>3.2</v>
      </c>
      <c r="L4" s="53" t="str">
        <f>VLOOKUP(D4,[1]!VolumeType[#All],2,FALSE)</f>
        <v>CTV</v>
      </c>
      <c r="M4" s="16" t="str">
        <f>VLOOKUP(D4,[1]!VolumeType[#All],3,FALSE)</f>
        <v>Nodes</v>
      </c>
      <c r="N4" s="15" t="str">
        <f>VLOOKUP(D4,[1]!Colors[#All],3,FALSE)</f>
        <v>z CTV int R</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1" t="s">
        <v>265</v>
      </c>
      <c r="C5" s="55"/>
      <c r="D5" s="21" t="s">
        <v>163</v>
      </c>
      <c r="E5" s="25" t="s">
        <v>163</v>
      </c>
      <c r="F5" s="25" t="s">
        <v>162</v>
      </c>
      <c r="H5" s="20" t="str">
        <f>VLOOKUP(D5,[1]!Dictionary[#All],3,FALSE)</f>
        <v>Left level VI lymphatic chain</v>
      </c>
      <c r="I5" s="19">
        <f>VLOOKUP(D5,[1]!Dictionary[#All],4,FALSE)</f>
        <v>241971</v>
      </c>
      <c r="J5" s="19" t="str">
        <f>VLOOKUP(D5,[1]!Dictionary[#All],5,FALSE)</f>
        <v>FMA</v>
      </c>
      <c r="K5" s="18" t="str">
        <f>VLOOKUP(D5,[1]!Dictionary[#All],6,FALSE)</f>
        <v>3.2</v>
      </c>
      <c r="L5" s="53" t="str">
        <f>VLOOKUP(D5,[1]!VolumeType[#All],2,FALSE)</f>
        <v>CTV</v>
      </c>
      <c r="M5" s="16" t="str">
        <f>VLOOKUP(D5,[1]!VolumeType[#All],3,FALSE)</f>
        <v>Nodes</v>
      </c>
      <c r="N5" s="15" t="str">
        <f>VLOOKUP(D5,[1]!Colors[#All],3,FALSE)</f>
        <v>z CTV int L</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ht="15.75" thickBot="1" x14ac:dyDescent="0.3">
      <c r="A6" s="1" t="s">
        <v>35</v>
      </c>
      <c r="B6" s="1">
        <v>3</v>
      </c>
      <c r="C6" s="55"/>
      <c r="D6" s="21" t="s">
        <v>161</v>
      </c>
      <c r="E6" s="25" t="s">
        <v>161</v>
      </c>
      <c r="F6" s="25" t="s">
        <v>160</v>
      </c>
      <c r="H6" s="10" t="str">
        <f>VLOOKUP(D6,[1]!Dictionary[#All],3,FALSE)</f>
        <v>Right level VI lymphatic chain</v>
      </c>
      <c r="I6" s="9">
        <f>VLOOKUP(D6,[1]!Dictionary[#All],4,FALSE)</f>
        <v>241969</v>
      </c>
      <c r="J6" s="9" t="str">
        <f>VLOOKUP(D6,[1]!Dictionary[#All],5,FALSE)</f>
        <v>FMA</v>
      </c>
      <c r="K6" s="8" t="str">
        <f>VLOOKUP(D6,[1]!Dictionary[#All],6,FALSE)</f>
        <v>3.2</v>
      </c>
      <c r="L6" s="52" t="str">
        <f>VLOOKUP(D6,[1]!VolumeType[#All],2,FALSE)</f>
        <v>CTV</v>
      </c>
      <c r="M6" s="6" t="str">
        <f>VLOOKUP(D6,[1]!VolumeType[#All],3,FALSE)</f>
        <v>Nodes</v>
      </c>
      <c r="N6" s="5" t="str">
        <f>VLOOKUP(D6,[1]!Colors[#All],3,FALSE)</f>
        <v>z CTV int R</v>
      </c>
      <c r="O6" s="3" t="str">
        <f>IFERROR(VLOOKUP(D6,[1]!DVH_lines[#Data],2,FALSE),"")</f>
        <v/>
      </c>
      <c r="P6" s="4" t="str">
        <f>IFERROR(VLOOKUP(D6,[1]!DVH_lines[#Data],3,FALSE),"")</f>
        <v/>
      </c>
      <c r="Q6" s="2" t="str">
        <f>IFERROR(VLOOKUP(D6,[1]!DVH_lines[#Data],4,FALSE),"")</f>
        <v/>
      </c>
      <c r="R6" s="3" t="str">
        <f>IFERROR(VLOOKUP(D6,[1]!SearchCT[#Data],2,FALSE),"")</f>
        <v/>
      </c>
      <c r="S6" s="2" t="str">
        <f>IFERROR(VLOOKUP(D6,[1]!SearchCT[#Data],3,FALSE),"")</f>
        <v/>
      </c>
    </row>
    <row r="7" spans="1:19" x14ac:dyDescent="0.25">
      <c r="A7" s="1" t="s">
        <v>33</v>
      </c>
      <c r="B7" s="1"/>
      <c r="C7" s="55"/>
    </row>
    <row r="8" spans="1:19" x14ac:dyDescent="0.25">
      <c r="A8" s="1" t="s">
        <v>30</v>
      </c>
      <c r="B8" s="1"/>
      <c r="C8" s="55"/>
    </row>
    <row r="9" spans="1:19" x14ac:dyDescent="0.25">
      <c r="A9" s="1" t="s">
        <v>27</v>
      </c>
      <c r="B9" s="1" t="s">
        <v>74</v>
      </c>
      <c r="C9" s="55"/>
    </row>
    <row r="10" spans="1:19" x14ac:dyDescent="0.25">
      <c r="A10" s="1" t="s">
        <v>23</v>
      </c>
      <c r="B10" s="1" t="s">
        <v>22</v>
      </c>
      <c r="C10" s="54"/>
    </row>
    <row r="11" spans="1:19" x14ac:dyDescent="0.25">
      <c r="A11" s="1" t="s">
        <v>19</v>
      </c>
      <c r="B11" s="1" t="s">
        <v>266</v>
      </c>
      <c r="C11" s="54"/>
    </row>
    <row r="12" spans="1:19" x14ac:dyDescent="0.25">
      <c r="A12" s="1" t="s">
        <v>17</v>
      </c>
      <c r="B12" s="1" t="s">
        <v>16</v>
      </c>
    </row>
    <row r="13" spans="1:19" x14ac:dyDescent="0.25">
      <c r="A13" s="1" t="s">
        <v>14</v>
      </c>
      <c r="B13" s="1" t="s">
        <v>13</v>
      </c>
    </row>
    <row r="14" spans="1:19" x14ac:dyDescent="0.25">
      <c r="A14" s="1"/>
      <c r="B14" s="1"/>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3" sqref="D3:J7"/>
    </sheetView>
  </sheetViews>
  <sheetFormatPr defaultRowHeight="15" x14ac:dyDescent="0.25"/>
  <cols>
    <col min="1" max="1" width="14.5703125" style="1" bestFit="1" customWidth="1"/>
    <col min="2" max="2" width="30" style="1" bestFit="1" customWidth="1"/>
    <col min="3" max="3" width="5.42578125" style="1" customWidth="1"/>
    <col min="4" max="5" width="16.28515625" style="1" bestFit="1" customWidth="1"/>
    <col min="6" max="6" width="30.140625" style="1" bestFit="1" customWidth="1"/>
    <col min="7" max="7" width="6.7109375" style="1" customWidth="1"/>
    <col min="8" max="8" width="25.28515625" style="1" bestFit="1" customWidth="1"/>
    <col min="9" max="9" width="12.570312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6.42578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 x14ac:dyDescent="0.35">
      <c r="A1" s="71" t="s">
        <v>272</v>
      </c>
      <c r="B1" s="71"/>
      <c r="C1" s="43"/>
      <c r="D1" s="71" t="s">
        <v>64</v>
      </c>
      <c r="E1" s="71"/>
      <c r="F1" s="71"/>
      <c r="H1" s="75" t="s">
        <v>63</v>
      </c>
      <c r="I1" s="77"/>
      <c r="J1" s="77"/>
      <c r="K1" s="76"/>
      <c r="L1" s="75" t="s">
        <v>62</v>
      </c>
      <c r="M1" s="77"/>
      <c r="N1" s="49" t="s">
        <v>61</v>
      </c>
      <c r="O1" s="75" t="s">
        <v>60</v>
      </c>
      <c r="P1" s="77"/>
      <c r="Q1" s="76"/>
      <c r="R1" s="75" t="s">
        <v>59</v>
      </c>
      <c r="S1" s="76"/>
    </row>
    <row r="2" spans="1:19" ht="15.75" x14ac:dyDescent="0.25">
      <c r="A2" s="40" t="s">
        <v>58</v>
      </c>
      <c r="B2" s="39"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44" t="s">
        <v>272</v>
      </c>
      <c r="C3" s="31"/>
      <c r="D3" s="21" t="s">
        <v>41</v>
      </c>
      <c r="E3" s="24" t="s">
        <v>41</v>
      </c>
      <c r="F3" s="25" t="s">
        <v>41</v>
      </c>
      <c r="H3" s="20" t="str">
        <f>VLOOKUP(D3,[1]!Dictionary[#All],3,FALSE)</f>
        <v>Spinal cord</v>
      </c>
      <c r="I3" s="19">
        <f>VLOOKUP(D3,[1]!Dictionary[#All],4,FALSE)</f>
        <v>7647</v>
      </c>
      <c r="J3" s="19" t="str">
        <f>VLOOKUP(D3,[1]!Dictionary[#All],5,FALSE)</f>
        <v>FMA</v>
      </c>
      <c r="K3" s="18" t="str">
        <f>VLOOKUP(D3,[1]!Dictionary[#All],6,FALSE)</f>
        <v>3.2</v>
      </c>
      <c r="L3" s="17" t="str">
        <f>VLOOKUP(D3,[1]!VolumeType[#All],2,FALSE)</f>
        <v>Organ</v>
      </c>
      <c r="M3" s="16" t="str">
        <f>VLOOKUP(D3,[1]!VolumeType[#All],3,FALSE)</f>
        <v>Organ</v>
      </c>
      <c r="N3" s="15" t="str">
        <f>VLOOKUP(D3,[1]!Colors[#All],3,FALSE)</f>
        <v>z Spinal Canal</v>
      </c>
      <c r="O3" s="13" t="str">
        <f>IFERROR(VLOOKUP(D3,[1]!DVH_lines[#Data],2,FALSE),"")</f>
        <v/>
      </c>
      <c r="P3" s="14" t="str">
        <f>IFERROR(VLOOKUP(D3,[1]!DVH_lines[#Data],3,FALSE),"")</f>
        <v/>
      </c>
      <c r="Q3" s="12" t="str">
        <f>IFERROR(VLOOKUP(D3,[1]!DVH_lines[#Data],4,FALSE),"")</f>
        <v/>
      </c>
      <c r="R3" s="13">
        <f>IFERROR(VLOOKUP(D3,[1]!SearchCT[#Data],2,FALSE),"")</f>
        <v>20</v>
      </c>
      <c r="S3" s="12">
        <f>IFERROR(VLOOKUP(D3,[1]!SearchCT[#Data],3,FALSE),"")</f>
        <v>40</v>
      </c>
    </row>
    <row r="4" spans="1:19" x14ac:dyDescent="0.25">
      <c r="A4" s="1" t="s">
        <v>40</v>
      </c>
      <c r="B4" s="28" t="s">
        <v>39</v>
      </c>
      <c r="C4" s="31"/>
      <c r="D4" s="21" t="s">
        <v>3</v>
      </c>
      <c r="E4" s="24" t="s">
        <v>3</v>
      </c>
      <c r="F4" s="25" t="s">
        <v>2</v>
      </c>
      <c r="H4" s="20" t="str">
        <f>VLOOKUP(D4,[1]!Dictionary[#All],3,FALSE)</f>
        <v>Cauda equina</v>
      </c>
      <c r="I4" s="19">
        <f>VLOOKUP(D4,[1]!Dictionary[#All],4,FALSE)</f>
        <v>52590</v>
      </c>
      <c r="J4" s="19" t="str">
        <f>VLOOKUP(D4,[1]!Dictionary[#All],5,FALSE)</f>
        <v>FMA</v>
      </c>
      <c r="K4" s="18" t="str">
        <f>VLOOKUP(D4,[1]!Dictionary[#All],6,FALSE)</f>
        <v>3.2</v>
      </c>
      <c r="L4" s="17" t="str">
        <f>VLOOKUP(D4,[1]!VolumeType[#All],2,FALSE)</f>
        <v>Organ</v>
      </c>
      <c r="M4" s="16" t="str">
        <f>VLOOKUP(D4,[1]!VolumeType[#All],3,FALSE)</f>
        <v>Organ</v>
      </c>
      <c r="N4" s="15" t="str">
        <f>VLOOKUP(D4,[1]!Colors[#All],3,FALSE)</f>
        <v>z Cauda Equina</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28" t="s">
        <v>273</v>
      </c>
      <c r="C5" s="31"/>
      <c r="D5" s="21" t="s">
        <v>139</v>
      </c>
      <c r="E5" s="24" t="s">
        <v>140</v>
      </c>
      <c r="F5" s="25" t="s">
        <v>139</v>
      </c>
      <c r="H5" s="20" t="str">
        <f>VLOOKUP(D5,[1]!Dictionary[#All],3,FALSE)</f>
        <v>Brainstem</v>
      </c>
      <c r="I5" s="19">
        <f>VLOOKUP(D5,[1]!Dictionary[#All],4,FALSE)</f>
        <v>79876</v>
      </c>
      <c r="J5" s="19" t="str">
        <f>VLOOKUP(D5,[1]!Dictionary[#All],5,FALSE)</f>
        <v>FMA</v>
      </c>
      <c r="K5" s="18" t="str">
        <f>VLOOKUP(D5,[1]!Dictionary[#All],6,FALSE)</f>
        <v>3.2</v>
      </c>
      <c r="L5" s="17" t="str">
        <f>VLOOKUP(D5,[1]!VolumeType[#All],2,FALSE)</f>
        <v>Organ</v>
      </c>
      <c r="M5" s="16" t="str">
        <f>VLOOKUP(D5,[1]!VolumeType[#All],3,FALSE)</f>
        <v>Organ</v>
      </c>
      <c r="N5" s="15" t="str">
        <f>VLOOKUP(D5,[1]!Colors[#All],3,FALSE)</f>
        <v>z Brain Stem</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x14ac:dyDescent="0.25">
      <c r="A6" s="1" t="s">
        <v>35</v>
      </c>
      <c r="B6" s="28">
        <v>3</v>
      </c>
      <c r="C6" s="31"/>
      <c r="D6" s="21" t="s">
        <v>198</v>
      </c>
      <c r="E6" s="24" t="s">
        <v>198</v>
      </c>
      <c r="F6" s="25" t="s">
        <v>198</v>
      </c>
      <c r="H6" s="20" t="str">
        <f>VLOOKUP(D6,[1]!Dictionary[#All],3,FALSE)</f>
        <v>Sacrum</v>
      </c>
      <c r="I6" s="19">
        <f>VLOOKUP(D6,[1]!Dictionary[#All],4,FALSE)</f>
        <v>16202</v>
      </c>
      <c r="J6" s="19" t="str">
        <f>VLOOKUP(D6,[1]!Dictionary[#All],5,FALSE)</f>
        <v>FMA</v>
      </c>
      <c r="K6" s="18" t="str">
        <f>VLOOKUP(D6,[1]!Dictionary[#All],6,FALSE)</f>
        <v>3.2</v>
      </c>
      <c r="L6" s="17" t="str">
        <f>VLOOKUP(D6,[1]!VolumeType[#All],2,FALSE)</f>
        <v>Organ</v>
      </c>
      <c r="M6" s="16" t="str">
        <f>VLOOKUP(D6,[1]!VolumeType[#All],3,FALSE)</f>
        <v>Organ</v>
      </c>
      <c r="N6" s="15" t="str">
        <f>VLOOKUP(D6,[1]!Colors[#All],3,FALSE)</f>
        <v>z Sacrum</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ht="15.75" thickBot="1" x14ac:dyDescent="0.3">
      <c r="A7" s="1" t="s">
        <v>33</v>
      </c>
      <c r="B7" s="29"/>
      <c r="C7" s="31"/>
      <c r="D7" s="21" t="s">
        <v>184</v>
      </c>
      <c r="E7" s="24" t="s">
        <v>184</v>
      </c>
      <c r="F7" s="25" t="s">
        <v>184</v>
      </c>
      <c r="H7" s="10" t="str">
        <f>VLOOKUP(D7,[1]!Dictionary[#All],3,FALSE)</f>
        <v>Sacral nerve plexus</v>
      </c>
      <c r="I7" s="9">
        <f>VLOOKUP(D7,[1]!Dictionary[#All],4,FALSE)</f>
        <v>5909</v>
      </c>
      <c r="J7" s="9" t="str">
        <f>VLOOKUP(D7,[1]!Dictionary[#All],5,FALSE)</f>
        <v>FMA</v>
      </c>
      <c r="K7" s="8" t="str">
        <f>VLOOKUP(D7,[1]!Dictionary[#All],6,FALSE)</f>
        <v>3.2</v>
      </c>
      <c r="L7" s="7" t="str">
        <f>VLOOKUP(D7,[1]!VolumeType[#All],2,FALSE)</f>
        <v>Organ</v>
      </c>
      <c r="M7" s="6" t="str">
        <f>VLOOKUP(D7,[1]!VolumeType[#All],3,FALSE)</f>
        <v>Organ</v>
      </c>
      <c r="N7" s="45" t="str">
        <f>VLOOKUP(D7,[1]!Colors[#All],3,FALSE)</f>
        <v>z Sacral plexus</v>
      </c>
      <c r="O7" s="3" t="str">
        <f>IFERROR(VLOOKUP(D7,[1]!DVH_lines[#Data],2,FALSE),"")</f>
        <v/>
      </c>
      <c r="P7" s="4" t="str">
        <f>IFERROR(VLOOKUP(D7,[1]!DVH_lines[#Data],3,FALSE),"")</f>
        <v/>
      </c>
      <c r="Q7" s="2" t="str">
        <f>IFERROR(VLOOKUP(D7,[1]!DVH_lines[#Data],4,FALSE),"")</f>
        <v/>
      </c>
      <c r="R7" s="3" t="str">
        <f>IFERROR(VLOOKUP(D7,[1]!SearchCT[#Data],2,FALSE),"")</f>
        <v/>
      </c>
      <c r="S7" s="2" t="str">
        <f>IFERROR(VLOOKUP(D7,[1]!SearchCT[#Data],3,FALSE),"")</f>
        <v/>
      </c>
    </row>
    <row r="8" spans="1:19" x14ac:dyDescent="0.25">
      <c r="A8" s="1" t="s">
        <v>30</v>
      </c>
      <c r="B8" s="30"/>
    </row>
    <row r="9" spans="1:19" x14ac:dyDescent="0.25">
      <c r="A9" s="1" t="s">
        <v>27</v>
      </c>
      <c r="B9" s="29" t="s">
        <v>26</v>
      </c>
    </row>
    <row r="10" spans="1:19" x14ac:dyDescent="0.25">
      <c r="A10" s="1" t="s">
        <v>23</v>
      </c>
      <c r="B10" s="29" t="s">
        <v>22</v>
      </c>
    </row>
    <row r="11" spans="1:19" x14ac:dyDescent="0.25">
      <c r="A11" s="1" t="s">
        <v>19</v>
      </c>
      <c r="B11" s="29" t="s">
        <v>278</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E23" sqref="E23"/>
    </sheetView>
  </sheetViews>
  <sheetFormatPr defaultRowHeight="15" x14ac:dyDescent="0.25"/>
  <cols>
    <col min="1" max="1" width="14.5703125" style="1" bestFit="1" customWidth="1"/>
    <col min="2" max="2" width="30" style="1" bestFit="1" customWidth="1"/>
    <col min="3" max="3" width="5.42578125" style="1" customWidth="1"/>
    <col min="4" max="5" width="16.28515625" style="1" bestFit="1" customWidth="1"/>
    <col min="6" max="6" width="30.140625" style="1" bestFit="1" customWidth="1"/>
    <col min="7" max="7" width="6.7109375" style="1" customWidth="1"/>
    <col min="8" max="8" width="25.28515625" style="1" bestFit="1" customWidth="1"/>
    <col min="9" max="9" width="12.570312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6.42578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 x14ac:dyDescent="0.35">
      <c r="A1" s="71" t="s">
        <v>267</v>
      </c>
      <c r="B1" s="71"/>
      <c r="C1" s="43"/>
      <c r="D1" s="71" t="s">
        <v>64</v>
      </c>
      <c r="E1" s="71"/>
      <c r="F1" s="71"/>
      <c r="H1" s="75" t="s">
        <v>63</v>
      </c>
      <c r="I1" s="77"/>
      <c r="J1" s="77"/>
      <c r="K1" s="76"/>
      <c r="L1" s="75" t="s">
        <v>62</v>
      </c>
      <c r="M1" s="77"/>
      <c r="N1" s="49" t="s">
        <v>61</v>
      </c>
      <c r="O1" s="75" t="s">
        <v>60</v>
      </c>
      <c r="P1" s="77"/>
      <c r="Q1" s="76"/>
      <c r="R1" s="75" t="s">
        <v>59</v>
      </c>
      <c r="S1" s="76"/>
    </row>
    <row r="2" spans="1:19" ht="15.75" x14ac:dyDescent="0.25">
      <c r="A2" s="40" t="s">
        <v>58</v>
      </c>
      <c r="B2" s="39"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44" t="s">
        <v>267</v>
      </c>
      <c r="C3" s="31"/>
      <c r="D3" s="46" t="s">
        <v>101</v>
      </c>
      <c r="E3" s="25" t="s">
        <v>101</v>
      </c>
      <c r="F3" s="25" t="s">
        <v>101</v>
      </c>
      <c r="H3" s="20" t="str">
        <f>VLOOKUP(D3,[1]!Dictionary[#All],3,FALSE)</f>
        <v>Heart</v>
      </c>
      <c r="I3" s="19">
        <f>VLOOKUP(D3,[1]!Dictionary[#All],4,FALSE)</f>
        <v>7088</v>
      </c>
      <c r="J3" s="19" t="str">
        <f>VLOOKUP(D3,[1]!Dictionary[#All],5,FALSE)</f>
        <v>FMA</v>
      </c>
      <c r="K3" s="18" t="str">
        <f>VLOOKUP(D3,[1]!Dictionary[#All],6,FALSE)</f>
        <v>3.2</v>
      </c>
      <c r="L3" s="17" t="str">
        <f>VLOOKUP(D3,[1]!VolumeType[#All],2,FALSE)</f>
        <v>Organ</v>
      </c>
      <c r="M3" s="16" t="str">
        <f>VLOOKUP(D3,[1]!VolumeType[#All],3,FALSE)</f>
        <v>Organ</v>
      </c>
      <c r="N3" s="15" t="str">
        <f>VLOOKUP(D3,[1]!Colors[#All],3,FALSE)</f>
        <v>z Heart</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28" t="s">
        <v>39</v>
      </c>
      <c r="C4" s="31"/>
      <c r="D4" s="21" t="s">
        <v>92</v>
      </c>
      <c r="E4" s="25" t="s">
        <v>91</v>
      </c>
      <c r="F4" s="25" t="s">
        <v>90</v>
      </c>
      <c r="H4" s="20" t="str">
        <f>VLOOKUP(D4,[1]!Dictionary[#All],3,FALSE)</f>
        <v>Great Vessels</v>
      </c>
      <c r="I4" s="19" t="str">
        <f>VLOOKUP(D4,[1]!Dictionary[#All],4,FALSE)</f>
        <v>GreatVessels</v>
      </c>
      <c r="J4" s="19" t="str">
        <f>VLOOKUP(D4,[1]!Dictionary[#All],5,FALSE)</f>
        <v>99VMS_STRUCTCODE</v>
      </c>
      <c r="K4" s="18" t="str">
        <f>VLOOKUP(D4,[1]!Dictionary[#All],6,FALSE)</f>
        <v>1.0</v>
      </c>
      <c r="L4" s="17" t="str">
        <f>VLOOKUP(D4,[1]!VolumeType[#All],2,FALSE)</f>
        <v>Organ</v>
      </c>
      <c r="M4" s="16" t="str">
        <f>VLOOKUP(D4,[1]!VolumeType[#All],3,FALSE)</f>
        <v>Organ</v>
      </c>
      <c r="N4" s="15" t="str">
        <f>VLOOKUP(D4,[1]!Colors[#All],3,FALSE)</f>
        <v>z Great Vessels</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28" t="s">
        <v>338</v>
      </c>
      <c r="C5" s="31"/>
      <c r="D5" s="21" t="s">
        <v>98</v>
      </c>
      <c r="E5" s="25" t="s">
        <v>97</v>
      </c>
      <c r="F5" s="25" t="s">
        <v>97</v>
      </c>
      <c r="H5" s="20" t="str">
        <f>VLOOKUP(D5,[1]!Dictionary[#All],3,FALSE)</f>
        <v>Pulmonary artery</v>
      </c>
      <c r="I5" s="19">
        <f>VLOOKUP(D5,[1]!Dictionary[#All],4,FALSE)</f>
        <v>66326</v>
      </c>
      <c r="J5" s="19" t="str">
        <f>VLOOKUP(D5,[1]!Dictionary[#All],5,FALSE)</f>
        <v>FMA</v>
      </c>
      <c r="K5" s="18" t="str">
        <f>VLOOKUP(D5,[1]!Dictionary[#All],6,FALSE)</f>
        <v>3.2</v>
      </c>
      <c r="L5" s="17" t="str">
        <f>VLOOKUP(D5,[1]!VolumeType[#All],2,FALSE)</f>
        <v>Organ</v>
      </c>
      <c r="M5" s="16" t="str">
        <f>VLOOKUP(D5,[1]!VolumeType[#All],3,FALSE)</f>
        <v>Organ</v>
      </c>
      <c r="N5" s="15" t="str">
        <f>VLOOKUP(D5,[1]!Colors[#All],3,FALSE)</f>
        <v>z PulmonaryArtry</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x14ac:dyDescent="0.25">
      <c r="A6" s="1" t="s">
        <v>35</v>
      </c>
      <c r="B6" s="28">
        <v>3</v>
      </c>
      <c r="C6" s="31"/>
      <c r="D6" s="21" t="s">
        <v>100</v>
      </c>
      <c r="E6" s="25" t="s">
        <v>100</v>
      </c>
      <c r="F6" s="25" t="s">
        <v>99</v>
      </c>
      <c r="H6" s="20" t="str">
        <f>VLOOKUP(D6,[1]!Dictionary[#All],3,FALSE)</f>
        <v>Aorta</v>
      </c>
      <c r="I6" s="19">
        <f>VLOOKUP(D6,[1]!Dictionary[#All],4,FALSE)</f>
        <v>3734</v>
      </c>
      <c r="J6" s="19" t="str">
        <f>VLOOKUP(D6,[1]!Dictionary[#All],5,FALSE)</f>
        <v>FMA</v>
      </c>
      <c r="K6" s="18" t="str">
        <f>VLOOKUP(D6,[1]!Dictionary[#All],6,FALSE)</f>
        <v>3.2</v>
      </c>
      <c r="L6" s="17" t="str">
        <f>VLOOKUP(D6,[1]!VolumeType[#All],2,FALSE)</f>
        <v>Organ</v>
      </c>
      <c r="M6" s="16" t="str">
        <f>VLOOKUP(D6,[1]!VolumeType[#All],3,FALSE)</f>
        <v>Organ</v>
      </c>
      <c r="N6" s="15" t="str">
        <f>VLOOKUP(D6,[1]!Colors[#All],3,FALSE)</f>
        <v>z Aorta</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ht="15.75" thickBot="1" x14ac:dyDescent="0.3">
      <c r="A7" s="1" t="s">
        <v>33</v>
      </c>
      <c r="B7" s="29"/>
      <c r="D7" s="70" t="s">
        <v>336</v>
      </c>
      <c r="E7" s="70" t="s">
        <v>336</v>
      </c>
      <c r="F7" s="1" t="s">
        <v>337</v>
      </c>
      <c r="H7" s="10" t="str">
        <f>VLOOKUP(D7,[1]!Dictionary[#All],3,FALSE)</f>
        <v>Subclavian artery</v>
      </c>
      <c r="I7" s="9">
        <f>VLOOKUP(D7,[1]!Dictionary[#All],4,FALSE)</f>
        <v>3951</v>
      </c>
      <c r="J7" s="9" t="str">
        <f>VLOOKUP(D7,[1]!Dictionary[#All],5,FALSE)</f>
        <v>FMA</v>
      </c>
      <c r="K7" s="8" t="str">
        <f>VLOOKUP(D7,[1]!Dictionary[#All],6,FALSE)</f>
        <v>3.2</v>
      </c>
      <c r="L7" s="7" t="str">
        <f>VLOOKUP(D7,[1]!VolumeType[#All],2,FALSE)</f>
        <v>Organ</v>
      </c>
      <c r="M7" s="6" t="str">
        <f>VLOOKUP(D7,[1]!VolumeType[#All],3,FALSE)</f>
        <v>Organ</v>
      </c>
      <c r="N7" s="45" t="str">
        <f>VLOOKUP(D7,[1]!Colors[#All],3,FALSE)</f>
        <v>zAxillaryVessels</v>
      </c>
      <c r="O7" s="3" t="str">
        <f>IFERROR(VLOOKUP(D7,[1]!DVH_lines[#Data],2,FALSE),"")</f>
        <v/>
      </c>
      <c r="P7" s="4" t="str">
        <f>IFERROR(VLOOKUP(D7,[1]!DVH_lines[#Data],3,FALSE),"")</f>
        <v/>
      </c>
      <c r="Q7" s="2" t="str">
        <f>IFERROR(VLOOKUP(D7,[1]!DVH_lines[#Data],4,FALSE),"")</f>
        <v/>
      </c>
      <c r="R7" s="3" t="str">
        <f>IFERROR(VLOOKUP(D7,[1]!SearchCT[#Data],2,FALSE),"")</f>
        <v/>
      </c>
      <c r="S7" s="2" t="str">
        <f>IFERROR(VLOOKUP(D7,[1]!SearchCT[#Data],3,FALSE),"")</f>
        <v/>
      </c>
    </row>
    <row r="8" spans="1:19" x14ac:dyDescent="0.25">
      <c r="A8" s="1" t="s">
        <v>30</v>
      </c>
      <c r="B8" s="30"/>
    </row>
    <row r="9" spans="1:19" x14ac:dyDescent="0.25">
      <c r="A9" s="1" t="s">
        <v>27</v>
      </c>
      <c r="B9" s="29" t="s">
        <v>26</v>
      </c>
    </row>
    <row r="10" spans="1:19" x14ac:dyDescent="0.25">
      <c r="A10" s="1" t="s">
        <v>23</v>
      </c>
      <c r="B10" s="29" t="s">
        <v>22</v>
      </c>
    </row>
    <row r="11" spans="1:19" x14ac:dyDescent="0.25">
      <c r="A11" s="1" t="s">
        <v>19</v>
      </c>
      <c r="B11" s="29" t="s">
        <v>279</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6" sqref="D6"/>
    </sheetView>
  </sheetViews>
  <sheetFormatPr defaultRowHeight="15" x14ac:dyDescent="0.25"/>
  <cols>
    <col min="1" max="1" width="14.5703125" style="1" bestFit="1" customWidth="1"/>
    <col min="2" max="2" width="30" style="1" bestFit="1" customWidth="1"/>
    <col min="3" max="3" width="5.42578125" style="1" customWidth="1"/>
    <col min="4" max="5" width="16.28515625" style="1" bestFit="1" customWidth="1"/>
    <col min="6" max="6" width="30.140625" style="1" bestFit="1" customWidth="1"/>
    <col min="7" max="7" width="6.7109375" style="1" customWidth="1"/>
    <col min="8" max="8" width="25.28515625" style="1" bestFit="1" customWidth="1"/>
    <col min="9" max="9" width="12.570312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6.42578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 x14ac:dyDescent="0.35">
      <c r="A1" s="71" t="s">
        <v>112</v>
      </c>
      <c r="B1" s="71"/>
      <c r="C1" s="43"/>
      <c r="D1" s="71" t="s">
        <v>64</v>
      </c>
      <c r="E1" s="71"/>
      <c r="F1" s="71"/>
      <c r="H1" s="75" t="s">
        <v>63</v>
      </c>
      <c r="I1" s="77"/>
      <c r="J1" s="77"/>
      <c r="K1" s="76"/>
      <c r="L1" s="75" t="s">
        <v>62</v>
      </c>
      <c r="M1" s="77"/>
      <c r="N1" s="49" t="s">
        <v>61</v>
      </c>
      <c r="O1" s="75" t="s">
        <v>60</v>
      </c>
      <c r="P1" s="77"/>
      <c r="Q1" s="76"/>
      <c r="R1" s="75" t="s">
        <v>59</v>
      </c>
      <c r="S1" s="76"/>
    </row>
    <row r="2" spans="1:19" ht="15.75" x14ac:dyDescent="0.25">
      <c r="A2" s="40" t="s">
        <v>58</v>
      </c>
      <c r="B2" s="39"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44" t="s">
        <v>112</v>
      </c>
      <c r="C3" s="31"/>
      <c r="D3" s="21" t="s">
        <v>96</v>
      </c>
      <c r="E3" s="25" t="s">
        <v>96</v>
      </c>
      <c r="F3" s="25" t="s">
        <v>95</v>
      </c>
      <c r="H3" s="20" t="str">
        <f>VLOOKUP(D3,[1]!Dictionary[#All],3,FALSE)</f>
        <v>Left brachial nerve plexus</v>
      </c>
      <c r="I3" s="19">
        <f>VLOOKUP(D3,[1]!Dictionary[#All],4,FALSE)</f>
        <v>45245</v>
      </c>
      <c r="J3" s="19" t="str">
        <f>VLOOKUP(D3,[1]!Dictionary[#All],5,FALSE)</f>
        <v>FMA</v>
      </c>
      <c r="K3" s="18" t="str">
        <f>VLOOKUP(D3,[1]!Dictionary[#All],6,FALSE)</f>
        <v>3.2</v>
      </c>
      <c r="L3" s="17" t="str">
        <f>VLOOKUP(D3,[1]!VolumeType[#All],2,FALSE)</f>
        <v>Organ</v>
      </c>
      <c r="M3" s="16" t="str">
        <f>VLOOKUP(D3,[1]!VolumeType[#All],3,FALSE)</f>
        <v>Organ</v>
      </c>
      <c r="N3" s="15" t="str">
        <f>VLOOKUP(D3,[1]!Colors[#All],3,FALSE)</f>
        <v>zBrachialPlexusL</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28" t="s">
        <v>39</v>
      </c>
      <c r="C4" s="31"/>
      <c r="D4" s="21" t="s">
        <v>94</v>
      </c>
      <c r="E4" s="25" t="s">
        <v>94</v>
      </c>
      <c r="F4" s="25" t="s">
        <v>93</v>
      </c>
      <c r="H4" s="20" t="str">
        <f>VLOOKUP(D4,[1]!Dictionary[#All],3,FALSE)</f>
        <v>Right brachial nerve plexus</v>
      </c>
      <c r="I4" s="19">
        <f>VLOOKUP(D4,[1]!Dictionary[#All],4,FALSE)</f>
        <v>45244</v>
      </c>
      <c r="J4" s="19" t="str">
        <f>VLOOKUP(D4,[1]!Dictionary[#All],5,FALSE)</f>
        <v>FMA</v>
      </c>
      <c r="K4" s="18" t="str">
        <f>VLOOKUP(D4,[1]!Dictionary[#All],6,FALSE)</f>
        <v>3.2</v>
      </c>
      <c r="L4" s="17" t="str">
        <f>VLOOKUP(D4,[1]!VolumeType[#All],2,FALSE)</f>
        <v>Organ</v>
      </c>
      <c r="M4" s="16" t="str">
        <f>VLOOKUP(D4,[1]!VolumeType[#All],3,FALSE)</f>
        <v>Organ</v>
      </c>
      <c r="N4" s="15" t="str">
        <f>VLOOKUP(D4,[1]!Colors[#All],3,FALSE)</f>
        <v>zBrachialPlexusR</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28" t="s">
        <v>268</v>
      </c>
      <c r="C5" s="31"/>
      <c r="D5" s="21" t="s">
        <v>38</v>
      </c>
      <c r="E5" s="25" t="s">
        <v>38</v>
      </c>
      <c r="F5" s="25" t="s">
        <v>38</v>
      </c>
      <c r="H5" s="20" t="str">
        <f>VLOOKUP(D5,[1]!Dictionary[#All],3,FALSE)</f>
        <v>Esophagus</v>
      </c>
      <c r="I5" s="19">
        <f>VLOOKUP(D5,[1]!Dictionary[#All],4,FALSE)</f>
        <v>7131</v>
      </c>
      <c r="J5" s="19" t="str">
        <f>VLOOKUP(D5,[1]!Dictionary[#All],5,FALSE)</f>
        <v>FMA</v>
      </c>
      <c r="K5" s="18" t="str">
        <f>VLOOKUP(D5,[1]!Dictionary[#All],6,FALSE)</f>
        <v>3.2</v>
      </c>
      <c r="L5" s="17" t="str">
        <f>VLOOKUP(D5,[1]!VolumeType[#All],2,FALSE)</f>
        <v>Organ</v>
      </c>
      <c r="M5" s="16" t="str">
        <f>VLOOKUP(D5,[1]!VolumeType[#All],3,FALSE)</f>
        <v>Organ</v>
      </c>
      <c r="N5" s="15" t="str">
        <f>VLOOKUP(D5,[1]!Colors[#All],3,FALSE)</f>
        <v>z Esophagus</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x14ac:dyDescent="0.25">
      <c r="A6" s="1" t="s">
        <v>35</v>
      </c>
      <c r="B6" s="28">
        <v>3</v>
      </c>
      <c r="C6" s="31"/>
      <c r="D6" s="21" t="s">
        <v>315</v>
      </c>
      <c r="E6" s="25" t="s">
        <v>314</v>
      </c>
      <c r="F6" s="25" t="s">
        <v>345</v>
      </c>
      <c r="H6" s="20" t="str">
        <f>VLOOKUP(D6,[1]!Dictionary[#All],3,FALSE)</f>
        <v>Intercostal muscle</v>
      </c>
      <c r="I6" s="19">
        <f>VLOOKUP(D6,[1]!Dictionary[#All],4,FALSE)</f>
        <v>13354</v>
      </c>
      <c r="J6" s="19" t="str">
        <f>VLOOKUP(D6,[1]!Dictionary[#All],5,FALSE)</f>
        <v>FMA</v>
      </c>
      <c r="K6" s="18" t="str">
        <f>VLOOKUP(D6,[1]!Dictionary[#All],6,FALSE)</f>
        <v>3.2</v>
      </c>
      <c r="L6" s="17" t="str">
        <f>VLOOKUP(D6,[1]!VolumeType[#All],2,FALSE)</f>
        <v>Organ</v>
      </c>
      <c r="M6" s="16" t="str">
        <f>VLOOKUP(D6,[1]!VolumeType[#All],3,FALSE)</f>
        <v>Organ</v>
      </c>
      <c r="N6" s="15" t="str">
        <f>VLOOKUP(D6,[1]!Colors[#All],3,FALSE)</f>
        <v>zIntercostmuscle</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x14ac:dyDescent="0.25">
      <c r="A7" s="1" t="s">
        <v>33</v>
      </c>
      <c r="B7" s="29"/>
      <c r="C7" s="31"/>
      <c r="D7" s="21" t="s">
        <v>313</v>
      </c>
      <c r="E7" s="25" t="s">
        <v>313</v>
      </c>
      <c r="F7" s="25" t="s">
        <v>313</v>
      </c>
      <c r="H7" s="20" t="str">
        <f>VLOOKUP(D7,[1]!Dictionary[#All],3,FALSE)</f>
        <v>Pectoralis minor</v>
      </c>
      <c r="I7" s="19">
        <f>VLOOKUP(D7,[1]!Dictionary[#All],4,FALSE)</f>
        <v>13109</v>
      </c>
      <c r="J7" s="19" t="str">
        <f>VLOOKUP(D7,[1]!Dictionary[#All],5,FALSE)</f>
        <v>FMA</v>
      </c>
      <c r="K7" s="18" t="str">
        <f>VLOOKUP(D7,[1]!Dictionary[#All],6,FALSE)</f>
        <v>3.2</v>
      </c>
      <c r="L7" s="17" t="str">
        <f>VLOOKUP(D7,[1]!VolumeType[#All],2,FALSE)</f>
        <v>Organ</v>
      </c>
      <c r="M7" s="16" t="str">
        <f>VLOOKUP(D7,[1]!VolumeType[#All],3,FALSE)</f>
        <v>Organ</v>
      </c>
      <c r="N7" s="15" t="str">
        <f>VLOOKUP(D7,[1]!Colors[#All],3,FALSE)</f>
        <v>zPectoralisMinor</v>
      </c>
      <c r="O7" s="13" t="str">
        <f>IFERROR(VLOOKUP(D7,[1]!DVH_lines[#Data],2,FALSE),"")</f>
        <v/>
      </c>
      <c r="P7" s="14" t="str">
        <f>IFERROR(VLOOKUP(D7,[1]!DVH_lines[#Data],3,FALSE),"")</f>
        <v/>
      </c>
      <c r="Q7" s="12" t="str">
        <f>IFERROR(VLOOKUP(D7,[1]!DVH_lines[#Data],4,FALSE),"")</f>
        <v/>
      </c>
      <c r="R7" s="13" t="str">
        <f>IFERROR(VLOOKUP(D7,[1]!SearchCT[#Data],2,FALSE),"")</f>
        <v/>
      </c>
      <c r="S7" s="12" t="str">
        <f>IFERROR(VLOOKUP(D7,[1]!SearchCT[#Data],3,FALSE),"")</f>
        <v/>
      </c>
    </row>
    <row r="8" spans="1:19" ht="15.75" thickBot="1" x14ac:dyDescent="0.3">
      <c r="A8" s="1" t="s">
        <v>30</v>
      </c>
      <c r="B8" s="30"/>
      <c r="D8" s="21" t="s">
        <v>89</v>
      </c>
      <c r="E8" s="25" t="s">
        <v>89</v>
      </c>
      <c r="F8" s="25" t="s">
        <v>89</v>
      </c>
      <c r="H8" s="10" t="str">
        <f>VLOOKUP(D8,[1]!Dictionary[#All],3,FALSE)</f>
        <v>Set of ribs</v>
      </c>
      <c r="I8" s="9">
        <f>VLOOKUP(D8,[1]!Dictionary[#All],4,FALSE)</f>
        <v>71331</v>
      </c>
      <c r="J8" s="9" t="str">
        <f>VLOOKUP(D8,[1]!Dictionary[#All],5,FALSE)</f>
        <v>FMA</v>
      </c>
      <c r="K8" s="8" t="str">
        <f>VLOOKUP(D8,[1]!Dictionary[#All],6,FALSE)</f>
        <v>3.2</v>
      </c>
      <c r="L8" s="7" t="str">
        <f>VLOOKUP(D8,[1]!VolumeType[#All],2,FALSE)</f>
        <v>Organ</v>
      </c>
      <c r="M8" s="6" t="str">
        <f>VLOOKUP(D8,[1]!VolumeType[#All],3,FALSE)</f>
        <v>Organ</v>
      </c>
      <c r="N8" s="45" t="str">
        <f>VLOOKUP(D8,[1]!Colors[#All],3,FALSE)</f>
        <v>z Bone Rendering</v>
      </c>
      <c r="O8" s="3" t="str">
        <f>IFERROR(VLOOKUP(D8,[1]!DVH_lines[#Data],2,FALSE),"")</f>
        <v/>
      </c>
      <c r="P8" s="4" t="str">
        <f>IFERROR(VLOOKUP(D8,[1]!DVH_lines[#Data],3,FALSE),"")</f>
        <v/>
      </c>
      <c r="Q8" s="2" t="str">
        <f>IFERROR(VLOOKUP(D8,[1]!DVH_lines[#Data],4,FALSE),"")</f>
        <v/>
      </c>
      <c r="R8" s="3">
        <f>IFERROR(VLOOKUP(D8,[1]!SearchCT[#Data],2,FALSE),"")</f>
        <v>200</v>
      </c>
      <c r="S8" s="2">
        <f>IFERROR(VLOOKUP(D8,[1]!SearchCT[#Data],3,FALSE),"")</f>
        <v>2500</v>
      </c>
    </row>
    <row r="9" spans="1:19" x14ac:dyDescent="0.25">
      <c r="A9" s="1" t="s">
        <v>27</v>
      </c>
      <c r="B9" s="29" t="s">
        <v>26</v>
      </c>
    </row>
    <row r="10" spans="1:19" x14ac:dyDescent="0.25">
      <c r="A10" s="1" t="s">
        <v>23</v>
      </c>
      <c r="B10" s="29" t="s">
        <v>22</v>
      </c>
    </row>
    <row r="11" spans="1:19" x14ac:dyDescent="0.25">
      <c r="A11" s="1" t="s">
        <v>19</v>
      </c>
      <c r="B11" s="29" t="s">
        <v>280</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G23" sqref="G23"/>
    </sheetView>
  </sheetViews>
  <sheetFormatPr defaultRowHeight="15" x14ac:dyDescent="0.25"/>
  <cols>
    <col min="1" max="1" width="18.28515625" style="1" bestFit="1" customWidth="1"/>
    <col min="2" max="2" width="17.85546875" style="1" customWidth="1"/>
    <col min="3" max="3" width="5.42578125" style="1" customWidth="1"/>
    <col min="4" max="5" width="11.7109375" style="1" bestFit="1" customWidth="1"/>
    <col min="6" max="6" width="14" style="1" bestFit="1" customWidth="1"/>
    <col min="7" max="7" width="6.7109375" style="1" customWidth="1"/>
    <col min="8" max="8" width="14" style="1" bestFit="1" customWidth="1"/>
    <col min="9" max="9" width="6"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6.5703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 x14ac:dyDescent="0.35">
      <c r="A1" s="71" t="s">
        <v>358</v>
      </c>
      <c r="B1" s="71"/>
      <c r="C1" s="43"/>
      <c r="D1" s="71" t="s">
        <v>64</v>
      </c>
      <c r="E1" s="71"/>
      <c r="F1" s="71"/>
      <c r="H1" s="75" t="s">
        <v>63</v>
      </c>
      <c r="I1" s="77"/>
      <c r="J1" s="77"/>
      <c r="K1" s="76"/>
      <c r="L1" s="75" t="s">
        <v>62</v>
      </c>
      <c r="M1" s="77"/>
      <c r="N1" s="49" t="s">
        <v>61</v>
      </c>
      <c r="O1" s="75" t="s">
        <v>60</v>
      </c>
      <c r="P1" s="77"/>
      <c r="Q1" s="76"/>
      <c r="R1" s="75" t="s">
        <v>59</v>
      </c>
      <c r="S1" s="76"/>
    </row>
    <row r="2" spans="1:19" ht="15.75" x14ac:dyDescent="0.25">
      <c r="A2" s="40" t="s">
        <v>58</v>
      </c>
      <c r="B2" s="39"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44" t="s">
        <v>358</v>
      </c>
      <c r="C3" s="31"/>
      <c r="D3" s="21" t="s">
        <v>360</v>
      </c>
      <c r="E3" s="25" t="s">
        <v>360</v>
      </c>
      <c r="F3" s="25" t="s">
        <v>361</v>
      </c>
      <c r="H3" s="20" t="str">
        <f>VLOOKUP(D3,[1]!Dictionary[#All],3,FALSE)</f>
        <v>Right humerus</v>
      </c>
      <c r="I3" s="19">
        <f>VLOOKUP(D3,[1]!Dictionary[#All],4,FALSE)</f>
        <v>23130</v>
      </c>
      <c r="J3" s="19" t="str">
        <f>VLOOKUP(D3,[1]!Dictionary[#All],5,FALSE)</f>
        <v>FMA</v>
      </c>
      <c r="K3" s="18" t="str">
        <f>VLOOKUP(D3,[1]!Dictionary[#All],6,FALSE)</f>
        <v>3.2</v>
      </c>
      <c r="L3" s="17" t="str">
        <f>VLOOKUP(D3,[1]!VolumeType[#All],2,FALSE)</f>
        <v>Organ</v>
      </c>
      <c r="M3" s="16" t="str">
        <f>VLOOKUP(D3,[1]!VolumeType[#All],3,FALSE)</f>
        <v>Organ</v>
      </c>
      <c r="N3" s="15" t="str">
        <f>VLOOKUP(D3,[1]!Colors[#All],3,FALSE)</f>
        <v>z Bone Rendering</v>
      </c>
      <c r="O3" s="13" t="str">
        <f>IFERROR(VLOOKUP(D3,[1]!DVH_lines[#Data],2,FALSE),"")</f>
        <v/>
      </c>
      <c r="P3" s="14" t="str">
        <f>IFERROR(VLOOKUP(D3,[1]!DVH_lines[#Data],3,FALSE),"")</f>
        <v/>
      </c>
      <c r="Q3" s="12" t="str">
        <f>IFERROR(VLOOKUP(D3,[1]!DVH_lines[#Data],4,FALSE),"")</f>
        <v/>
      </c>
      <c r="R3" s="13">
        <f>IFERROR(VLOOKUP(D3,[1]!SearchCT[#Data],2,FALSE),"")</f>
        <v>200</v>
      </c>
      <c r="S3" s="12">
        <f>IFERROR(VLOOKUP(D3,[1]!SearchCT[#Data],3,FALSE),"")</f>
        <v>2500</v>
      </c>
    </row>
    <row r="4" spans="1:19" x14ac:dyDescent="0.25">
      <c r="A4" s="1" t="s">
        <v>40</v>
      </c>
      <c r="B4" s="28" t="s">
        <v>39</v>
      </c>
      <c r="C4" s="31"/>
      <c r="D4" s="21" t="s">
        <v>362</v>
      </c>
      <c r="E4" s="25" t="s">
        <v>362</v>
      </c>
      <c r="F4" s="25" t="s">
        <v>363</v>
      </c>
      <c r="H4" s="20" t="str">
        <f>VLOOKUP(D4,[1]!Dictionary[#All],3,FALSE)</f>
        <v>Left humerus</v>
      </c>
      <c r="I4" s="19">
        <f>VLOOKUP(D4,[1]!Dictionary[#All],4,FALSE)</f>
        <v>23131</v>
      </c>
      <c r="J4" s="19" t="str">
        <f>VLOOKUP(D4,[1]!Dictionary[#All],5,FALSE)</f>
        <v>FMA</v>
      </c>
      <c r="K4" s="18" t="str">
        <f>VLOOKUP(D4,[1]!Dictionary[#All],6,FALSE)</f>
        <v>3.2</v>
      </c>
      <c r="L4" s="17" t="str">
        <f>VLOOKUP(D4,[1]!VolumeType[#All],2,FALSE)</f>
        <v>Organ</v>
      </c>
      <c r="M4" s="16" t="str">
        <f>VLOOKUP(D4,[1]!VolumeType[#All],3,FALSE)</f>
        <v>Organ</v>
      </c>
      <c r="N4" s="15" t="str">
        <f>VLOOKUP(D4,[1]!Colors[#All],3,FALSE)</f>
        <v>z Bone Rendering</v>
      </c>
      <c r="O4" s="13" t="str">
        <f>IFERROR(VLOOKUP(D4,[1]!DVH_lines[#Data],2,FALSE),"")</f>
        <v/>
      </c>
      <c r="P4" s="14" t="str">
        <f>IFERROR(VLOOKUP(D4,[1]!DVH_lines[#Data],3,FALSE),"")</f>
        <v/>
      </c>
      <c r="Q4" s="12" t="str">
        <f>IFERROR(VLOOKUP(D4,[1]!DVH_lines[#Data],4,FALSE),"")</f>
        <v/>
      </c>
      <c r="R4" s="13">
        <f>IFERROR(VLOOKUP(D4,[1]!SearchCT[#Data],2,FALSE),"")</f>
        <v>200</v>
      </c>
      <c r="S4" s="12">
        <f>IFERROR(VLOOKUP(D4,[1]!SearchCT[#Data],3,FALSE),"")</f>
        <v>2500</v>
      </c>
    </row>
    <row r="5" spans="1:19" x14ac:dyDescent="0.25">
      <c r="A5" s="1" t="s">
        <v>37</v>
      </c>
      <c r="B5" s="28" t="s">
        <v>359</v>
      </c>
      <c r="C5" s="31"/>
      <c r="D5" s="21" t="s">
        <v>364</v>
      </c>
      <c r="E5" s="25" t="s">
        <v>364</v>
      </c>
      <c r="F5" s="25" t="s">
        <v>365</v>
      </c>
      <c r="H5" s="20" t="str">
        <f>VLOOKUP(D5,[1]!Dictionary[#All],3,FALSE)</f>
        <v>Right radius</v>
      </c>
      <c r="I5" s="19">
        <f>VLOOKUP(D5,[1]!Dictionary[#All],4,FALSE)</f>
        <v>23464</v>
      </c>
      <c r="J5" s="19" t="str">
        <f>VLOOKUP(D5,[1]!Dictionary[#All],5,FALSE)</f>
        <v>FMA</v>
      </c>
      <c r="K5" s="18" t="str">
        <f>VLOOKUP(D5,[1]!Dictionary[#All],6,FALSE)</f>
        <v>3.2</v>
      </c>
      <c r="L5" s="17" t="str">
        <f>VLOOKUP(D5,[1]!VolumeType[#All],2,FALSE)</f>
        <v>Organ</v>
      </c>
      <c r="M5" s="16" t="str">
        <f>VLOOKUP(D5,[1]!VolumeType[#All],3,FALSE)</f>
        <v>Organ</v>
      </c>
      <c r="N5" s="15" t="str">
        <f>VLOOKUP(D5,[1]!Colors[#All],3,FALSE)</f>
        <v>z Bone Rendering</v>
      </c>
      <c r="O5" s="13" t="str">
        <f>IFERROR(VLOOKUP(D5,[1]!DVH_lines[#Data],2,FALSE),"")</f>
        <v/>
      </c>
      <c r="P5" s="14" t="str">
        <f>IFERROR(VLOOKUP(D5,[1]!DVH_lines[#Data],3,FALSE),"")</f>
        <v/>
      </c>
      <c r="Q5" s="12" t="str">
        <f>IFERROR(VLOOKUP(D5,[1]!DVH_lines[#Data],4,FALSE),"")</f>
        <v/>
      </c>
      <c r="R5" s="13">
        <f>IFERROR(VLOOKUP(D5,[1]!SearchCT[#Data],2,FALSE),"")</f>
        <v>200</v>
      </c>
      <c r="S5" s="12">
        <f>IFERROR(VLOOKUP(D5,[1]!SearchCT[#Data],3,FALSE),"")</f>
        <v>2500</v>
      </c>
    </row>
    <row r="6" spans="1:19" x14ac:dyDescent="0.25">
      <c r="A6" s="1" t="s">
        <v>35</v>
      </c>
      <c r="B6" s="28">
        <v>3</v>
      </c>
      <c r="C6" s="31"/>
      <c r="D6" s="21" t="s">
        <v>366</v>
      </c>
      <c r="E6" s="25" t="s">
        <v>366</v>
      </c>
      <c r="F6" s="25" t="s">
        <v>367</v>
      </c>
      <c r="H6" s="20" t="str">
        <f>VLOOKUP(D6,[1]!Dictionary[#All],3,FALSE)</f>
        <v>Left radius</v>
      </c>
      <c r="I6" s="19">
        <f>VLOOKUP(D6,[1]!Dictionary[#All],4,FALSE)</f>
        <v>23465</v>
      </c>
      <c r="J6" s="19" t="str">
        <f>VLOOKUP(D6,[1]!Dictionary[#All],5,FALSE)</f>
        <v>FMA</v>
      </c>
      <c r="K6" s="18" t="str">
        <f>VLOOKUP(D6,[1]!Dictionary[#All],6,FALSE)</f>
        <v>3.2</v>
      </c>
      <c r="L6" s="17" t="str">
        <f>VLOOKUP(D6,[1]!VolumeType[#All],2,FALSE)</f>
        <v>Organ</v>
      </c>
      <c r="M6" s="16" t="str">
        <f>VLOOKUP(D6,[1]!VolumeType[#All],3,FALSE)</f>
        <v>Organ</v>
      </c>
      <c r="N6" s="15" t="str">
        <f>VLOOKUP(D6,[1]!Colors[#All],3,FALSE)</f>
        <v>z Bone Rendering</v>
      </c>
      <c r="O6" s="13" t="str">
        <f>IFERROR(VLOOKUP(D6,[1]!DVH_lines[#Data],2,FALSE),"")</f>
        <v/>
      </c>
      <c r="P6" s="14" t="str">
        <f>IFERROR(VLOOKUP(D6,[1]!DVH_lines[#Data],3,FALSE),"")</f>
        <v/>
      </c>
      <c r="Q6" s="12" t="str">
        <f>IFERROR(VLOOKUP(D6,[1]!DVH_lines[#Data],4,FALSE),"")</f>
        <v/>
      </c>
      <c r="R6" s="13">
        <f>IFERROR(VLOOKUP(D6,[1]!SearchCT[#Data],2,FALSE),"")</f>
        <v>200</v>
      </c>
      <c r="S6" s="12">
        <f>IFERROR(VLOOKUP(D6,[1]!SearchCT[#Data],3,FALSE),"")</f>
        <v>2500</v>
      </c>
    </row>
    <row r="7" spans="1:19" x14ac:dyDescent="0.25">
      <c r="A7" s="1" t="s">
        <v>33</v>
      </c>
      <c r="B7" s="29"/>
      <c r="C7" s="31"/>
      <c r="D7" s="21" t="s">
        <v>368</v>
      </c>
      <c r="E7" s="25" t="s">
        <v>368</v>
      </c>
      <c r="F7" s="25" t="s">
        <v>369</v>
      </c>
      <c r="H7" s="20" t="str">
        <f>VLOOKUP(D7,[1]!Dictionary[#All],3,FALSE)</f>
        <v>Right ulna</v>
      </c>
      <c r="I7" s="19">
        <f>VLOOKUP(D7,[1]!Dictionary[#All],4,FALSE)</f>
        <v>23467</v>
      </c>
      <c r="J7" s="19" t="str">
        <f>VLOOKUP(D7,[1]!Dictionary[#All],5,FALSE)</f>
        <v>FMA</v>
      </c>
      <c r="K7" s="18" t="str">
        <f>VLOOKUP(D7,[1]!Dictionary[#All],6,FALSE)</f>
        <v>3.2</v>
      </c>
      <c r="L7" s="17" t="str">
        <f>VLOOKUP(D7,[1]!VolumeType[#All],2,FALSE)</f>
        <v>Organ</v>
      </c>
      <c r="M7" s="16" t="str">
        <f>VLOOKUP(D7,[1]!VolumeType[#All],3,FALSE)</f>
        <v>Organ</v>
      </c>
      <c r="N7" s="15" t="str">
        <f>VLOOKUP(D7,[1]!Colors[#All],3,FALSE)</f>
        <v>z Bone Rendering</v>
      </c>
      <c r="O7" s="13" t="str">
        <f>IFERROR(VLOOKUP(D7,[1]!DVH_lines[#Data],2,FALSE),"")</f>
        <v/>
      </c>
      <c r="P7" s="14" t="str">
        <f>IFERROR(VLOOKUP(D7,[1]!DVH_lines[#Data],3,FALSE),"")</f>
        <v/>
      </c>
      <c r="Q7" s="12" t="str">
        <f>IFERROR(VLOOKUP(D7,[1]!DVH_lines[#Data],4,FALSE),"")</f>
        <v/>
      </c>
      <c r="R7" s="13">
        <f>IFERROR(VLOOKUP(D7,[1]!SearchCT[#Data],2,FALSE),"")</f>
        <v>200</v>
      </c>
      <c r="S7" s="12">
        <f>IFERROR(VLOOKUP(D7,[1]!SearchCT[#Data],3,FALSE),"")</f>
        <v>2500</v>
      </c>
    </row>
    <row r="8" spans="1:19" ht="15.75" thickBot="1" x14ac:dyDescent="0.3">
      <c r="A8" s="1" t="s">
        <v>30</v>
      </c>
      <c r="B8" s="30"/>
      <c r="D8" s="21" t="s">
        <v>370</v>
      </c>
      <c r="E8" s="25" t="s">
        <v>370</v>
      </c>
      <c r="F8" s="25" t="s">
        <v>371</v>
      </c>
      <c r="H8" s="10" t="str">
        <f>VLOOKUP(D8,[1]!Dictionary[#All],3,FALSE)</f>
        <v>Left ulna</v>
      </c>
      <c r="I8" s="9">
        <f>VLOOKUP(D8,[1]!Dictionary[#All],4,FALSE)</f>
        <v>23468</v>
      </c>
      <c r="J8" s="9" t="str">
        <f>VLOOKUP(D8,[1]!Dictionary[#All],5,FALSE)</f>
        <v>FMA</v>
      </c>
      <c r="K8" s="8" t="str">
        <f>VLOOKUP(D8,[1]!Dictionary[#All],6,FALSE)</f>
        <v>3.2</v>
      </c>
      <c r="L8" s="7" t="str">
        <f>VLOOKUP(D8,[1]!VolumeType[#All],2,FALSE)</f>
        <v>Organ</v>
      </c>
      <c r="M8" s="6" t="str">
        <f>VLOOKUP(D8,[1]!VolumeType[#All],3,FALSE)</f>
        <v>Organ</v>
      </c>
      <c r="N8" s="45" t="str">
        <f>VLOOKUP(D8,[1]!Colors[#All],3,FALSE)</f>
        <v>z Bone Rendering</v>
      </c>
      <c r="O8" s="3" t="str">
        <f>IFERROR(VLOOKUP(D8,[1]!DVH_lines[#Data],2,FALSE),"")</f>
        <v/>
      </c>
      <c r="P8" s="4" t="str">
        <f>IFERROR(VLOOKUP(D8,[1]!DVH_lines[#Data],3,FALSE),"")</f>
        <v/>
      </c>
      <c r="Q8" s="2" t="str">
        <f>IFERROR(VLOOKUP(D8,[1]!DVH_lines[#Data],4,FALSE),"")</f>
        <v/>
      </c>
      <c r="R8" s="3">
        <f>IFERROR(VLOOKUP(D8,[1]!SearchCT[#Data],2,FALSE),"")</f>
        <v>200</v>
      </c>
      <c r="S8" s="2">
        <f>IFERROR(VLOOKUP(D8,[1]!SearchCT[#Data],3,FALSE),"")</f>
        <v>2500</v>
      </c>
    </row>
    <row r="9" spans="1:19" x14ac:dyDescent="0.25">
      <c r="A9" s="1" t="s">
        <v>27</v>
      </c>
      <c r="B9" s="29" t="s">
        <v>26</v>
      </c>
    </row>
    <row r="10" spans="1:19" x14ac:dyDescent="0.25">
      <c r="A10" s="1" t="s">
        <v>23</v>
      </c>
      <c r="B10" s="29" t="s">
        <v>22</v>
      </c>
    </row>
    <row r="11" spans="1:19" x14ac:dyDescent="0.25">
      <c r="A11" s="1" t="s">
        <v>19</v>
      </c>
      <c r="B11" s="29" t="s">
        <v>372</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B6" sqref="B6"/>
    </sheetView>
  </sheetViews>
  <sheetFormatPr defaultRowHeight="15" x14ac:dyDescent="0.25"/>
  <cols>
    <col min="1" max="1" width="14.5703125" style="1" bestFit="1" customWidth="1"/>
    <col min="2" max="2" width="30" style="1" bestFit="1" customWidth="1"/>
    <col min="3" max="3" width="5.42578125" style="1" customWidth="1"/>
    <col min="4" max="5" width="16.28515625" style="1" bestFit="1" customWidth="1"/>
    <col min="6" max="6" width="30.140625" style="1" bestFit="1" customWidth="1"/>
    <col min="7" max="7" width="6.7109375" style="1" customWidth="1"/>
    <col min="8" max="8" width="25.28515625" style="1" bestFit="1" customWidth="1"/>
    <col min="9" max="9" width="12.570312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6.42578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 x14ac:dyDescent="0.35">
      <c r="A1" s="71" t="s">
        <v>339</v>
      </c>
      <c r="B1" s="71"/>
      <c r="C1" s="43"/>
      <c r="D1" s="71" t="s">
        <v>64</v>
      </c>
      <c r="E1" s="71"/>
      <c r="F1" s="71"/>
      <c r="H1" s="75" t="s">
        <v>63</v>
      </c>
      <c r="I1" s="77"/>
      <c r="J1" s="77"/>
      <c r="K1" s="76"/>
      <c r="L1" s="75" t="s">
        <v>62</v>
      </c>
      <c r="M1" s="77"/>
      <c r="N1" s="49" t="s">
        <v>61</v>
      </c>
      <c r="O1" s="75" t="s">
        <v>60</v>
      </c>
      <c r="P1" s="77"/>
      <c r="Q1" s="76"/>
      <c r="R1" s="75" t="s">
        <v>59</v>
      </c>
      <c r="S1" s="76"/>
    </row>
    <row r="2" spans="1:19" ht="15.75" x14ac:dyDescent="0.25">
      <c r="A2" s="40" t="s">
        <v>58</v>
      </c>
      <c r="B2" s="39"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44" t="s">
        <v>339</v>
      </c>
      <c r="C3" s="31"/>
      <c r="D3" s="1" t="s">
        <v>341</v>
      </c>
      <c r="E3" s="1" t="s">
        <v>341</v>
      </c>
      <c r="F3" s="1" t="s">
        <v>342</v>
      </c>
      <c r="H3" s="20" t="str">
        <f>VLOOKUP(D3,[1]!Dictionary[#All],3,FALSE)</f>
        <v>Left female breast</v>
      </c>
      <c r="I3" s="19">
        <f>VLOOKUP(D3,[1]!Dictionary[#All],4,FALSE)</f>
        <v>19910</v>
      </c>
      <c r="J3" s="19" t="str">
        <f>VLOOKUP(D3,[1]!Dictionary[#All],5,FALSE)</f>
        <v>FMA</v>
      </c>
      <c r="K3" s="18" t="str">
        <f>VLOOKUP(D3,[1]!Dictionary[#All],6,FALSE)</f>
        <v>3.2</v>
      </c>
      <c r="L3" s="17" t="str">
        <f>VLOOKUP(D3,[1]!VolumeType[#All],2,FALSE)</f>
        <v>Organ</v>
      </c>
      <c r="M3" s="16" t="str">
        <f>VLOOKUP(D3,[1]!VolumeType[#All],3,FALSE)</f>
        <v>Organ</v>
      </c>
      <c r="N3" s="15" t="str">
        <f>VLOOKUP(D3,[1]!Colors[#All],3,FALSE)</f>
        <v>z Breast L</v>
      </c>
      <c r="O3" s="13" t="str">
        <f>IFERROR(VLOOKUP(D3,[1]!DVH_lines[#Data],2,FALSE),"")</f>
        <v/>
      </c>
      <c r="P3" s="14" t="str">
        <f>IFERROR(VLOOKUP(D3,[1]!DVH_lines[#Data],3,FALSE),"")</f>
        <v/>
      </c>
      <c r="Q3" s="12" t="str">
        <f>IFERROR(VLOOKUP(D3,[1]!DVH_lines[#Data],4,FALSE),"")</f>
        <v/>
      </c>
      <c r="R3" s="13" t="str">
        <f>IFERROR(VLOOKUP(D3,[1]!SearchCT[#Data],2,FALSE),"")</f>
        <v/>
      </c>
      <c r="S3" s="12" t="str">
        <f>IFERROR(VLOOKUP(D3,[1]!SearchCT[#Data],3,FALSE),"")</f>
        <v/>
      </c>
    </row>
    <row r="4" spans="1:19" x14ac:dyDescent="0.25">
      <c r="A4" s="1" t="s">
        <v>40</v>
      </c>
      <c r="B4" s="28" t="s">
        <v>39</v>
      </c>
      <c r="C4" s="31"/>
      <c r="D4" s="1" t="s">
        <v>343</v>
      </c>
      <c r="E4" s="1" t="s">
        <v>343</v>
      </c>
      <c r="F4" s="1" t="s">
        <v>344</v>
      </c>
      <c r="H4" s="20" t="str">
        <f>VLOOKUP(D4,[1]!Dictionary[#All],3,FALSE)</f>
        <v>Right female breast</v>
      </c>
      <c r="I4" s="19">
        <f>VLOOKUP(D4,[1]!Dictionary[#All],4,FALSE)</f>
        <v>19908</v>
      </c>
      <c r="J4" s="19" t="str">
        <f>VLOOKUP(D4,[1]!Dictionary[#All],5,FALSE)</f>
        <v>FMA</v>
      </c>
      <c r="K4" s="18" t="str">
        <f>VLOOKUP(D4,[1]!Dictionary[#All],6,FALSE)</f>
        <v>3.2</v>
      </c>
      <c r="L4" s="17" t="str">
        <f>VLOOKUP(D4,[1]!VolumeType[#All],2,FALSE)</f>
        <v>Organ</v>
      </c>
      <c r="M4" s="16" t="str">
        <f>VLOOKUP(D4,[1]!VolumeType[#All],3,FALSE)</f>
        <v>Organ</v>
      </c>
      <c r="N4" s="15" t="str">
        <f>VLOOKUP(D4,[1]!Colors[#All],3,FALSE)</f>
        <v>z Breast R</v>
      </c>
      <c r="O4" s="13" t="str">
        <f>IFERROR(VLOOKUP(D4,[1]!DVH_lines[#Data],2,FALSE),"")</f>
        <v/>
      </c>
      <c r="P4" s="14" t="str">
        <f>IFERROR(VLOOKUP(D4,[1]!DVH_lines[#Data],3,FALSE),"")</f>
        <v/>
      </c>
      <c r="Q4" s="12" t="str">
        <f>IFERROR(VLOOKUP(D4,[1]!DVH_lines[#Data],4,FALSE),"")</f>
        <v/>
      </c>
      <c r="R4" s="13" t="str">
        <f>IFERROR(VLOOKUP(D4,[1]!SearchCT[#Data],2,FALSE),"")</f>
        <v/>
      </c>
      <c r="S4" s="12" t="str">
        <f>IFERROR(VLOOKUP(D4,[1]!SearchCT[#Data],3,FALSE),"")</f>
        <v/>
      </c>
    </row>
    <row r="5" spans="1:19" x14ac:dyDescent="0.25">
      <c r="A5" s="1" t="s">
        <v>37</v>
      </c>
      <c r="B5" s="28" t="s">
        <v>357</v>
      </c>
      <c r="C5" s="31"/>
      <c r="D5" s="1" t="s">
        <v>346</v>
      </c>
      <c r="E5" s="1" t="s">
        <v>346</v>
      </c>
      <c r="F5" s="1" t="s">
        <v>347</v>
      </c>
      <c r="H5" s="20" t="str">
        <f>VLOOKUP(D5,[1]!Dictionary[#All],3,FALSE)</f>
        <v>Level I axillary lymph node</v>
      </c>
      <c r="I5" s="19">
        <f>VLOOKUP(D5,[1]!Dictionary[#All],4,FALSE)</f>
        <v>14194</v>
      </c>
      <c r="J5" s="19" t="str">
        <f>VLOOKUP(D5,[1]!Dictionary[#All],5,FALSE)</f>
        <v>FMA</v>
      </c>
      <c r="K5" s="18" t="str">
        <f>VLOOKUP(D5,[1]!Dictionary[#All],6,FALSE)</f>
        <v>3.2</v>
      </c>
      <c r="L5" s="17" t="str">
        <f>VLOOKUP(D5,[1]!VolumeType[#All],2,FALSE)</f>
        <v>CTV</v>
      </c>
      <c r="M5" s="16" t="str">
        <f>VLOOKUP(D5,[1]!VolumeType[#All],3,FALSE)</f>
        <v>Nodes</v>
      </c>
      <c r="N5" s="15" t="str">
        <f>VLOOKUP(D5,[1]!Colors[#All],3,FALSE)</f>
        <v>z Nodes Axilla I</v>
      </c>
      <c r="O5" s="13" t="str">
        <f>IFERROR(VLOOKUP(D5,[1]!DVH_lines[#Data],2,FALSE),"")</f>
        <v/>
      </c>
      <c r="P5" s="14" t="str">
        <f>IFERROR(VLOOKUP(D5,[1]!DVH_lines[#Data],3,FALSE),"")</f>
        <v/>
      </c>
      <c r="Q5" s="12" t="str">
        <f>IFERROR(VLOOKUP(D5,[1]!DVH_lines[#Data],4,FALSE),"")</f>
        <v/>
      </c>
      <c r="R5" s="13" t="str">
        <f>IFERROR(VLOOKUP(D5,[1]!SearchCT[#Data],2,FALSE),"")</f>
        <v/>
      </c>
      <c r="S5" s="12" t="str">
        <f>IFERROR(VLOOKUP(D5,[1]!SearchCT[#Data],3,FALSE),"")</f>
        <v/>
      </c>
    </row>
    <row r="6" spans="1:19" x14ac:dyDescent="0.25">
      <c r="A6" s="1" t="s">
        <v>35</v>
      </c>
      <c r="B6" s="28">
        <v>3</v>
      </c>
      <c r="C6" s="31"/>
      <c r="D6" s="1" t="s">
        <v>348</v>
      </c>
      <c r="E6" s="1" t="s">
        <v>348</v>
      </c>
      <c r="F6" s="1" t="s">
        <v>349</v>
      </c>
      <c r="H6" s="20" t="str">
        <f>VLOOKUP(D6,[1]!Dictionary[#All],3,FALSE)</f>
        <v>Level II axillary lymph node</v>
      </c>
      <c r="I6" s="19">
        <f>VLOOKUP(D6,[1]!Dictionary[#All],4,FALSE)</f>
        <v>14195</v>
      </c>
      <c r="J6" s="19" t="str">
        <f>VLOOKUP(D6,[1]!Dictionary[#All],5,FALSE)</f>
        <v>FMA</v>
      </c>
      <c r="K6" s="18" t="str">
        <f>VLOOKUP(D6,[1]!Dictionary[#All],6,FALSE)</f>
        <v>3.2</v>
      </c>
      <c r="L6" s="17" t="str">
        <f>VLOOKUP(D6,[1]!VolumeType[#All],2,FALSE)</f>
        <v>CTV</v>
      </c>
      <c r="M6" s="16" t="str">
        <f>VLOOKUP(D6,[1]!VolumeType[#All],3,FALSE)</f>
        <v>Nodes</v>
      </c>
      <c r="N6" s="15" t="str">
        <f>VLOOKUP(D6,[1]!Colors[#All],3,FALSE)</f>
        <v>zNodes Axilla II</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x14ac:dyDescent="0.25">
      <c r="A7" s="1" t="s">
        <v>33</v>
      </c>
      <c r="B7" s="29"/>
      <c r="C7" s="31"/>
      <c r="D7" s="1" t="s">
        <v>350</v>
      </c>
      <c r="E7" s="1" t="s">
        <v>350</v>
      </c>
      <c r="F7" s="1" t="s">
        <v>351</v>
      </c>
      <c r="H7" s="20" t="str">
        <f>VLOOKUP(D7,[1]!Dictionary[#All],3,FALSE)</f>
        <v>Level III axillary lymph node</v>
      </c>
      <c r="I7" s="19">
        <f>VLOOKUP(D7,[1]!Dictionary[#All],4,FALSE)</f>
        <v>14196</v>
      </c>
      <c r="J7" s="19" t="str">
        <f>VLOOKUP(D7,[1]!Dictionary[#All],5,FALSE)</f>
        <v>FMA</v>
      </c>
      <c r="K7" s="18" t="str">
        <f>VLOOKUP(D7,[1]!Dictionary[#All],6,FALSE)</f>
        <v>3.2</v>
      </c>
      <c r="L7" s="17" t="str">
        <f>VLOOKUP(D7,[1]!VolumeType[#All],2,FALSE)</f>
        <v>CTV</v>
      </c>
      <c r="M7" s="16" t="str">
        <f>VLOOKUP(D7,[1]!VolumeType[#All],3,FALSE)</f>
        <v>Nodes</v>
      </c>
      <c r="N7" s="15" t="str">
        <f>VLOOKUP(D7,[1]!Colors[#All],3,FALSE)</f>
        <v>zNodesAxilla III</v>
      </c>
      <c r="O7" s="13" t="str">
        <f>IFERROR(VLOOKUP(D7,[1]!DVH_lines[#Data],2,FALSE),"")</f>
        <v/>
      </c>
      <c r="P7" s="14" t="str">
        <f>IFERROR(VLOOKUP(D7,[1]!DVH_lines[#Data],3,FALSE),"")</f>
        <v/>
      </c>
      <c r="Q7" s="12" t="str">
        <f>IFERROR(VLOOKUP(D7,[1]!DVH_lines[#Data],4,FALSE),"")</f>
        <v/>
      </c>
      <c r="R7" s="13" t="str">
        <f>IFERROR(VLOOKUP(D7,[1]!SearchCT[#Data],2,FALSE),"")</f>
        <v/>
      </c>
      <c r="S7" s="12" t="str">
        <f>IFERROR(VLOOKUP(D7,[1]!SearchCT[#Data],3,FALSE),"")</f>
        <v/>
      </c>
    </row>
    <row r="8" spans="1:19" x14ac:dyDescent="0.25">
      <c r="A8" s="1" t="s">
        <v>30</v>
      </c>
      <c r="B8" s="30"/>
      <c r="D8" s="1" t="s">
        <v>352</v>
      </c>
      <c r="E8" s="1" t="s">
        <v>352</v>
      </c>
      <c r="F8" s="1" t="s">
        <v>353</v>
      </c>
      <c r="H8" s="20" t="str">
        <f>VLOOKUP(D8,[1]!Dictionary[#All],3,FALSE)</f>
        <v>Parasternal lymphatic chain</v>
      </c>
      <c r="I8" s="19">
        <f>VLOOKUP(D8,[1]!Dictionary[#All],4,FALSE)</f>
        <v>235068</v>
      </c>
      <c r="J8" s="19" t="str">
        <f>VLOOKUP(D8,[1]!Dictionary[#All],5,FALSE)</f>
        <v>FMA</v>
      </c>
      <c r="K8" s="18" t="str">
        <f>VLOOKUP(D8,[1]!Dictionary[#All],6,FALSE)</f>
        <v>3.2</v>
      </c>
      <c r="L8" s="17" t="str">
        <f>VLOOKUP(D8,[1]!VolumeType[#All],2,FALSE)</f>
        <v>CTV</v>
      </c>
      <c r="M8" s="16" t="str">
        <f>VLOOKUP(D8,[1]!VolumeType[#All],3,FALSE)</f>
        <v>Nodes</v>
      </c>
      <c r="N8" s="15" t="str">
        <f>VLOOKUP(D8,[1]!Colors[#All],3,FALSE)</f>
        <v>z Nodes IMC</v>
      </c>
      <c r="O8" s="13" t="str">
        <f>IFERROR(VLOOKUP(D8,[1]!DVH_lines[#Data],2,FALSE),"")</f>
        <v/>
      </c>
      <c r="P8" s="14" t="str">
        <f>IFERROR(VLOOKUP(D8,[1]!DVH_lines[#Data],3,FALSE),"")</f>
        <v/>
      </c>
      <c r="Q8" s="12" t="str">
        <f>IFERROR(VLOOKUP(D8,[1]!DVH_lines[#Data],4,FALSE),"")</f>
        <v/>
      </c>
      <c r="R8" s="13" t="str">
        <f>IFERROR(VLOOKUP(D8,[1]!SearchCT[#Data],2,FALSE),"")</f>
        <v/>
      </c>
      <c r="S8" s="12" t="str">
        <f>IFERROR(VLOOKUP(D8,[1]!SearchCT[#Data],3,FALSE),"")</f>
        <v/>
      </c>
    </row>
    <row r="9" spans="1:19" ht="15.75" thickBot="1" x14ac:dyDescent="0.3">
      <c r="A9" s="1" t="s">
        <v>27</v>
      </c>
      <c r="B9" s="29" t="s">
        <v>26</v>
      </c>
      <c r="D9" s="1" t="s">
        <v>354</v>
      </c>
      <c r="E9" s="1" t="s">
        <v>354</v>
      </c>
      <c r="F9" s="1" t="s">
        <v>355</v>
      </c>
      <c r="H9" s="10" t="str">
        <f>VLOOKUP(D9,[1]!Dictionary[#All],3,FALSE)</f>
        <v>Supraclavicular lymph node</v>
      </c>
      <c r="I9" s="9">
        <f>VLOOKUP(D9,[1]!Dictionary[#All],4,FALSE)</f>
        <v>14192</v>
      </c>
      <c r="J9" s="9" t="str">
        <f>VLOOKUP(D9,[1]!Dictionary[#All],5,FALSE)</f>
        <v>FMA</v>
      </c>
      <c r="K9" s="8" t="str">
        <f>VLOOKUP(D9,[1]!Dictionary[#All],6,FALSE)</f>
        <v>3.2</v>
      </c>
      <c r="L9" s="7" t="str">
        <f>VLOOKUP(D9,[1]!VolumeType[#All],2,FALSE)</f>
        <v>CTV</v>
      </c>
      <c r="M9" s="6" t="str">
        <f>VLOOKUP(D9,[1]!VolumeType[#All],3,FALSE)</f>
        <v>Nodes</v>
      </c>
      <c r="N9" s="45" t="str">
        <f>VLOOKUP(D9,[1]!Colors[#All],3,FALSE)</f>
        <v>z Nodes SC</v>
      </c>
      <c r="O9" s="3" t="str">
        <f>IFERROR(VLOOKUP(D9,[1]!DVH_lines[#Data],2,FALSE),"")</f>
        <v/>
      </c>
      <c r="P9" s="4" t="str">
        <f>IFERROR(VLOOKUP(D9,[1]!DVH_lines[#Data],3,FALSE),"")</f>
        <v/>
      </c>
      <c r="Q9" s="2" t="str">
        <f>IFERROR(VLOOKUP(D9,[1]!DVH_lines[#Data],4,FALSE),"")</f>
        <v/>
      </c>
      <c r="R9" s="3" t="str">
        <f>IFERROR(VLOOKUP(D9,[1]!SearchCT[#Data],2,FALSE),"")</f>
        <v/>
      </c>
      <c r="S9" s="2" t="str">
        <f>IFERROR(VLOOKUP(D9,[1]!SearchCT[#Data],3,FALSE),"")</f>
        <v/>
      </c>
    </row>
    <row r="10" spans="1:19" x14ac:dyDescent="0.25">
      <c r="A10" s="1" t="s">
        <v>23</v>
      </c>
      <c r="B10" s="29" t="s">
        <v>22</v>
      </c>
    </row>
    <row r="11" spans="1:19" x14ac:dyDescent="0.25">
      <c r="A11" s="1" t="s">
        <v>19</v>
      </c>
      <c r="B11" s="29" t="s">
        <v>356</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3" sqref="D3:J7"/>
    </sheetView>
  </sheetViews>
  <sheetFormatPr defaultRowHeight="15" x14ac:dyDescent="0.25"/>
  <cols>
    <col min="1" max="1" width="14.5703125" style="1" bestFit="1" customWidth="1"/>
    <col min="2" max="2" width="30" style="1" bestFit="1" customWidth="1"/>
    <col min="3" max="3" width="5.42578125" style="1" customWidth="1"/>
    <col min="4" max="5" width="16.28515625" style="1" bestFit="1" customWidth="1"/>
    <col min="6" max="6" width="30.140625" style="1" bestFit="1" customWidth="1"/>
    <col min="7" max="7" width="6.7109375" style="1" customWidth="1"/>
    <col min="8" max="8" width="25.28515625" style="1" bestFit="1" customWidth="1"/>
    <col min="9" max="9" width="12.570312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6.42578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 x14ac:dyDescent="0.35">
      <c r="A1" s="71" t="s">
        <v>269</v>
      </c>
      <c r="B1" s="71"/>
      <c r="C1" s="43"/>
      <c r="D1" s="71" t="s">
        <v>64</v>
      </c>
      <c r="E1" s="71"/>
      <c r="F1" s="71"/>
      <c r="H1" s="75" t="s">
        <v>63</v>
      </c>
      <c r="I1" s="77"/>
      <c r="J1" s="77"/>
      <c r="K1" s="76"/>
      <c r="L1" s="75" t="s">
        <v>62</v>
      </c>
      <c r="M1" s="77"/>
      <c r="N1" s="49" t="s">
        <v>61</v>
      </c>
      <c r="O1" s="75" t="s">
        <v>60</v>
      </c>
      <c r="P1" s="77"/>
      <c r="Q1" s="76"/>
      <c r="R1" s="75" t="s">
        <v>59</v>
      </c>
      <c r="S1" s="76"/>
    </row>
    <row r="2" spans="1:19" ht="15.75" x14ac:dyDescent="0.25">
      <c r="A2" s="40" t="s">
        <v>58</v>
      </c>
      <c r="B2" s="39"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44" t="s">
        <v>269</v>
      </c>
      <c r="C3" s="31"/>
      <c r="D3" s="32" t="s">
        <v>111</v>
      </c>
      <c r="E3" s="24" t="s">
        <v>111</v>
      </c>
      <c r="F3" s="23" t="s">
        <v>110</v>
      </c>
      <c r="H3" s="20" t="str">
        <f>VLOOKUP(D3,[1]!Dictionary[#All],3,FALSE)</f>
        <v>Left lung</v>
      </c>
      <c r="I3" s="19">
        <f>VLOOKUP(D3,[1]!Dictionary[#All],4,FALSE)</f>
        <v>7310</v>
      </c>
      <c r="J3" s="19" t="str">
        <f>VLOOKUP(D3,[1]!Dictionary[#All],5,FALSE)</f>
        <v>FMA</v>
      </c>
      <c r="K3" s="18" t="str">
        <f>VLOOKUP(D3,[1]!Dictionary[#All],6,FALSE)</f>
        <v>3.2</v>
      </c>
      <c r="L3" s="17" t="str">
        <f>VLOOKUP(D3,[1]!VolumeType[#All],2,FALSE)</f>
        <v>Organ</v>
      </c>
      <c r="M3" s="16" t="str">
        <f>VLOOKUP(D3,[1]!VolumeType[#All],3,FALSE)</f>
        <v>Organ</v>
      </c>
      <c r="N3" s="15" t="str">
        <f>VLOOKUP(D3,[1]!Colors[#All],3,FALSE)</f>
        <v>z Lung L</v>
      </c>
      <c r="O3" s="13" t="str">
        <f>IFERROR(VLOOKUP(D3,[1]!DVH_lines[#Data],2,FALSE),"")</f>
        <v/>
      </c>
      <c r="P3" s="14" t="str">
        <f>IFERROR(VLOOKUP(D3,[1]!DVH_lines[#Data],3,FALSE),"")</f>
        <v/>
      </c>
      <c r="Q3" s="12" t="str">
        <f>IFERROR(VLOOKUP(D3,[1]!DVH_lines[#Data],4,FALSE),"")</f>
        <v/>
      </c>
      <c r="R3" s="13">
        <f>IFERROR(VLOOKUP(D3,[1]!SearchCT[#Data],2,FALSE),"")</f>
        <v>-700</v>
      </c>
      <c r="S3" s="12">
        <f>IFERROR(VLOOKUP(D3,[1]!SearchCT[#Data],3,FALSE),"")</f>
        <v>-100</v>
      </c>
    </row>
    <row r="4" spans="1:19" x14ac:dyDescent="0.25">
      <c r="A4" s="1" t="s">
        <v>40</v>
      </c>
      <c r="B4" s="28" t="s">
        <v>39</v>
      </c>
      <c r="C4" s="31"/>
      <c r="D4" s="21" t="s">
        <v>109</v>
      </c>
      <c r="E4" s="24" t="s">
        <v>109</v>
      </c>
      <c r="F4" s="23" t="s">
        <v>108</v>
      </c>
      <c r="H4" s="20" t="str">
        <f>VLOOKUP(D4,[1]!Dictionary[#All],3,FALSE)</f>
        <v>Right lung</v>
      </c>
      <c r="I4" s="19">
        <f>VLOOKUP(D4,[1]!Dictionary[#All],4,FALSE)</f>
        <v>7309</v>
      </c>
      <c r="J4" s="19" t="str">
        <f>VLOOKUP(D4,[1]!Dictionary[#All],5,FALSE)</f>
        <v>FMA</v>
      </c>
      <c r="K4" s="18" t="str">
        <f>VLOOKUP(D4,[1]!Dictionary[#All],6,FALSE)</f>
        <v>3.2</v>
      </c>
      <c r="L4" s="17" t="str">
        <f>VLOOKUP(D4,[1]!VolumeType[#All],2,FALSE)</f>
        <v>Organ</v>
      </c>
      <c r="M4" s="16" t="str">
        <f>VLOOKUP(D4,[1]!VolumeType[#All],3,FALSE)</f>
        <v>Organ</v>
      </c>
      <c r="N4" s="15" t="str">
        <f>VLOOKUP(D4,[1]!Colors[#All],3,FALSE)</f>
        <v>z Lung R</v>
      </c>
      <c r="O4" s="13" t="str">
        <f>IFERROR(VLOOKUP(D4,[1]!DVH_lines[#Data],2,FALSE),"")</f>
        <v/>
      </c>
      <c r="P4" s="14" t="str">
        <f>IFERROR(VLOOKUP(D4,[1]!DVH_lines[#Data],3,FALSE),"")</f>
        <v/>
      </c>
      <c r="Q4" s="12" t="str">
        <f>IFERROR(VLOOKUP(D4,[1]!DVH_lines[#Data],4,FALSE),"")</f>
        <v/>
      </c>
      <c r="R4" s="13">
        <f>IFERROR(VLOOKUP(D4,[1]!SearchCT[#Data],2,FALSE),"")</f>
        <v>-700</v>
      </c>
      <c r="S4" s="12">
        <f>IFERROR(VLOOKUP(D4,[1]!SearchCT[#Data],3,FALSE),"")</f>
        <v>-100</v>
      </c>
    </row>
    <row r="5" spans="1:19" x14ac:dyDescent="0.25">
      <c r="A5" s="1" t="s">
        <v>37</v>
      </c>
      <c r="B5" s="28" t="s">
        <v>270</v>
      </c>
      <c r="C5" s="31"/>
      <c r="D5" s="21" t="s">
        <v>107</v>
      </c>
      <c r="E5" s="25" t="s">
        <v>107</v>
      </c>
      <c r="F5" s="25" t="s">
        <v>106</v>
      </c>
      <c r="H5" s="20" t="str">
        <f>VLOOKUP(D5,[1]!Dictionary[#All],3,FALSE)</f>
        <v>Pair of lungs</v>
      </c>
      <c r="I5" s="19">
        <f>VLOOKUP(D5,[1]!Dictionary[#All],4,FALSE)</f>
        <v>68877</v>
      </c>
      <c r="J5" s="19" t="str">
        <f>VLOOKUP(D5,[1]!Dictionary[#All],5,FALSE)</f>
        <v>FMA</v>
      </c>
      <c r="K5" s="18" t="str">
        <f>VLOOKUP(D5,[1]!Dictionary[#All],6,FALSE)</f>
        <v>3.2</v>
      </c>
      <c r="L5" s="17" t="str">
        <f>VLOOKUP(D5,[1]!VolumeType[#All],2,FALSE)</f>
        <v>Organ</v>
      </c>
      <c r="M5" s="16" t="str">
        <f>VLOOKUP(D5,[1]!VolumeType[#All],3,FALSE)</f>
        <v>Organ</v>
      </c>
      <c r="N5" s="15" t="str">
        <f>VLOOKUP(D5,[1]!Colors[#All],3,FALSE)</f>
        <v>z Lung B</v>
      </c>
      <c r="O5" s="13" t="str">
        <f>IFERROR(VLOOKUP(D5,[1]!DVH_lines[#Data],2,FALSE),"")</f>
        <v/>
      </c>
      <c r="P5" s="14" t="str">
        <f>IFERROR(VLOOKUP(D5,[1]!DVH_lines[#Data],3,FALSE),"")</f>
        <v/>
      </c>
      <c r="Q5" s="12" t="str">
        <f>IFERROR(VLOOKUP(D5,[1]!DVH_lines[#Data],4,FALSE),"")</f>
        <v/>
      </c>
      <c r="R5" s="13">
        <f>IFERROR(VLOOKUP(D5,[1]!SearchCT[#Data],2,FALSE),"")</f>
        <v>-700</v>
      </c>
      <c r="S5" s="12">
        <f>IFERROR(VLOOKUP(D5,[1]!SearchCT[#Data],3,FALSE),"")</f>
        <v>-100</v>
      </c>
    </row>
    <row r="6" spans="1:19" x14ac:dyDescent="0.25">
      <c r="A6" s="1" t="s">
        <v>35</v>
      </c>
      <c r="B6" s="28">
        <v>3</v>
      </c>
      <c r="C6" s="31"/>
      <c r="D6" s="48" t="s">
        <v>105</v>
      </c>
      <c r="E6" s="25" t="s">
        <v>105</v>
      </c>
      <c r="F6" s="23" t="s">
        <v>105</v>
      </c>
      <c r="H6" s="20" t="str">
        <f>VLOOKUP(D6,[1]!Dictionary[#All],3,FALSE)</f>
        <v>Trachea</v>
      </c>
      <c r="I6" s="19">
        <f>VLOOKUP(D6,[1]!Dictionary[#All],4,FALSE)</f>
        <v>7394</v>
      </c>
      <c r="J6" s="19" t="str">
        <f>VLOOKUP(D6,[1]!Dictionary[#All],5,FALSE)</f>
        <v>FMA</v>
      </c>
      <c r="K6" s="18" t="str">
        <f>VLOOKUP(D6,[1]!Dictionary[#All],6,FALSE)</f>
        <v>3.2</v>
      </c>
      <c r="L6" s="17" t="str">
        <f>VLOOKUP(D6,[1]!VolumeType[#All],2,FALSE)</f>
        <v>Organ</v>
      </c>
      <c r="M6" s="16" t="str">
        <f>VLOOKUP(D6,[1]!VolumeType[#All],3,FALSE)</f>
        <v>Organ</v>
      </c>
      <c r="N6" s="15" t="str">
        <f>VLOOKUP(D6,[1]!Colors[#All],3,FALSE)</f>
        <v>z Trachea</v>
      </c>
      <c r="O6" s="13" t="str">
        <f>IFERROR(VLOOKUP(D6,[1]!DVH_lines[#Data],2,FALSE),"")</f>
        <v/>
      </c>
      <c r="P6" s="14" t="str">
        <f>IFERROR(VLOOKUP(D6,[1]!DVH_lines[#Data],3,FALSE),"")</f>
        <v/>
      </c>
      <c r="Q6" s="12" t="str">
        <f>IFERROR(VLOOKUP(D6,[1]!DVH_lines[#Data],4,FALSE),"")</f>
        <v/>
      </c>
      <c r="R6" s="13" t="str">
        <f>IFERROR(VLOOKUP(D6,[1]!SearchCT[#Data],2,FALSE),"")</f>
        <v/>
      </c>
      <c r="S6" s="12" t="str">
        <f>IFERROR(VLOOKUP(D6,[1]!SearchCT[#Data],3,FALSE),"")</f>
        <v/>
      </c>
    </row>
    <row r="7" spans="1:19" ht="15.75" thickBot="1" x14ac:dyDescent="0.3">
      <c r="A7" s="1" t="s">
        <v>33</v>
      </c>
      <c r="B7" s="29"/>
      <c r="C7" s="31"/>
      <c r="D7" s="48" t="s">
        <v>103</v>
      </c>
      <c r="E7" s="24" t="s">
        <v>103</v>
      </c>
      <c r="F7" s="47" t="s">
        <v>102</v>
      </c>
      <c r="H7" s="10" t="str">
        <f>VLOOKUP(D7,[1]!Dictionary[#All],3,FALSE)</f>
        <v>Bronchial tree</v>
      </c>
      <c r="I7" s="9">
        <f>VLOOKUP(D7,[1]!Dictionary[#All],4,FALSE)</f>
        <v>26660</v>
      </c>
      <c r="J7" s="9" t="str">
        <f>VLOOKUP(D7,[1]!Dictionary[#All],5,FALSE)</f>
        <v>FMA</v>
      </c>
      <c r="K7" s="8" t="str">
        <f>VLOOKUP(D7,[1]!Dictionary[#All],6,FALSE)</f>
        <v>3.2</v>
      </c>
      <c r="L7" s="7" t="str">
        <f>VLOOKUP(D7,[1]!VolumeType[#All],2,FALSE)</f>
        <v>Organ</v>
      </c>
      <c r="M7" s="6" t="str">
        <f>VLOOKUP(D7,[1]!VolumeType[#All],3,FALSE)</f>
        <v>Organ</v>
      </c>
      <c r="N7" s="45" t="str">
        <f>VLOOKUP(D7,[1]!Colors[#All],3,FALSE)</f>
        <v>z BronchialTree</v>
      </c>
      <c r="O7" s="3" t="str">
        <f>IFERROR(VLOOKUP(D7,[1]!DVH_lines[#Data],2,FALSE),"")</f>
        <v/>
      </c>
      <c r="P7" s="4" t="str">
        <f>IFERROR(VLOOKUP(D7,[1]!DVH_lines[#Data],3,FALSE),"")</f>
        <v/>
      </c>
      <c r="Q7" s="2" t="str">
        <f>IFERROR(VLOOKUP(D7,[1]!DVH_lines[#Data],4,FALSE),"")</f>
        <v/>
      </c>
      <c r="R7" s="3" t="str">
        <f>IFERROR(VLOOKUP(D7,[1]!SearchCT[#Data],2,FALSE),"")</f>
        <v/>
      </c>
      <c r="S7" s="2" t="str">
        <f>IFERROR(VLOOKUP(D7,[1]!SearchCT[#Data],3,FALSE),"")</f>
        <v/>
      </c>
    </row>
    <row r="8" spans="1:19" x14ac:dyDescent="0.25">
      <c r="A8" s="1" t="s">
        <v>30</v>
      </c>
      <c r="B8" s="30" t="s">
        <v>104</v>
      </c>
    </row>
    <row r="9" spans="1:19" x14ac:dyDescent="0.25">
      <c r="A9" s="1" t="s">
        <v>27</v>
      </c>
      <c r="B9" s="29" t="s">
        <v>26</v>
      </c>
    </row>
    <row r="10" spans="1:19" x14ac:dyDescent="0.25">
      <c r="A10" s="1" t="s">
        <v>23</v>
      </c>
      <c r="B10" s="29" t="s">
        <v>22</v>
      </c>
    </row>
    <row r="11" spans="1:19" x14ac:dyDescent="0.25">
      <c r="A11" s="1" t="s">
        <v>19</v>
      </c>
      <c r="B11" s="29" t="s">
        <v>281</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B6" sqref="B6"/>
    </sheetView>
  </sheetViews>
  <sheetFormatPr defaultRowHeight="15" x14ac:dyDescent="0.25"/>
  <cols>
    <col min="1" max="1" width="14.5703125" style="1" bestFit="1" customWidth="1"/>
    <col min="2" max="2" width="22.140625" style="1" bestFit="1" customWidth="1"/>
    <col min="3" max="3" width="5.42578125" style="1" customWidth="1"/>
    <col min="4" max="4" width="25.5703125" style="1" bestFit="1" customWidth="1"/>
    <col min="5" max="5" width="16.42578125" style="1" bestFit="1" customWidth="1"/>
    <col min="6" max="6" width="25.5703125" style="1" bestFit="1" customWidth="1"/>
    <col min="7" max="7" width="5.85546875" style="1" bestFit="1" customWidth="1"/>
    <col min="8" max="8" width="25.14062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5.140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274</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28" t="s">
        <v>274</v>
      </c>
      <c r="C3" s="31"/>
      <c r="D3" s="32" t="s">
        <v>36</v>
      </c>
      <c r="E3" s="24" t="s">
        <v>36</v>
      </c>
      <c r="F3" s="23" t="s">
        <v>36</v>
      </c>
      <c r="H3" s="20" t="str">
        <f>VLOOKUP(Table53335374345[[#This Row],[Structure]],[1]!Dictionary[#All],3,FALSE)</f>
        <v>Liver</v>
      </c>
      <c r="I3" s="19">
        <f>VLOOKUP(Table53335374345[[#This Row],[Structure]],[1]!Dictionary[#All],4,FALSE)</f>
        <v>7197</v>
      </c>
      <c r="J3" s="19" t="str">
        <f>VLOOKUP(Table53335374345[[#This Row],[Structure]],[1]!Dictionary[#All],5,FALSE)</f>
        <v>FMA</v>
      </c>
      <c r="K3" s="18" t="str">
        <f>VLOOKUP(Table53335374345[[#This Row],[Structure]],[1]!Dictionary[#All],6,FALSE)</f>
        <v>3.2</v>
      </c>
      <c r="L3" s="17" t="str">
        <f>VLOOKUP(Table53335374345[[#This Row],[Structure]],[1]!VolumeType[#All],2,FALSE)</f>
        <v>Organ</v>
      </c>
      <c r="M3" s="16" t="str">
        <f>VLOOKUP(Table53335374345[[#This Row],[Structure]],[1]!VolumeType[#All],3,FALSE)</f>
        <v>Organ</v>
      </c>
      <c r="N3" s="15" t="str">
        <f>VLOOKUP(Table53335374345[[#This Row],[Structure]],[1]!Colors[#All],3,FALSE)</f>
        <v>z Liver</v>
      </c>
      <c r="O3" s="13" t="str">
        <f>IFERROR(VLOOKUP(Table53335374345[[#This Row],[Structure]],[1]!DVH_lines[#Data],2,FALSE),"")</f>
        <v/>
      </c>
      <c r="P3" s="14" t="str">
        <f>IFERROR(VLOOKUP(Table53335374345[[#This Row],[Structure]],[1]!DVH_lines[#Data],3,FALSE),"")</f>
        <v/>
      </c>
      <c r="Q3" s="12" t="str">
        <f>IFERROR(VLOOKUP(Table53335374345[[#This Row],[Structure]],[1]!DVH_lines[#Data],4,FALSE),"")</f>
        <v/>
      </c>
      <c r="R3" s="13" t="str">
        <f>IFERROR(VLOOKUP(Table53335374345[[#This Row],[Structure]],[1]!SearchCT[#Data],2,FALSE),"")</f>
        <v/>
      </c>
      <c r="S3" s="12" t="str">
        <f>IFERROR(VLOOKUP(Table53335374345[[#This Row],[Structure]],[1]!SearchCT[#Data],3,FALSE),"")</f>
        <v/>
      </c>
    </row>
    <row r="4" spans="1:19" x14ac:dyDescent="0.25">
      <c r="A4" s="1" t="s">
        <v>40</v>
      </c>
      <c r="B4" s="28" t="s">
        <v>39</v>
      </c>
      <c r="C4" s="31"/>
      <c r="D4" s="21" t="s">
        <v>34</v>
      </c>
      <c r="E4" s="24" t="s">
        <v>34</v>
      </c>
      <c r="F4" s="23" t="s">
        <v>34</v>
      </c>
      <c r="H4" s="20" t="str">
        <f>VLOOKUP(Table53335374345[[#This Row],[Structure]],[1]!Dictionary[#All],3,FALSE)</f>
        <v>Stomach</v>
      </c>
      <c r="I4" s="19">
        <f>VLOOKUP(Table53335374345[[#This Row],[Structure]],[1]!Dictionary[#All],4,FALSE)</f>
        <v>7148</v>
      </c>
      <c r="J4" s="19" t="str">
        <f>VLOOKUP(Table53335374345[[#This Row],[Structure]],[1]!Dictionary[#All],5,FALSE)</f>
        <v>FMA</v>
      </c>
      <c r="K4" s="18" t="str">
        <f>VLOOKUP(Table53335374345[[#This Row],[Structure]],[1]!Dictionary[#All],6,FALSE)</f>
        <v>3.2</v>
      </c>
      <c r="L4" s="17" t="str">
        <f>VLOOKUP(Table53335374345[[#This Row],[Structure]],[1]!VolumeType[#All],2,FALSE)</f>
        <v>Organ</v>
      </c>
      <c r="M4" s="16" t="str">
        <f>VLOOKUP(Table53335374345[[#This Row],[Structure]],[1]!VolumeType[#All],3,FALSE)</f>
        <v>Organ</v>
      </c>
      <c r="N4" s="15" t="str">
        <f>VLOOKUP(Table53335374345[[#This Row],[Structure]],[1]!Colors[#All],3,FALSE)</f>
        <v>z Stomach</v>
      </c>
      <c r="O4" s="13" t="str">
        <f>IFERROR(VLOOKUP(Table53335374345[[#This Row],[Structure]],[1]!DVH_lines[#Data],2,FALSE),"")</f>
        <v/>
      </c>
      <c r="P4" s="14" t="str">
        <f>IFERROR(VLOOKUP(Table53335374345[[#This Row],[Structure]],[1]!DVH_lines[#Data],3,FALSE),"")</f>
        <v/>
      </c>
      <c r="Q4" s="12" t="str">
        <f>IFERROR(VLOOKUP(Table53335374345[[#This Row],[Structure]],[1]!DVH_lines[#Data],4,FALSE),"")</f>
        <v/>
      </c>
      <c r="R4" s="13" t="str">
        <f>IFERROR(VLOOKUP(Table53335374345[[#This Row],[Structure]],[1]!SearchCT[#Data],2,FALSE),"")</f>
        <v/>
      </c>
      <c r="S4" s="12" t="str">
        <f>IFERROR(VLOOKUP(Table53335374345[[#This Row],[Structure]],[1]!SearchCT[#Data],3,FALSE),"")</f>
        <v/>
      </c>
    </row>
    <row r="5" spans="1:19" x14ac:dyDescent="0.25">
      <c r="A5" s="1" t="s">
        <v>37</v>
      </c>
      <c r="B5" s="28" t="s">
        <v>295</v>
      </c>
      <c r="C5" s="31"/>
      <c r="D5" s="21" t="s">
        <v>4</v>
      </c>
      <c r="E5" s="22" t="s">
        <v>4</v>
      </c>
      <c r="F5" s="22" t="s">
        <v>4</v>
      </c>
      <c r="H5" s="20" t="str">
        <f>VLOOKUP(Table53335374345[[#This Row],[Structure]],[1]!Dictionary[#All],3,FALSE)</f>
        <v>Pancreas</v>
      </c>
      <c r="I5" s="19">
        <f>VLOOKUP(Table53335374345[[#This Row],[Structure]],[1]!Dictionary[#All],4,FALSE)</f>
        <v>7198</v>
      </c>
      <c r="J5" s="19" t="str">
        <f>VLOOKUP(Table53335374345[[#This Row],[Structure]],[1]!Dictionary[#All],5,FALSE)</f>
        <v>FMA</v>
      </c>
      <c r="K5" s="18" t="str">
        <f>VLOOKUP(Table53335374345[[#This Row],[Structure]],[1]!Dictionary[#All],6,FALSE)</f>
        <v>3.2</v>
      </c>
      <c r="L5" s="17" t="str">
        <f>VLOOKUP(Table53335374345[[#This Row],[Structure]],[1]!VolumeType[#All],2,FALSE)</f>
        <v>Organ</v>
      </c>
      <c r="M5" s="16" t="str">
        <f>VLOOKUP(Table53335374345[[#This Row],[Structure]],[1]!VolumeType[#All],3,FALSE)</f>
        <v>Organ</v>
      </c>
      <c r="N5" s="15" t="str">
        <f>VLOOKUP(Table53335374345[[#This Row],[Structure]],[1]!Colors[#All],3,FALSE)</f>
        <v>z Pancreas</v>
      </c>
      <c r="O5" s="13" t="str">
        <f>IFERROR(VLOOKUP(Table53335374345[[#This Row],[Structure]],[1]!DVH_lines[#Data],2,FALSE),"")</f>
        <v/>
      </c>
      <c r="P5" s="14" t="str">
        <f>IFERROR(VLOOKUP(Table53335374345[[#This Row],[Structure]],[1]!DVH_lines[#Data],3,FALSE),"")</f>
        <v/>
      </c>
      <c r="Q5" s="12" t="str">
        <f>IFERROR(VLOOKUP(Table53335374345[[#This Row],[Structure]],[1]!DVH_lines[#Data],4,FALSE),"")</f>
        <v/>
      </c>
      <c r="R5" s="13" t="str">
        <f>IFERROR(VLOOKUP(Table53335374345[[#This Row],[Structure]],[1]!SearchCT[#Data],2,FALSE),"")</f>
        <v/>
      </c>
      <c r="S5" s="12" t="str">
        <f>IFERROR(VLOOKUP(Table53335374345[[#This Row],[Structure]],[1]!SearchCT[#Data],3,FALSE),"")</f>
        <v/>
      </c>
    </row>
    <row r="6" spans="1:19" x14ac:dyDescent="0.25">
      <c r="A6" s="1" t="s">
        <v>35</v>
      </c>
      <c r="B6" s="28">
        <v>3</v>
      </c>
      <c r="C6" s="31"/>
      <c r="D6" s="21" t="s">
        <v>6</v>
      </c>
      <c r="E6" s="24" t="s">
        <v>6</v>
      </c>
      <c r="F6" s="23" t="s">
        <v>6</v>
      </c>
      <c r="H6" s="20" t="str">
        <f>VLOOKUP(Table53335374345[[#This Row],[Structure]],[1]!Dictionary[#All],3,FALSE)</f>
        <v>Celiac trunk</v>
      </c>
      <c r="I6" s="19">
        <f>VLOOKUP(Table53335374345[[#This Row],[Structure]],[1]!Dictionary[#All],4,FALSE)</f>
        <v>14812</v>
      </c>
      <c r="J6" s="19" t="str">
        <f>VLOOKUP(Table53335374345[[#This Row],[Structure]],[1]!Dictionary[#All],5,FALSE)</f>
        <v>FMA</v>
      </c>
      <c r="K6" s="18" t="str">
        <f>VLOOKUP(Table53335374345[[#This Row],[Structure]],[1]!Dictionary[#All],6,FALSE)</f>
        <v>3.2</v>
      </c>
      <c r="L6" s="17" t="str">
        <f>VLOOKUP(Table53335374345[[#This Row],[Structure]],[1]!VolumeType[#All],2,FALSE)</f>
        <v>Organ</v>
      </c>
      <c r="M6" s="16" t="str">
        <f>VLOOKUP(Table53335374345[[#This Row],[Structure]],[1]!VolumeType[#All],3,FALSE)</f>
        <v>Organ</v>
      </c>
      <c r="N6" s="15" t="str">
        <f>VLOOKUP(Table53335374345[[#This Row],[Structure]],[1]!Colors[#All],3,FALSE)</f>
        <v>z Celiac Artery</v>
      </c>
      <c r="O6" s="13" t="str">
        <f>IFERROR(VLOOKUP(Table53335374345[[#This Row],[Structure]],[1]!DVH_lines[#Data],2,FALSE),"")</f>
        <v/>
      </c>
      <c r="P6" s="14" t="str">
        <f>IFERROR(VLOOKUP(Table53335374345[[#This Row],[Structure]],[1]!DVH_lines[#Data],3,FALSE),"")</f>
        <v/>
      </c>
      <c r="Q6" s="12" t="str">
        <f>IFERROR(VLOOKUP(Table53335374345[[#This Row],[Structure]],[1]!DVH_lines[#Data],4,FALSE),"")</f>
        <v/>
      </c>
      <c r="R6" s="13" t="str">
        <f>IFERROR(VLOOKUP(Table53335374345[[#This Row],[Structure]],[1]!SearchCT[#Data],2,FALSE),"")</f>
        <v/>
      </c>
      <c r="S6" s="12" t="str">
        <f>IFERROR(VLOOKUP(Table53335374345[[#This Row],[Structure]],[1]!SearchCT[#Data],3,FALSE),"")</f>
        <v/>
      </c>
    </row>
    <row r="7" spans="1:19" x14ac:dyDescent="0.25">
      <c r="A7" s="1" t="s">
        <v>33</v>
      </c>
      <c r="B7" s="29"/>
      <c r="D7" s="21" t="s">
        <v>5</v>
      </c>
      <c r="E7" s="24" t="s">
        <v>5</v>
      </c>
      <c r="F7" s="23" t="s">
        <v>5</v>
      </c>
      <c r="H7" s="20" t="str">
        <f>VLOOKUP(Table53335374345[[#This Row],[Structure]],[1]!Dictionary[#All],3,FALSE)</f>
        <v>Trunk of portal vein</v>
      </c>
      <c r="I7" s="19">
        <f>VLOOKUP(Table53335374345[[#This Row],[Structure]],[1]!Dictionary[#All],4,FALSE)</f>
        <v>14329</v>
      </c>
      <c r="J7" s="19" t="str">
        <f>VLOOKUP(Table53335374345[[#This Row],[Structure]],[1]!Dictionary[#All],5,FALSE)</f>
        <v>FMA</v>
      </c>
      <c r="K7" s="18" t="str">
        <f>VLOOKUP(Table53335374345[[#This Row],[Structure]],[1]!Dictionary[#All],6,FALSE)</f>
        <v>3.2</v>
      </c>
      <c r="L7" s="17" t="str">
        <f>VLOOKUP(Table53335374345[[#This Row],[Structure]],[1]!VolumeType[#All],2,FALSE)</f>
        <v>Organ</v>
      </c>
      <c r="M7" s="16" t="str">
        <f>VLOOKUP(Table53335374345[[#This Row],[Structure]],[1]!VolumeType[#All],3,FALSE)</f>
        <v>Organ</v>
      </c>
      <c r="N7" s="15" t="str">
        <f>VLOOKUP(Table53335374345[[#This Row],[Structure]],[1]!Colors[#All],3,FALSE)</f>
        <v>z Portal Vein</v>
      </c>
      <c r="O7" s="13" t="str">
        <f>IFERROR(VLOOKUP(Table53335374345[[#This Row],[Structure]],[1]!DVH_lines[#Data],2,FALSE),"")</f>
        <v/>
      </c>
      <c r="P7" s="14" t="str">
        <f>IFERROR(VLOOKUP(Table53335374345[[#This Row],[Structure]],[1]!DVH_lines[#Data],3,FALSE),"")</f>
        <v/>
      </c>
      <c r="Q7" s="12" t="str">
        <f>IFERROR(VLOOKUP(Table53335374345[[#This Row],[Structure]],[1]!DVH_lines[#Data],4,FALSE),"")</f>
        <v/>
      </c>
      <c r="R7" s="13" t="str">
        <f>IFERROR(VLOOKUP(Table53335374345[[#This Row],[Structure]],[1]!SearchCT[#Data],2,FALSE),"")</f>
        <v/>
      </c>
      <c r="S7" s="12" t="str">
        <f>IFERROR(VLOOKUP(Table53335374345[[#This Row],[Structure]],[1]!SearchCT[#Data],3,FALSE),"")</f>
        <v/>
      </c>
    </row>
    <row r="8" spans="1:19" x14ac:dyDescent="0.25">
      <c r="A8" s="1" t="s">
        <v>30</v>
      </c>
      <c r="B8" s="30"/>
      <c r="D8" s="21" t="s">
        <v>1</v>
      </c>
      <c r="E8" s="21" t="s">
        <v>1</v>
      </c>
      <c r="F8" s="21" t="s">
        <v>1</v>
      </c>
      <c r="H8" s="20" t="str">
        <f>VLOOKUP(Table53335374345[[#This Row],[Structure]],[1]!Dictionary[#All],3,FALSE)</f>
        <v>Hilum of spleen</v>
      </c>
      <c r="I8" s="19">
        <f>VLOOKUP(Table53335374345[[#This Row],[Structure]],[1]!Dictionary[#All],4,FALSE)</f>
        <v>15841</v>
      </c>
      <c r="J8" s="19" t="str">
        <f>VLOOKUP(Table53335374345[[#This Row],[Structure]],[1]!Dictionary[#All],5,FALSE)</f>
        <v>FMA</v>
      </c>
      <c r="K8" s="18" t="str">
        <f>VLOOKUP(Table53335374345[[#This Row],[Structure]],[1]!Dictionary[#All],6,FALSE)</f>
        <v>3.2</v>
      </c>
      <c r="L8" s="17" t="str">
        <f>VLOOKUP(Table53335374345[[#This Row],[Structure]],[1]!VolumeType[#All],2,FALSE)</f>
        <v>Organ</v>
      </c>
      <c r="M8" s="16" t="str">
        <f>VLOOKUP(Table53335374345[[#This Row],[Structure]],[1]!VolumeType[#All],3,FALSE)</f>
        <v>Organ</v>
      </c>
      <c r="N8" s="15" t="str">
        <f>VLOOKUP(Table53335374345[[#This Row],[Structure]],[1]!Colors[#All],3,FALSE)</f>
        <v>z Splenic Hilum</v>
      </c>
      <c r="O8" s="13" t="str">
        <f>IFERROR(VLOOKUP(Table53335374345[[#This Row],[Structure]],[1]!DVH_lines[#Data],2,FALSE),"")</f>
        <v/>
      </c>
      <c r="P8" s="14" t="str">
        <f>IFERROR(VLOOKUP(Table53335374345[[#This Row],[Structure]],[1]!DVH_lines[#Data],3,FALSE),"")</f>
        <v/>
      </c>
      <c r="Q8" s="12" t="str">
        <f>IFERROR(VLOOKUP(Table53335374345[[#This Row],[Structure]],[1]!DVH_lines[#Data],4,FALSE),"")</f>
        <v/>
      </c>
      <c r="R8" s="13" t="str">
        <f>IFERROR(VLOOKUP(Table53335374345[[#This Row],[Structure]],[1]!SearchCT[#Data],2,FALSE),"")</f>
        <v/>
      </c>
      <c r="S8" s="12" t="str">
        <f>IFERROR(VLOOKUP(Table53335374345[[#This Row],[Structure]],[1]!SearchCT[#Data],3,FALSE),"")</f>
        <v/>
      </c>
    </row>
    <row r="9" spans="1:19" ht="15.75" thickBot="1" x14ac:dyDescent="0.3">
      <c r="A9" s="1" t="s">
        <v>27</v>
      </c>
      <c r="B9" s="29" t="s">
        <v>26</v>
      </c>
      <c r="D9" s="11" t="s">
        <v>31</v>
      </c>
      <c r="E9" s="68" t="s">
        <v>32</v>
      </c>
      <c r="F9" s="69" t="s">
        <v>31</v>
      </c>
      <c r="H9" s="10" t="str">
        <f>VLOOKUP(Table53335374345[[#This Row],[Structure]],[1]!Dictionary[#All],3,FALSE)</f>
        <v>Peritoneal sac</v>
      </c>
      <c r="I9" s="9">
        <f>VLOOKUP(Table53335374345[[#This Row],[Structure]],[1]!Dictionary[#All],4,FALSE)</f>
        <v>9908</v>
      </c>
      <c r="J9" s="9" t="str">
        <f>VLOOKUP(Table53335374345[[#This Row],[Structure]],[1]!Dictionary[#All],5,FALSE)</f>
        <v>FMA</v>
      </c>
      <c r="K9" s="8" t="str">
        <f>VLOOKUP(Table53335374345[[#This Row],[Structure]],[1]!Dictionary[#All],6,FALSE)</f>
        <v>3.2</v>
      </c>
      <c r="L9" s="7" t="str">
        <f>VLOOKUP(Table53335374345[[#This Row],[Structure]],[1]!VolumeType[#All],2,FALSE)</f>
        <v>Organ</v>
      </c>
      <c r="M9" s="6" t="str">
        <f>VLOOKUP(Table53335374345[[#This Row],[Structure]],[1]!VolumeType[#All],3,FALSE)</f>
        <v>Organ</v>
      </c>
      <c r="N9" s="5" t="str">
        <f>VLOOKUP(Table53335374345[[#This Row],[Structure]],[1]!Colors[#All],3,FALSE)</f>
        <v>zPeritonelCavity</v>
      </c>
      <c r="O9" s="3" t="str">
        <f>IFERROR(VLOOKUP(Table53335374345[[#This Row],[Structure]],[1]!DVH_lines[#Data],2,FALSE),"")</f>
        <v/>
      </c>
      <c r="P9" s="4" t="str">
        <f>IFERROR(VLOOKUP(Table53335374345[[#This Row],[Structure]],[1]!DVH_lines[#Data],3,FALSE),"")</f>
        <v/>
      </c>
      <c r="Q9" s="2" t="str">
        <f>IFERROR(VLOOKUP(Table53335374345[[#This Row],[Structure]],[1]!DVH_lines[#Data],4,FALSE),"")</f>
        <v/>
      </c>
      <c r="R9" s="3" t="str">
        <f>IFERROR(VLOOKUP(Table53335374345[[#This Row],[Structure]],[1]!SearchCT[#Data],2,FALSE),"")</f>
        <v/>
      </c>
      <c r="S9" s="2" t="str">
        <f>IFERROR(VLOOKUP(Table53335374345[[#This Row],[Structure]],[1]!SearchCT[#Data],3,FALSE),"")</f>
        <v/>
      </c>
    </row>
    <row r="10" spans="1:19" x14ac:dyDescent="0.25">
      <c r="A10" s="1" t="s">
        <v>23</v>
      </c>
      <c r="B10" s="29" t="s">
        <v>22</v>
      </c>
    </row>
    <row r="11" spans="1:19" x14ac:dyDescent="0.25">
      <c r="A11" s="1" t="s">
        <v>19</v>
      </c>
      <c r="B11" s="29" t="s">
        <v>282</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3" sqref="D3:J6"/>
    </sheetView>
  </sheetViews>
  <sheetFormatPr defaultRowHeight="15" x14ac:dyDescent="0.25"/>
  <cols>
    <col min="1" max="1" width="14.5703125" style="1" bestFit="1" customWidth="1"/>
    <col min="2" max="2" width="22.140625" style="1" bestFit="1" customWidth="1"/>
    <col min="3" max="3" width="5.42578125" style="1" customWidth="1"/>
    <col min="4" max="4" width="25.5703125" style="1" bestFit="1" customWidth="1"/>
    <col min="5" max="5" width="16.42578125" style="1" bestFit="1" customWidth="1"/>
    <col min="6" max="6" width="25.5703125" style="1" bestFit="1" customWidth="1"/>
    <col min="7" max="7" width="5.85546875" style="1" bestFit="1" customWidth="1"/>
    <col min="8" max="8" width="25.14062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5.140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275</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28" t="s">
        <v>275</v>
      </c>
      <c r="C3" s="31"/>
      <c r="D3" s="21" t="s">
        <v>29</v>
      </c>
      <c r="E3" s="24" t="s">
        <v>29</v>
      </c>
      <c r="F3" s="23" t="s">
        <v>28</v>
      </c>
      <c r="H3" s="20" t="str">
        <f>VLOOKUP(Table533353743[[#This Row],[Structure]],[1]!Dictionary[#All],3,FALSE)</f>
        <v>Left kidney</v>
      </c>
      <c r="I3" s="19">
        <f>VLOOKUP(Table533353743[[#This Row],[Structure]],[1]!Dictionary[#All],4,FALSE)</f>
        <v>7205</v>
      </c>
      <c r="J3" s="19" t="str">
        <f>VLOOKUP(Table533353743[[#This Row],[Structure]],[1]!Dictionary[#All],5,FALSE)</f>
        <v>FMA</v>
      </c>
      <c r="K3" s="18" t="str">
        <f>VLOOKUP(Table533353743[[#This Row],[Structure]],[1]!Dictionary[#All],6,FALSE)</f>
        <v>3.2</v>
      </c>
      <c r="L3" s="17" t="str">
        <f>VLOOKUP(Table533353743[[#This Row],[Structure]],[1]!VolumeType[#All],2,FALSE)</f>
        <v>Organ</v>
      </c>
      <c r="M3" s="16" t="str">
        <f>VLOOKUP(Table533353743[[#This Row],[Structure]],[1]!VolumeType[#All],3,FALSE)</f>
        <v>Organ</v>
      </c>
      <c r="N3" s="15" t="str">
        <f>VLOOKUP(Table533353743[[#This Row],[Structure]],[1]!Colors[#All],3,FALSE)</f>
        <v>z Kidney L</v>
      </c>
      <c r="O3" s="13" t="str">
        <f>IFERROR(VLOOKUP(Table533353743[[#This Row],[Structure]],[1]!DVH_lines[#Data],2,FALSE),"")</f>
        <v/>
      </c>
      <c r="P3" s="14" t="str">
        <f>IFERROR(VLOOKUP(Table533353743[[#This Row],[Structure]],[1]!DVH_lines[#Data],3,FALSE),"")</f>
        <v/>
      </c>
      <c r="Q3" s="12" t="str">
        <f>IFERROR(VLOOKUP(Table533353743[[#This Row],[Structure]],[1]!DVH_lines[#Data],4,FALSE),"")</f>
        <v/>
      </c>
      <c r="R3" s="13" t="str">
        <f>IFERROR(VLOOKUP(Table533353743[[#This Row],[Structure]],[1]!SearchCT[#Data],2,FALSE),"")</f>
        <v/>
      </c>
      <c r="S3" s="12" t="str">
        <f>IFERROR(VLOOKUP(Table533353743[[#This Row],[Structure]],[1]!SearchCT[#Data],3,FALSE),"")</f>
        <v/>
      </c>
    </row>
    <row r="4" spans="1:19" x14ac:dyDescent="0.25">
      <c r="A4" s="1" t="s">
        <v>40</v>
      </c>
      <c r="B4" s="28" t="s">
        <v>39</v>
      </c>
      <c r="C4" s="31"/>
      <c r="D4" s="21" t="s">
        <v>25</v>
      </c>
      <c r="E4" s="24" t="s">
        <v>25</v>
      </c>
      <c r="F4" s="23" t="s">
        <v>24</v>
      </c>
      <c r="H4" s="20" t="str">
        <f>VLOOKUP(Table533353743[[#This Row],[Structure]],[1]!Dictionary[#All],3,FALSE)</f>
        <v>Right kidney</v>
      </c>
      <c r="I4" s="19">
        <f>VLOOKUP(Table533353743[[#This Row],[Structure]],[1]!Dictionary[#All],4,FALSE)</f>
        <v>7204</v>
      </c>
      <c r="J4" s="19" t="str">
        <f>VLOOKUP(Table533353743[[#This Row],[Structure]],[1]!Dictionary[#All],5,FALSE)</f>
        <v>FMA</v>
      </c>
      <c r="K4" s="18" t="str">
        <f>VLOOKUP(Table533353743[[#This Row],[Structure]],[1]!Dictionary[#All],6,FALSE)</f>
        <v>3.2</v>
      </c>
      <c r="L4" s="17" t="str">
        <f>VLOOKUP(Table533353743[[#This Row],[Structure]],[1]!VolumeType[#All],2,FALSE)</f>
        <v>Organ</v>
      </c>
      <c r="M4" s="16" t="str">
        <f>VLOOKUP(Table533353743[[#This Row],[Structure]],[1]!VolumeType[#All],3,FALSE)</f>
        <v>Organ</v>
      </c>
      <c r="N4" s="15" t="str">
        <f>VLOOKUP(Table533353743[[#This Row],[Structure]],[1]!Colors[#All],3,FALSE)</f>
        <v>z Kidney R</v>
      </c>
      <c r="O4" s="13" t="str">
        <f>IFERROR(VLOOKUP(Table533353743[[#This Row],[Structure]],[1]!DVH_lines[#Data],2,FALSE),"")</f>
        <v/>
      </c>
      <c r="P4" s="14" t="str">
        <f>IFERROR(VLOOKUP(Table533353743[[#This Row],[Structure]],[1]!DVH_lines[#Data],3,FALSE),"")</f>
        <v/>
      </c>
      <c r="Q4" s="12" t="str">
        <f>IFERROR(VLOOKUP(Table533353743[[#This Row],[Structure]],[1]!DVH_lines[#Data],4,FALSE),"")</f>
        <v/>
      </c>
      <c r="R4" s="13" t="str">
        <f>IFERROR(VLOOKUP(Table533353743[[#This Row],[Structure]],[1]!SearchCT[#Data],2,FALSE),"")</f>
        <v/>
      </c>
      <c r="S4" s="12" t="str">
        <f>IFERROR(VLOOKUP(Table533353743[[#This Row],[Structure]],[1]!SearchCT[#Data],3,FALSE),"")</f>
        <v/>
      </c>
    </row>
    <row r="5" spans="1:19" x14ac:dyDescent="0.25">
      <c r="A5" s="1" t="s">
        <v>37</v>
      </c>
      <c r="B5" s="28" t="s">
        <v>276</v>
      </c>
      <c r="C5" s="31"/>
      <c r="D5" s="21" t="s">
        <v>21</v>
      </c>
      <c r="E5" s="24" t="s">
        <v>21</v>
      </c>
      <c r="F5" s="23" t="s">
        <v>20</v>
      </c>
      <c r="H5" s="20" t="str">
        <f>VLOOKUP(Table533353743[[#This Row],[Structure]],[1]!Dictionary[#All],3,FALSE)</f>
        <v>Set of kidneys</v>
      </c>
      <c r="I5" s="19" t="str">
        <f>VLOOKUP(Table533353743[[#This Row],[Structure]],[1]!Dictionary[#All],4,FALSE)</f>
        <v>264815</v>
      </c>
      <c r="J5" s="19" t="str">
        <f>VLOOKUP(Table533353743[[#This Row],[Structure]],[1]!Dictionary[#All],5,FALSE)</f>
        <v>FMA</v>
      </c>
      <c r="K5" s="18" t="str">
        <f>VLOOKUP(Table533353743[[#This Row],[Structure]],[1]!Dictionary[#All],6,FALSE)</f>
        <v>3.2</v>
      </c>
      <c r="L5" s="17" t="str">
        <f>VLOOKUP(Table533353743[[#This Row],[Structure]],[1]!VolumeType[#All],2,FALSE)</f>
        <v>Organ</v>
      </c>
      <c r="M5" s="16" t="str">
        <f>VLOOKUP(Table533353743[[#This Row],[Structure]],[1]!VolumeType[#All],3,FALSE)</f>
        <v>Organ</v>
      </c>
      <c r="N5" s="15" t="str">
        <f>VLOOKUP(Table533353743[[#This Row],[Structure]],[1]!Colors[#All],3,FALSE)</f>
        <v>z Kidney B</v>
      </c>
      <c r="O5" s="13" t="str">
        <f>IFERROR(VLOOKUP(Table533353743[[#This Row],[Structure]],[1]!DVH_lines[#Data],2,FALSE),"")</f>
        <v/>
      </c>
      <c r="P5" s="14" t="str">
        <f>IFERROR(VLOOKUP(Table533353743[[#This Row],[Structure]],[1]!DVH_lines[#Data],3,FALSE),"")</f>
        <v/>
      </c>
      <c r="Q5" s="12" t="str">
        <f>IFERROR(VLOOKUP(Table533353743[[#This Row],[Structure]],[1]!DVH_lines[#Data],4,FALSE),"")</f>
        <v/>
      </c>
      <c r="R5" s="13" t="str">
        <f>IFERROR(VLOOKUP(Table533353743[[#This Row],[Structure]],[1]!SearchCT[#Data],2,FALSE),"")</f>
        <v/>
      </c>
      <c r="S5" s="12" t="str">
        <f>IFERROR(VLOOKUP(Table533353743[[#This Row],[Structure]],[1]!SearchCT[#Data],3,FALSE),"")</f>
        <v/>
      </c>
    </row>
    <row r="6" spans="1:19" ht="15.75" thickBot="1" x14ac:dyDescent="0.3">
      <c r="A6" s="1" t="s">
        <v>35</v>
      </c>
      <c r="B6" s="28">
        <v>3</v>
      </c>
      <c r="C6" s="31"/>
      <c r="D6" s="21" t="s">
        <v>18</v>
      </c>
      <c r="E6" s="24" t="s">
        <v>18</v>
      </c>
      <c r="F6" s="23" t="s">
        <v>18</v>
      </c>
      <c r="H6" s="10" t="str">
        <f>VLOOKUP(Table533353743[[#This Row],[Structure]],[1]!Dictionary[#All],3,FALSE)</f>
        <v>Hilum of kidney</v>
      </c>
      <c r="I6" s="9" t="str">
        <f>VLOOKUP(Table533353743[[#This Row],[Structure]],[1]!Dictionary[#All],4,FALSE)</f>
        <v>15610</v>
      </c>
      <c r="J6" s="9" t="str">
        <f>VLOOKUP(Table533353743[[#This Row],[Structure]],[1]!Dictionary[#All],5,FALSE)</f>
        <v>FMA</v>
      </c>
      <c r="K6" s="8" t="str">
        <f>VLOOKUP(Table533353743[[#This Row],[Structure]],[1]!Dictionary[#All],6,FALSE)</f>
        <v>3.2</v>
      </c>
      <c r="L6" s="7" t="str">
        <f>VLOOKUP(Table533353743[[#This Row],[Structure]],[1]!VolumeType[#All],2,FALSE)</f>
        <v>Organ</v>
      </c>
      <c r="M6" s="6" t="str">
        <f>VLOOKUP(Table533353743[[#This Row],[Structure]],[1]!VolumeType[#All],3,FALSE)</f>
        <v>Organ</v>
      </c>
      <c r="N6" s="5" t="str">
        <f>VLOOKUP(Table533353743[[#This Row],[Structure]],[1]!Colors[#All],3,FALSE)</f>
        <v>z Renal hilum</v>
      </c>
      <c r="O6" s="3" t="str">
        <f>IFERROR(VLOOKUP(Table533353743[[#This Row],[Structure]],[1]!DVH_lines[#Data],2,FALSE),"")</f>
        <v/>
      </c>
      <c r="P6" s="4" t="str">
        <f>IFERROR(VLOOKUP(Table533353743[[#This Row],[Structure]],[1]!DVH_lines[#Data],3,FALSE),"")</f>
        <v/>
      </c>
      <c r="Q6" s="2" t="str">
        <f>IFERROR(VLOOKUP(Table533353743[[#This Row],[Structure]],[1]!DVH_lines[#Data],4,FALSE),"")</f>
        <v/>
      </c>
      <c r="R6" s="3" t="str">
        <f>IFERROR(VLOOKUP(Table533353743[[#This Row],[Structure]],[1]!SearchCT[#Data],2,FALSE),"")</f>
        <v/>
      </c>
      <c r="S6" s="2" t="str">
        <f>IFERROR(VLOOKUP(Table533353743[[#This Row],[Structure]],[1]!SearchCT[#Data],3,FALSE),"")</f>
        <v/>
      </c>
    </row>
    <row r="7" spans="1:19" x14ac:dyDescent="0.25">
      <c r="A7" s="1" t="s">
        <v>33</v>
      </c>
      <c r="B7" s="29"/>
    </row>
    <row r="8" spans="1:19" x14ac:dyDescent="0.25">
      <c r="A8" s="1" t="s">
        <v>30</v>
      </c>
      <c r="B8" s="30"/>
    </row>
    <row r="9" spans="1:19" x14ac:dyDescent="0.25">
      <c r="A9" s="1" t="s">
        <v>27</v>
      </c>
      <c r="B9" s="29" t="s">
        <v>26</v>
      </c>
    </row>
    <row r="10" spans="1:19" x14ac:dyDescent="0.25">
      <c r="A10" s="1" t="s">
        <v>23</v>
      </c>
      <c r="B10" s="29" t="s">
        <v>22</v>
      </c>
    </row>
    <row r="11" spans="1:19" x14ac:dyDescent="0.25">
      <c r="A11" s="1" t="s">
        <v>19</v>
      </c>
      <c r="B11" s="29" t="s">
        <v>283</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B6" sqref="B6"/>
    </sheetView>
  </sheetViews>
  <sheetFormatPr defaultRowHeight="15" x14ac:dyDescent="0.25"/>
  <cols>
    <col min="1" max="1" width="14.5703125" style="1" bestFit="1" customWidth="1"/>
    <col min="2" max="2" width="22.140625" style="1" bestFit="1" customWidth="1"/>
    <col min="3" max="3" width="5.42578125" style="1" customWidth="1"/>
    <col min="4" max="4" width="25.5703125" style="1" bestFit="1" customWidth="1"/>
    <col min="5" max="5" width="16.42578125" style="1" bestFit="1" customWidth="1"/>
    <col min="6" max="6" width="25.5703125" style="1" bestFit="1" customWidth="1"/>
    <col min="7" max="7" width="5.85546875" style="1" bestFit="1" customWidth="1"/>
    <col min="8" max="8" width="25.14062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5.140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271</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28" t="s">
        <v>271</v>
      </c>
      <c r="C3" s="31"/>
      <c r="D3" s="21" t="s">
        <v>0</v>
      </c>
      <c r="E3" s="25" t="s">
        <v>0</v>
      </c>
      <c r="F3" s="25" t="s">
        <v>195</v>
      </c>
      <c r="H3" s="20" t="str">
        <f>VLOOKUP(Table533353723[[#This Row],[Structure]],[1]!Dictionary[#All],3,FALSE)</f>
        <v>Intestine</v>
      </c>
      <c r="I3" s="19">
        <f>VLOOKUP(Table533353723[[#This Row],[Structure]],[1]!Dictionary[#All],4,FALSE)</f>
        <v>7199</v>
      </c>
      <c r="J3" s="19" t="str">
        <f>VLOOKUP(Table533353723[[#This Row],[Structure]],[1]!Dictionary[#All],5,FALSE)</f>
        <v>FMA</v>
      </c>
      <c r="K3" s="18" t="str">
        <f>VLOOKUP(Table533353723[[#This Row],[Structure]],[1]!Dictionary[#All],6,FALSE)</f>
        <v>3.2</v>
      </c>
      <c r="L3" s="17" t="str">
        <f>VLOOKUP(Table533353723[[#This Row],[Structure]],[1]!VolumeType[#All],2,FALSE)</f>
        <v>Organ</v>
      </c>
      <c r="M3" s="16" t="str">
        <f>VLOOKUP(Table533353723[[#This Row],[Structure]],[1]!VolumeType[#All],3,FALSE)</f>
        <v>Organ</v>
      </c>
      <c r="N3" s="15" t="str">
        <f>VLOOKUP(Table533353723[[#This Row],[Structure]],[1]!Colors[#All],3,FALSE)</f>
        <v>z Bowel</v>
      </c>
      <c r="O3" s="13" t="str">
        <f>IFERROR(VLOOKUP(Table533353723[[#This Row],[Structure]],[1]!DVH_lines[#Data],2,FALSE),"")</f>
        <v/>
      </c>
      <c r="P3" s="14" t="str">
        <f>IFERROR(VLOOKUP(Table533353723[[#This Row],[Structure]],[1]!DVH_lines[#Data],3,FALSE),"")</f>
        <v/>
      </c>
      <c r="Q3" s="12" t="str">
        <f>IFERROR(VLOOKUP(Table533353723[[#This Row],[Structure]],[1]!DVH_lines[#Data],4,FALSE),"")</f>
        <v/>
      </c>
      <c r="R3" s="13" t="str">
        <f>IFERROR(VLOOKUP(Table533353723[[#This Row],[Structure]],[1]!SearchCT[#Data],2,FALSE),"")</f>
        <v/>
      </c>
      <c r="S3" s="12" t="str">
        <f>IFERROR(VLOOKUP(Table533353723[[#This Row],[Structure]],[1]!SearchCT[#Data],3,FALSE),"")</f>
        <v/>
      </c>
    </row>
    <row r="4" spans="1:19" x14ac:dyDescent="0.25">
      <c r="A4" s="1" t="s">
        <v>40</v>
      </c>
      <c r="B4" s="28" t="s">
        <v>39</v>
      </c>
      <c r="C4" s="31"/>
      <c r="D4" s="21" t="s">
        <v>15</v>
      </c>
      <c r="E4" s="24" t="s">
        <v>15</v>
      </c>
      <c r="F4" s="23" t="s">
        <v>15</v>
      </c>
      <c r="H4" s="20" t="str">
        <f>VLOOKUP(Table533353723[[#This Row],[Structure]],[1]!Dictionary[#All],3,FALSE)</f>
        <v>Large intestine</v>
      </c>
      <c r="I4" s="19">
        <f>VLOOKUP(Table533353723[[#This Row],[Structure]],[1]!Dictionary[#All],4,FALSE)</f>
        <v>7201</v>
      </c>
      <c r="J4" s="19" t="str">
        <f>VLOOKUP(Table533353723[[#This Row],[Structure]],[1]!Dictionary[#All],5,FALSE)</f>
        <v>FMA</v>
      </c>
      <c r="K4" s="18" t="str">
        <f>VLOOKUP(Table533353723[[#This Row],[Structure]],[1]!Dictionary[#All],6,FALSE)</f>
        <v>3.2</v>
      </c>
      <c r="L4" s="17" t="str">
        <f>VLOOKUP(Table533353723[[#This Row],[Structure]],[1]!VolumeType[#All],2,FALSE)</f>
        <v>Organ</v>
      </c>
      <c r="M4" s="16" t="str">
        <f>VLOOKUP(Table533353723[[#This Row],[Structure]],[1]!VolumeType[#All],3,FALSE)</f>
        <v>Organ</v>
      </c>
      <c r="N4" s="15" t="str">
        <f>VLOOKUP(Table533353723[[#This Row],[Structure]],[1]!Colors[#All],3,FALSE)</f>
        <v>z Large Bowel</v>
      </c>
      <c r="O4" s="13" t="str">
        <f>IFERROR(VLOOKUP(Table533353723[[#This Row],[Structure]],[1]!DVH_lines[#Data],2,FALSE),"")</f>
        <v/>
      </c>
      <c r="P4" s="14" t="str">
        <f>IFERROR(VLOOKUP(Table533353723[[#This Row],[Structure]],[1]!DVH_lines[#Data],3,FALSE),"")</f>
        <v/>
      </c>
      <c r="Q4" s="12" t="str">
        <f>IFERROR(VLOOKUP(Table533353723[[#This Row],[Structure]],[1]!DVH_lines[#Data],4,FALSE),"")</f>
        <v/>
      </c>
      <c r="R4" s="13" t="str">
        <f>IFERROR(VLOOKUP(Table533353723[[#This Row],[Structure]],[1]!SearchCT[#Data],2,FALSE),"")</f>
        <v/>
      </c>
      <c r="S4" s="12" t="str">
        <f>IFERROR(VLOOKUP(Table533353723[[#This Row],[Structure]],[1]!SearchCT[#Data],3,FALSE),"")</f>
        <v/>
      </c>
    </row>
    <row r="5" spans="1:19" x14ac:dyDescent="0.25">
      <c r="A5" s="1" t="s">
        <v>37</v>
      </c>
      <c r="B5" s="28" t="s">
        <v>296</v>
      </c>
      <c r="C5" s="31"/>
      <c r="D5" s="21" t="s">
        <v>12</v>
      </c>
      <c r="E5" s="25" t="s">
        <v>12</v>
      </c>
      <c r="F5" s="25" t="s">
        <v>12</v>
      </c>
      <c r="H5" s="20" t="str">
        <f>VLOOKUP(Table533353723[[#This Row],[Structure]],[1]!Dictionary[#All],3,FALSE)</f>
        <v>Small intestine</v>
      </c>
      <c r="I5" s="19">
        <f>VLOOKUP(Table533353723[[#This Row],[Structure]],[1]!Dictionary[#All],4,FALSE)</f>
        <v>7200</v>
      </c>
      <c r="J5" s="19" t="str">
        <f>VLOOKUP(Table533353723[[#This Row],[Structure]],[1]!Dictionary[#All],5,FALSE)</f>
        <v>FMA</v>
      </c>
      <c r="K5" s="18" t="str">
        <f>VLOOKUP(Table533353723[[#This Row],[Structure]],[1]!Dictionary[#All],6,FALSE)</f>
        <v>3.2</v>
      </c>
      <c r="L5" s="17" t="str">
        <f>VLOOKUP(Table533353723[[#This Row],[Structure]],[1]!VolumeType[#All],2,FALSE)</f>
        <v>Organ</v>
      </c>
      <c r="M5" s="16" t="str">
        <f>VLOOKUP(Table533353723[[#This Row],[Structure]],[1]!VolumeType[#All],3,FALSE)</f>
        <v>Organ</v>
      </c>
      <c r="N5" s="15" t="str">
        <f>VLOOKUP(Table533353723[[#This Row],[Structure]],[1]!Colors[#All],3,FALSE)</f>
        <v>z Small Bowel</v>
      </c>
      <c r="O5" s="13" t="str">
        <f>IFERROR(VLOOKUP(Table533353723[[#This Row],[Structure]],[1]!DVH_lines[#Data],2,FALSE),"")</f>
        <v/>
      </c>
      <c r="P5" s="14" t="str">
        <f>IFERROR(VLOOKUP(Table533353723[[#This Row],[Structure]],[1]!DVH_lines[#Data],3,FALSE),"")</f>
        <v/>
      </c>
      <c r="Q5" s="12" t="str">
        <f>IFERROR(VLOOKUP(Table533353723[[#This Row],[Structure]],[1]!DVH_lines[#Data],4,FALSE),"")</f>
        <v/>
      </c>
      <c r="R5" s="13" t="str">
        <f>IFERROR(VLOOKUP(Table533353723[[#This Row],[Structure]],[1]!SearchCT[#Data],2,FALSE),"")</f>
        <v/>
      </c>
      <c r="S5" s="12" t="str">
        <f>IFERROR(VLOOKUP(Table533353723[[#This Row],[Structure]],[1]!SearchCT[#Data],3,FALSE),"")</f>
        <v/>
      </c>
    </row>
    <row r="6" spans="1:19" x14ac:dyDescent="0.25">
      <c r="A6" s="1" t="s">
        <v>35</v>
      </c>
      <c r="B6" s="28">
        <v>3</v>
      </c>
      <c r="C6" s="31"/>
      <c r="D6" s="21" t="s">
        <v>11</v>
      </c>
      <c r="E6" s="25" t="s">
        <v>11</v>
      </c>
      <c r="F6" s="25" t="s">
        <v>11</v>
      </c>
      <c r="H6" s="20" t="str">
        <f>VLOOKUP(Table533353723[[#This Row],[Structure]],[1]!Dictionary[#All],3,FALSE)</f>
        <v>Duodenum</v>
      </c>
      <c r="I6" s="19">
        <f>VLOOKUP(Table533353723[[#This Row],[Structure]],[1]!Dictionary[#All],4,FALSE)</f>
        <v>7206</v>
      </c>
      <c r="J6" s="19" t="str">
        <f>VLOOKUP(Table533353723[[#This Row],[Structure]],[1]!Dictionary[#All],5,FALSE)</f>
        <v>FMA</v>
      </c>
      <c r="K6" s="18" t="str">
        <f>VLOOKUP(Table533353723[[#This Row],[Structure]],[1]!Dictionary[#All],6,FALSE)</f>
        <v>3.2</v>
      </c>
      <c r="L6" s="17" t="str">
        <f>VLOOKUP(Table533353723[[#This Row],[Structure]],[1]!VolumeType[#All],2,FALSE)</f>
        <v>Organ</v>
      </c>
      <c r="M6" s="16" t="str">
        <f>VLOOKUP(Table533353723[[#This Row],[Structure]],[1]!VolumeType[#All],3,FALSE)</f>
        <v>Organ</v>
      </c>
      <c r="N6" s="15" t="str">
        <f>VLOOKUP(Table533353723[[#This Row],[Structure]],[1]!Colors[#All],3,FALSE)</f>
        <v>z Duodenum</v>
      </c>
      <c r="O6" s="13" t="str">
        <f>IFERROR(VLOOKUP(Table533353723[[#This Row],[Structure]],[1]!DVH_lines[#Data],2,FALSE),"")</f>
        <v/>
      </c>
      <c r="P6" s="14" t="str">
        <f>IFERROR(VLOOKUP(Table533353723[[#This Row],[Structure]],[1]!DVH_lines[#Data],3,FALSE),"")</f>
        <v/>
      </c>
      <c r="Q6" s="12" t="str">
        <f>IFERROR(VLOOKUP(Table533353723[[#This Row],[Structure]],[1]!DVH_lines[#Data],4,FALSE),"")</f>
        <v/>
      </c>
      <c r="R6" s="13" t="str">
        <f>IFERROR(VLOOKUP(Table533353723[[#This Row],[Structure]],[1]!SearchCT[#Data],2,FALSE),"")</f>
        <v/>
      </c>
      <c r="S6" s="12" t="str">
        <f>IFERROR(VLOOKUP(Table533353723[[#This Row],[Structure]],[1]!SearchCT[#Data],3,FALSE),"")</f>
        <v/>
      </c>
    </row>
    <row r="7" spans="1:19" x14ac:dyDescent="0.25">
      <c r="A7" s="1" t="s">
        <v>33</v>
      </c>
      <c r="B7" s="29"/>
      <c r="D7" s="21" t="s">
        <v>10</v>
      </c>
      <c r="E7" s="25" t="s">
        <v>10</v>
      </c>
      <c r="F7" s="25" t="s">
        <v>10</v>
      </c>
      <c r="H7" s="20" t="str">
        <f>VLOOKUP(Table533353723[[#This Row],[Structure]],[1]!Dictionary[#All],3,FALSE)</f>
        <v>Jejunum</v>
      </c>
      <c r="I7" s="19">
        <f>VLOOKUP(Table533353723[[#This Row],[Structure]],[1]!Dictionary[#All],4,FALSE)</f>
        <v>7207</v>
      </c>
      <c r="J7" s="19" t="str">
        <f>VLOOKUP(Table533353723[[#This Row],[Structure]],[1]!Dictionary[#All],5,FALSE)</f>
        <v>FMA</v>
      </c>
      <c r="K7" s="18" t="str">
        <f>VLOOKUP(Table533353723[[#This Row],[Structure]],[1]!Dictionary[#All],6,FALSE)</f>
        <v>3.2</v>
      </c>
      <c r="L7" s="17" t="str">
        <f>VLOOKUP(Table533353723[[#This Row],[Structure]],[1]!VolumeType[#All],2,FALSE)</f>
        <v>Organ</v>
      </c>
      <c r="M7" s="16" t="str">
        <f>VLOOKUP(Table533353723[[#This Row],[Structure]],[1]!VolumeType[#All],3,FALSE)</f>
        <v>Organ</v>
      </c>
      <c r="N7" s="15" t="str">
        <f>VLOOKUP(Table533353723[[#This Row],[Structure]],[1]!Colors[#All],3,FALSE)</f>
        <v>z Jejunum</v>
      </c>
      <c r="O7" s="13" t="str">
        <f>IFERROR(VLOOKUP(Table533353723[[#This Row],[Structure]],[1]!DVH_lines[#Data],2,FALSE),"")</f>
        <v/>
      </c>
      <c r="P7" s="14" t="str">
        <f>IFERROR(VLOOKUP(Table533353723[[#This Row],[Structure]],[1]!DVH_lines[#Data],3,FALSE),"")</f>
        <v/>
      </c>
      <c r="Q7" s="12" t="str">
        <f>IFERROR(VLOOKUP(Table533353723[[#This Row],[Structure]],[1]!DVH_lines[#Data],4,FALSE),"")</f>
        <v/>
      </c>
      <c r="R7" s="13" t="str">
        <f>IFERROR(VLOOKUP(Table533353723[[#This Row],[Structure]],[1]!SearchCT[#Data],2,FALSE),"")</f>
        <v/>
      </c>
      <c r="S7" s="12" t="str">
        <f>IFERROR(VLOOKUP(Table533353723[[#This Row],[Structure]],[1]!SearchCT[#Data],3,FALSE),"")</f>
        <v/>
      </c>
    </row>
    <row r="8" spans="1:19" x14ac:dyDescent="0.25">
      <c r="A8" s="1" t="s">
        <v>30</v>
      </c>
      <c r="B8" s="30"/>
      <c r="D8" s="21" t="s">
        <v>9</v>
      </c>
      <c r="E8" s="25" t="s">
        <v>9</v>
      </c>
      <c r="F8" s="25" t="s">
        <v>9</v>
      </c>
      <c r="H8" s="20" t="str">
        <f>VLOOKUP(Table533353723[[#This Row],[Structure]],[1]!Dictionary[#All],3,FALSE)</f>
        <v>Colon</v>
      </c>
      <c r="I8" s="19">
        <f>VLOOKUP(Table533353723[[#This Row],[Structure]],[1]!Dictionary[#All],4,FALSE)</f>
        <v>14543</v>
      </c>
      <c r="J8" s="19" t="str">
        <f>VLOOKUP(Table533353723[[#This Row],[Structure]],[1]!Dictionary[#All],5,FALSE)</f>
        <v>FMA</v>
      </c>
      <c r="K8" s="18" t="str">
        <f>VLOOKUP(Table533353723[[#This Row],[Structure]],[1]!Dictionary[#All],6,FALSE)</f>
        <v>3.2</v>
      </c>
      <c r="L8" s="17" t="str">
        <f>VLOOKUP(Table533353723[[#This Row],[Structure]],[1]!VolumeType[#All],2,FALSE)</f>
        <v>Organ</v>
      </c>
      <c r="M8" s="16" t="str">
        <f>VLOOKUP(Table533353723[[#This Row],[Structure]],[1]!VolumeType[#All],3,FALSE)</f>
        <v>Organ</v>
      </c>
      <c r="N8" s="15" t="str">
        <f>VLOOKUP(Table533353723[[#This Row],[Structure]],[1]!Colors[#All],3,FALSE)</f>
        <v>z Colon</v>
      </c>
      <c r="O8" s="13" t="str">
        <f>IFERROR(VLOOKUP(Table533353723[[#This Row],[Structure]],[1]!DVH_lines[#Data],2,FALSE),"")</f>
        <v/>
      </c>
      <c r="P8" s="14" t="str">
        <f>IFERROR(VLOOKUP(Table533353723[[#This Row],[Structure]],[1]!DVH_lines[#Data],3,FALSE),"")</f>
        <v/>
      </c>
      <c r="Q8" s="12" t="str">
        <f>IFERROR(VLOOKUP(Table533353723[[#This Row],[Structure]],[1]!DVH_lines[#Data],4,FALSE),"")</f>
        <v/>
      </c>
      <c r="R8" s="13" t="str">
        <f>IFERROR(VLOOKUP(Table533353723[[#This Row],[Structure]],[1]!SearchCT[#Data],2,FALSE),"")</f>
        <v/>
      </c>
      <c r="S8" s="12" t="str">
        <f>IFERROR(VLOOKUP(Table533353723[[#This Row],[Structure]],[1]!SearchCT[#Data],3,FALSE),"")</f>
        <v/>
      </c>
    </row>
    <row r="9" spans="1:19" ht="15.75" thickBot="1" x14ac:dyDescent="0.3">
      <c r="A9" s="1" t="s">
        <v>27</v>
      </c>
      <c r="B9" s="29" t="s">
        <v>26</v>
      </c>
      <c r="D9" s="21" t="s">
        <v>7</v>
      </c>
      <c r="E9" s="24" t="s">
        <v>8</v>
      </c>
      <c r="F9" s="23" t="s">
        <v>7</v>
      </c>
      <c r="H9" s="10" t="str">
        <f>VLOOKUP(Table533353723[[#This Row],[Structure]],[1]!Dictionary[#All],3,FALSE)</f>
        <v>Superior mesenteric artery</v>
      </c>
      <c r="I9" s="9">
        <f>VLOOKUP(Table533353723[[#This Row],[Structure]],[1]!Dictionary[#All],4,FALSE)</f>
        <v>14749</v>
      </c>
      <c r="J9" s="9" t="str">
        <f>VLOOKUP(Table533353723[[#This Row],[Structure]],[1]!Dictionary[#All],5,FALSE)</f>
        <v>FMA</v>
      </c>
      <c r="K9" s="8" t="str">
        <f>VLOOKUP(Table533353723[[#This Row],[Structure]],[1]!Dictionary[#All],6,FALSE)</f>
        <v>3.2</v>
      </c>
      <c r="L9" s="7" t="str">
        <f>VLOOKUP(Table533353723[[#This Row],[Structure]],[1]!VolumeType[#All],2,FALSE)</f>
        <v>Organ</v>
      </c>
      <c r="M9" s="6" t="str">
        <f>VLOOKUP(Table533353723[[#This Row],[Structure]],[1]!VolumeType[#All],3,FALSE)</f>
        <v>Organ</v>
      </c>
      <c r="N9" s="5" t="str">
        <f>VLOOKUP(Table533353723[[#This Row],[Structure]],[1]!Colors[#All],3,FALSE)</f>
        <v>z SMA</v>
      </c>
      <c r="O9" s="3" t="str">
        <f>IFERROR(VLOOKUP(Table533353723[[#This Row],[Structure]],[1]!DVH_lines[#Data],2,FALSE),"")</f>
        <v/>
      </c>
      <c r="P9" s="4" t="str">
        <f>IFERROR(VLOOKUP(Table533353723[[#This Row],[Structure]],[1]!DVH_lines[#Data],3,FALSE),"")</f>
        <v/>
      </c>
      <c r="Q9" s="2" t="str">
        <f>IFERROR(VLOOKUP(Table533353723[[#This Row],[Structure]],[1]!DVH_lines[#Data],4,FALSE),"")</f>
        <v/>
      </c>
      <c r="R9" s="3" t="str">
        <f>IFERROR(VLOOKUP(Table533353723[[#This Row],[Structure]],[1]!SearchCT[#Data],2,FALSE),"")</f>
        <v/>
      </c>
      <c r="S9" s="2" t="str">
        <f>IFERROR(VLOOKUP(Table533353723[[#This Row],[Structure]],[1]!SearchCT[#Data],3,FALSE),"")</f>
        <v/>
      </c>
    </row>
    <row r="10" spans="1:19" x14ac:dyDescent="0.25">
      <c r="A10" s="1" t="s">
        <v>23</v>
      </c>
      <c r="B10" s="29" t="s">
        <v>22</v>
      </c>
    </row>
    <row r="11" spans="1:19" x14ac:dyDescent="0.25">
      <c r="A11" s="1" t="s">
        <v>19</v>
      </c>
      <c r="B11" s="29" t="s">
        <v>284</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D3" sqref="D3:J5"/>
    </sheetView>
  </sheetViews>
  <sheetFormatPr defaultRowHeight="15" x14ac:dyDescent="0.25"/>
  <cols>
    <col min="1" max="1" width="14.5703125" style="1" bestFit="1" customWidth="1"/>
    <col min="2" max="2" width="22.140625" style="1" bestFit="1" customWidth="1"/>
    <col min="3" max="3" width="5.42578125" style="1" customWidth="1"/>
    <col min="4" max="4" width="25.5703125" style="1" bestFit="1" customWidth="1"/>
    <col min="5" max="5" width="16.42578125" style="1" bestFit="1" customWidth="1"/>
    <col min="6" max="6" width="29.85546875" style="1" customWidth="1"/>
    <col min="7" max="7" width="5.85546875" style="1" bestFit="1" customWidth="1"/>
    <col min="8" max="8" width="25.14062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5.140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286</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28" t="s">
        <v>286</v>
      </c>
      <c r="C3" s="31"/>
      <c r="D3" s="21" t="s">
        <v>207</v>
      </c>
      <c r="E3" s="25" t="s">
        <v>207</v>
      </c>
      <c r="F3" s="25" t="s">
        <v>207</v>
      </c>
      <c r="H3" s="20" t="str">
        <f>VLOOKUP(Table53335372313[[#This Row],[Structure]],[1]!Dictionary[#All],3,FALSE)</f>
        <v>Rectum</v>
      </c>
      <c r="I3" s="19">
        <f>VLOOKUP(Table53335372313[[#This Row],[Structure]],[1]!Dictionary[#All],4,FALSE)</f>
        <v>14544</v>
      </c>
      <c r="J3" s="19" t="str">
        <f>VLOOKUP(Table53335372313[[#This Row],[Structure]],[1]!Dictionary[#All],5,FALSE)</f>
        <v>FMA</v>
      </c>
      <c r="K3" s="18" t="str">
        <f>VLOOKUP(Table53335372313[[#This Row],[Structure]],[1]!Dictionary[#All],6,FALSE)</f>
        <v>3.2</v>
      </c>
      <c r="L3" s="17" t="str">
        <f>VLOOKUP(Table53335372313[[#This Row],[Structure]],[1]!VolumeType[#All],2,FALSE)</f>
        <v>Organ</v>
      </c>
      <c r="M3" s="16" t="str">
        <f>VLOOKUP(Table53335372313[[#This Row],[Structure]],[1]!VolumeType[#All],3,FALSE)</f>
        <v>Organ</v>
      </c>
      <c r="N3" s="15" t="str">
        <f>VLOOKUP(Table53335372313[[#This Row],[Structure]],[1]!Colors[#All],3,FALSE)</f>
        <v>z Rectum</v>
      </c>
      <c r="O3" s="13" t="str">
        <f>IFERROR(VLOOKUP(Table53335372313[[#This Row],[Structure]],[1]!DVH_lines[#Data],2,FALSE),"")</f>
        <v/>
      </c>
      <c r="P3" s="14" t="str">
        <f>IFERROR(VLOOKUP(Table53335372313[[#This Row],[Structure]],[1]!DVH_lines[#Data],3,FALSE),"")</f>
        <v/>
      </c>
      <c r="Q3" s="12" t="str">
        <f>IFERROR(VLOOKUP(Table53335372313[[#This Row],[Structure]],[1]!DVH_lines[#Data],4,FALSE),"")</f>
        <v/>
      </c>
      <c r="R3" s="13">
        <f>IFERROR(VLOOKUP(Table53335372313[[#This Row],[Structure]],[1]!SearchCT[#Data],2,FALSE),"")</f>
        <v>-20</v>
      </c>
      <c r="S3" s="12">
        <f>IFERROR(VLOOKUP(Table53335372313[[#This Row],[Structure]],[1]!SearchCT[#Data],3,FALSE),"")</f>
        <v>40</v>
      </c>
    </row>
    <row r="4" spans="1:19" x14ac:dyDescent="0.25">
      <c r="A4" s="1" t="s">
        <v>40</v>
      </c>
      <c r="B4" s="28" t="s">
        <v>39</v>
      </c>
      <c r="C4" s="31"/>
      <c r="D4" s="21" t="s">
        <v>202</v>
      </c>
      <c r="E4" s="25" t="s">
        <v>202</v>
      </c>
      <c r="F4" s="25" t="s">
        <v>201</v>
      </c>
      <c r="H4" s="20" t="str">
        <f>VLOOKUP(Table53335372313[[#This Row],[Structure]],[1]!Dictionary[#All],3,FALSE)</f>
        <v>Sigmoid colon</v>
      </c>
      <c r="I4" s="19">
        <f>VLOOKUP(Table53335372313[[#This Row],[Structure]],[1]!Dictionary[#All],4,FALSE)</f>
        <v>14548</v>
      </c>
      <c r="J4" s="19" t="str">
        <f>VLOOKUP(Table53335372313[[#This Row],[Structure]],[1]!Dictionary[#All],5,FALSE)</f>
        <v>FMA</v>
      </c>
      <c r="K4" s="18" t="str">
        <f>VLOOKUP(Table53335372313[[#This Row],[Structure]],[1]!Dictionary[#All],6,FALSE)</f>
        <v>3.2</v>
      </c>
      <c r="L4" s="17" t="str">
        <f>VLOOKUP(Table53335372313[[#This Row],[Structure]],[1]!VolumeType[#All],2,FALSE)</f>
        <v>Organ</v>
      </c>
      <c r="M4" s="16" t="str">
        <f>VLOOKUP(Table53335372313[[#This Row],[Structure]],[1]!VolumeType[#All],3,FALSE)</f>
        <v>Organ</v>
      </c>
      <c r="N4" s="15" t="str">
        <f>VLOOKUP(Table53335372313[[#This Row],[Structure]],[1]!Colors[#All],3,FALSE)</f>
        <v>z Sigmoid</v>
      </c>
      <c r="O4" s="13" t="str">
        <f>IFERROR(VLOOKUP(Table53335372313[[#This Row],[Structure]],[1]!DVH_lines[#Data],2,FALSE),"")</f>
        <v/>
      </c>
      <c r="P4" s="14" t="str">
        <f>IFERROR(VLOOKUP(Table53335372313[[#This Row],[Structure]],[1]!DVH_lines[#Data],3,FALSE),"")</f>
        <v/>
      </c>
      <c r="Q4" s="12" t="str">
        <f>IFERROR(VLOOKUP(Table53335372313[[#This Row],[Structure]],[1]!DVH_lines[#Data],4,FALSE),"")</f>
        <v/>
      </c>
      <c r="R4" s="13" t="str">
        <f>IFERROR(VLOOKUP(Table53335372313[[#This Row],[Structure]],[1]!SearchCT[#Data],2,FALSE),"")</f>
        <v/>
      </c>
      <c r="S4" s="12" t="str">
        <f>IFERROR(VLOOKUP(Table53335372313[[#This Row],[Structure]],[1]!SearchCT[#Data],3,FALSE),"")</f>
        <v/>
      </c>
    </row>
    <row r="5" spans="1:19" ht="15.75" thickBot="1" x14ac:dyDescent="0.3">
      <c r="A5" s="1" t="s">
        <v>37</v>
      </c>
      <c r="B5" s="28" t="s">
        <v>287</v>
      </c>
      <c r="C5" s="31"/>
      <c r="D5" s="21" t="s">
        <v>186</v>
      </c>
      <c r="E5" s="25" t="s">
        <v>186</v>
      </c>
      <c r="F5" s="25" t="s">
        <v>185</v>
      </c>
      <c r="H5" s="10" t="str">
        <f>VLOOKUP(Table53335372313[[#This Row],[Structure]],[1]!Dictionary[#All],3,FALSE)</f>
        <v>Region of mesentery</v>
      </c>
      <c r="I5" s="9">
        <f>VLOOKUP(Table53335372313[[#This Row],[Structure]],[1]!Dictionary[#All],4,FALSE)</f>
        <v>259286</v>
      </c>
      <c r="J5" s="9" t="str">
        <f>VLOOKUP(Table53335372313[[#This Row],[Structure]],[1]!Dictionary[#All],5,FALSE)</f>
        <v>FMA</v>
      </c>
      <c r="K5" s="8" t="str">
        <f>VLOOKUP(Table53335372313[[#This Row],[Structure]],[1]!Dictionary[#All],6,FALSE)</f>
        <v>3.2</v>
      </c>
      <c r="L5" s="7" t="str">
        <f>VLOOKUP(Table53335372313[[#This Row],[Structure]],[1]!VolumeType[#All],2,FALSE)</f>
        <v>Organ</v>
      </c>
      <c r="M5" s="6" t="str">
        <f>VLOOKUP(Table53335372313[[#This Row],[Structure]],[1]!VolumeType[#All],3,FALSE)</f>
        <v>Organ</v>
      </c>
      <c r="N5" s="5" t="str">
        <f>VLOOKUP(Table53335372313[[#This Row],[Structure]],[1]!Colors[#All],3,FALSE)</f>
        <v>z MesoRectum</v>
      </c>
      <c r="O5" s="3" t="str">
        <f>IFERROR(VLOOKUP(Table53335372313[[#This Row],[Structure]],[1]!DVH_lines[#Data],2,FALSE),"")</f>
        <v/>
      </c>
      <c r="P5" s="4" t="str">
        <f>IFERROR(VLOOKUP(Table53335372313[[#This Row],[Structure]],[1]!DVH_lines[#Data],3,FALSE),"")</f>
        <v/>
      </c>
      <c r="Q5" s="2" t="str">
        <f>IFERROR(VLOOKUP(Table53335372313[[#This Row],[Structure]],[1]!DVH_lines[#Data],4,FALSE),"")</f>
        <v/>
      </c>
      <c r="R5" s="3" t="str">
        <f>IFERROR(VLOOKUP(Table53335372313[[#This Row],[Structure]],[1]!SearchCT[#Data],2,FALSE),"")</f>
        <v/>
      </c>
      <c r="S5" s="2" t="str">
        <f>IFERROR(VLOOKUP(Table53335372313[[#This Row],[Structure]],[1]!SearchCT[#Data],3,FALSE),"")</f>
        <v/>
      </c>
    </row>
    <row r="6" spans="1:19" x14ac:dyDescent="0.25">
      <c r="A6" s="1" t="s">
        <v>35</v>
      </c>
      <c r="B6" s="28">
        <v>3</v>
      </c>
    </row>
    <row r="7" spans="1:19" x14ac:dyDescent="0.25">
      <c r="A7" s="1" t="s">
        <v>33</v>
      </c>
      <c r="B7" s="29"/>
    </row>
    <row r="8" spans="1:19" x14ac:dyDescent="0.25">
      <c r="A8" s="1" t="s">
        <v>30</v>
      </c>
      <c r="B8" s="30"/>
    </row>
    <row r="9" spans="1:19" x14ac:dyDescent="0.25">
      <c r="A9" s="1" t="s">
        <v>27</v>
      </c>
      <c r="B9" s="29" t="s">
        <v>26</v>
      </c>
    </row>
    <row r="10" spans="1:19" x14ac:dyDescent="0.25">
      <c r="A10" s="1" t="s">
        <v>23</v>
      </c>
      <c r="B10" s="29" t="s">
        <v>22</v>
      </c>
    </row>
    <row r="11" spans="1:19" x14ac:dyDescent="0.25">
      <c r="A11" s="1" t="s">
        <v>19</v>
      </c>
      <c r="B11" s="29" t="s">
        <v>285</v>
      </c>
    </row>
    <row r="12" spans="1:19" x14ac:dyDescent="0.25">
      <c r="A12" s="1" t="s">
        <v>17</v>
      </c>
      <c r="B12" s="28" t="s">
        <v>16</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14"/>
  <sheetViews>
    <sheetView workbookViewId="0">
      <selection activeCell="F24" sqref="F24"/>
    </sheetView>
  </sheetViews>
  <sheetFormatPr defaultRowHeight="15" x14ac:dyDescent="0.25"/>
  <cols>
    <col min="1" max="1" width="14.5703125" style="1" bestFit="1" customWidth="1"/>
    <col min="2" max="2" width="21.7109375" style="1" bestFit="1" customWidth="1"/>
    <col min="3" max="3" width="5.42578125" style="1" customWidth="1"/>
    <col min="4" max="5" width="18.42578125" style="1" bestFit="1" customWidth="1"/>
    <col min="6" max="6" width="28.42578125" style="1" bestFit="1" customWidth="1"/>
    <col min="7" max="7" width="5.85546875" style="1" bestFit="1" customWidth="1"/>
    <col min="8" max="8" width="56.85546875" style="1" bestFit="1" customWidth="1"/>
    <col min="9" max="9" width="10.7109375" style="1" bestFit="1" customWidth="1"/>
    <col min="10" max="10" width="19.7109375" style="1" bestFit="1" customWidth="1"/>
    <col min="11" max="11" width="21" style="1" bestFit="1" customWidth="1"/>
    <col min="12" max="12" width="9.7109375" style="1" bestFit="1" customWidth="1"/>
    <col min="13" max="13" width="13.28515625" style="1" bestFit="1" customWidth="1"/>
    <col min="14" max="14" width="16.710937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88</v>
      </c>
      <c r="B1" s="71"/>
      <c r="C1" s="43"/>
      <c r="D1" s="78" t="s">
        <v>64</v>
      </c>
      <c r="E1" s="78"/>
      <c r="F1" s="78"/>
      <c r="H1" s="72" t="s">
        <v>63</v>
      </c>
      <c r="I1" s="73"/>
      <c r="J1" s="73"/>
      <c r="K1" s="74"/>
      <c r="L1" s="72" t="s">
        <v>62</v>
      </c>
      <c r="M1" s="73"/>
      <c r="N1" s="42" t="s">
        <v>61</v>
      </c>
      <c r="O1" s="72" t="s">
        <v>60</v>
      </c>
      <c r="P1" s="73"/>
      <c r="Q1" s="74"/>
      <c r="R1" s="72" t="s">
        <v>59</v>
      </c>
      <c r="S1" s="74"/>
    </row>
    <row r="2" spans="1:19" ht="15.75" x14ac:dyDescent="0.25">
      <c r="A2" s="40" t="s">
        <v>58</v>
      </c>
      <c r="B2" s="41" t="s">
        <v>57</v>
      </c>
      <c r="C2" s="31"/>
      <c r="D2" s="1" t="s">
        <v>39</v>
      </c>
      <c r="E2" s="1" t="s">
        <v>56</v>
      </c>
      <c r="F2" s="1"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28" t="s">
        <v>88</v>
      </c>
      <c r="C3" s="31"/>
      <c r="D3" s="1" t="s">
        <v>87</v>
      </c>
      <c r="E3" s="1" t="s">
        <v>87</v>
      </c>
      <c r="F3" s="1" t="s">
        <v>86</v>
      </c>
      <c r="H3" s="20" t="str">
        <f>VLOOKUP(Table533353758[[#This Row],[Structure]],[1]!Dictionary[#All],3,FALSE)</f>
        <v>Subpyloric lymph node</v>
      </c>
      <c r="I3" s="19">
        <f>VLOOKUP(Table533353758[[#This Row],[Structure]],[1]!Dictionary[#All],4,FALSE)</f>
        <v>66184</v>
      </c>
      <c r="J3" s="19" t="str">
        <f>VLOOKUP(Table533353758[[#This Row],[Structure]],[1]!Dictionary[#All],5,FALSE)</f>
        <v>FMA</v>
      </c>
      <c r="K3" s="18" t="str">
        <f>VLOOKUP(Table533353758[[#This Row],[Structure]],[1]!Dictionary[#All],6,FALSE)</f>
        <v>3.2</v>
      </c>
      <c r="L3" s="17" t="str">
        <f>VLOOKUP(Table533353758[[#This Row],[Structure]],[1]!VolumeType[#All],2,FALSE)</f>
        <v>CTV</v>
      </c>
      <c r="M3" s="16" t="str">
        <f>VLOOKUP(Table533353758[[#This Row],[Structure]],[1]!VolumeType[#All],3,FALSE)</f>
        <v>Nodes</v>
      </c>
      <c r="N3" s="15" t="str">
        <f>VLOOKUP(Table533353758[[#This Row],[Structure]],[1]!Colors[#All],3,FALSE)</f>
        <v>z Node Subpylor</v>
      </c>
      <c r="O3" s="13" t="str">
        <f>IFERROR(VLOOKUP(Table533353758[[#This Row],[Structure]],[1]!DVH_lines[#Data],2,FALSE),"")</f>
        <v/>
      </c>
      <c r="P3" s="14" t="str">
        <f>IFERROR(VLOOKUP(Table533353758[[#This Row],[Structure]],[1]!DVH_lines[#Data],3,FALSE),"")</f>
        <v/>
      </c>
      <c r="Q3" s="12" t="str">
        <f>IFERROR(VLOOKUP(Table533353758[[#This Row],[Structure]],[1]!DVH_lines[#Data],4,FALSE),"")</f>
        <v/>
      </c>
      <c r="R3" s="13" t="str">
        <f>IFERROR(VLOOKUP(Table533353758[[#This Row],[Structure]],[1]!SearchCT[#Data],2,FALSE),"")</f>
        <v/>
      </c>
      <c r="S3" s="12" t="str">
        <f>IFERROR(VLOOKUP(Table533353758[[#This Row],[Structure]],[1]!SearchCT[#Data],3,FALSE),"")</f>
        <v/>
      </c>
    </row>
    <row r="4" spans="1:19" x14ac:dyDescent="0.25">
      <c r="A4" s="1" t="s">
        <v>40</v>
      </c>
      <c r="B4" s="28" t="s">
        <v>39</v>
      </c>
      <c r="C4" s="31"/>
      <c r="D4" s="1" t="s">
        <v>85</v>
      </c>
      <c r="E4" s="1" t="s">
        <v>85</v>
      </c>
      <c r="F4" s="1" t="s">
        <v>84</v>
      </c>
      <c r="H4" s="20" t="str">
        <f>VLOOKUP(Table533353758[[#This Row],[Structure]],[1]!Dictionary[#All],3,FALSE)</f>
        <v>Group12: lymph nodes of the hepatoduodenal ligament (HDL)</v>
      </c>
      <c r="I4" s="19" t="str">
        <f>VLOOKUP(Table533353758[[#This Row],[Structure]],[1]!Dictionary[#All],4,FALSE)</f>
        <v>LN_12_HDL</v>
      </c>
      <c r="J4" s="19" t="str">
        <f>VLOOKUP(Table533353758[[#This Row],[Structure]],[1]!Dictionary[#All],5,FALSE)</f>
        <v>99VMS_STRUCTCODE</v>
      </c>
      <c r="K4" s="18" t="str">
        <f>VLOOKUP(Table533353758[[#This Row],[Structure]],[1]!Dictionary[#All],6,FALSE)</f>
        <v>1.0</v>
      </c>
      <c r="L4" s="17" t="str">
        <f>VLOOKUP(Table533353758[[#This Row],[Structure]],[1]!VolumeType[#All],2,FALSE)</f>
        <v>CTV</v>
      </c>
      <c r="M4" s="16" t="str">
        <f>VLOOKUP(Table533353758[[#This Row],[Structure]],[1]!VolumeType[#All],3,FALSE)</f>
        <v>Nodes</v>
      </c>
      <c r="N4" s="15" t="str">
        <f>VLOOKUP(Table533353758[[#This Row],[Structure]],[1]!Colors[#All],3,FALSE)</f>
        <v>z Node Hepatodd</v>
      </c>
      <c r="O4" s="13" t="str">
        <f>IFERROR(VLOOKUP(Table533353758[[#This Row],[Structure]],[1]!DVH_lines[#Data],2,FALSE),"")</f>
        <v/>
      </c>
      <c r="P4" s="14" t="str">
        <f>IFERROR(VLOOKUP(Table533353758[[#This Row],[Structure]],[1]!DVH_lines[#Data],3,FALSE),"")</f>
        <v/>
      </c>
      <c r="Q4" s="12" t="str">
        <f>IFERROR(VLOOKUP(Table533353758[[#This Row],[Structure]],[1]!DVH_lines[#Data],4,FALSE),"")</f>
        <v/>
      </c>
      <c r="R4" s="13" t="str">
        <f>IFERROR(VLOOKUP(Table533353758[[#This Row],[Structure]],[1]!SearchCT[#Data],2,FALSE),"")</f>
        <v/>
      </c>
      <c r="S4" s="12" t="str">
        <f>IFERROR(VLOOKUP(Table533353758[[#This Row],[Structure]],[1]!SearchCT[#Data],3,FALSE),"")</f>
        <v/>
      </c>
    </row>
    <row r="5" spans="1:19" x14ac:dyDescent="0.25">
      <c r="A5" s="1" t="s">
        <v>37</v>
      </c>
      <c r="B5" s="28" t="s">
        <v>277</v>
      </c>
      <c r="C5" s="31"/>
      <c r="D5" s="1" t="s">
        <v>83</v>
      </c>
      <c r="E5" s="1" t="s">
        <v>82</v>
      </c>
      <c r="F5" s="1" t="s">
        <v>81</v>
      </c>
      <c r="H5" s="20" t="str">
        <f>VLOOKUP(Table533353758[[#This Row],[Structure]],[1]!Dictionary[#All],3,FALSE)</f>
        <v>Gastrohepatic ligament node</v>
      </c>
      <c r="I5" s="19">
        <f>VLOOKUP(Table533353758[[#This Row],[Structure]],[1]!Dictionary[#All],4,FALSE)</f>
        <v>265341</v>
      </c>
      <c r="J5" s="19" t="str">
        <f>VLOOKUP(Table533353758[[#This Row],[Structure]],[1]!Dictionary[#All],5,FALSE)</f>
        <v>FMA</v>
      </c>
      <c r="K5" s="18" t="str">
        <f>VLOOKUP(Table533353758[[#This Row],[Structure]],[1]!Dictionary[#All],6,FALSE)</f>
        <v>3.2</v>
      </c>
      <c r="L5" s="17" t="str">
        <f>VLOOKUP(Table533353758[[#This Row],[Structure]],[1]!VolumeType[#All],2,FALSE)</f>
        <v>CTV</v>
      </c>
      <c r="M5" s="16" t="str">
        <f>VLOOKUP(Table533353758[[#This Row],[Structure]],[1]!VolumeType[#All],3,FALSE)</f>
        <v>Nodes</v>
      </c>
      <c r="N5" s="15" t="str">
        <f>VLOOKUP(Table533353758[[#This Row],[Structure]],[1]!Colors[#All],3,FALSE)</f>
        <v>z Node Hepatogst</v>
      </c>
      <c r="O5" s="13" t="str">
        <f>IFERROR(VLOOKUP(Table533353758[[#This Row],[Structure]],[1]!DVH_lines[#Data],2,FALSE),"")</f>
        <v/>
      </c>
      <c r="P5" s="14" t="str">
        <f>IFERROR(VLOOKUP(Table533353758[[#This Row],[Structure]],[1]!DVH_lines[#Data],3,FALSE),"")</f>
        <v/>
      </c>
      <c r="Q5" s="12" t="str">
        <f>IFERROR(VLOOKUP(Table533353758[[#This Row],[Structure]],[1]!DVH_lines[#Data],4,FALSE),"")</f>
        <v/>
      </c>
      <c r="R5" s="13" t="str">
        <f>IFERROR(VLOOKUP(Table533353758[[#This Row],[Structure]],[1]!SearchCT[#Data],2,FALSE),"")</f>
        <v/>
      </c>
      <c r="S5" s="12" t="str">
        <f>IFERROR(VLOOKUP(Table533353758[[#This Row],[Structure]],[1]!SearchCT[#Data],3,FALSE),"")</f>
        <v/>
      </c>
    </row>
    <row r="6" spans="1:19" x14ac:dyDescent="0.25">
      <c r="A6" s="1" t="s">
        <v>35</v>
      </c>
      <c r="B6" s="28">
        <v>3</v>
      </c>
      <c r="C6" s="31"/>
      <c r="D6" s="1" t="s">
        <v>80</v>
      </c>
      <c r="E6" s="1" t="s">
        <v>80</v>
      </c>
      <c r="F6" s="1" t="s">
        <v>79</v>
      </c>
      <c r="H6" s="20" t="str">
        <f>VLOOKUP(Table533353758[[#This Row],[Structure]],[1]!Dictionary[#All],3,FALSE)</f>
        <v>Parietal lumbar lymph node</v>
      </c>
      <c r="I6" s="19" t="str">
        <f>VLOOKUP(Table533353758[[#This Row],[Structure]],[1]!Dictionary[#All],4,FALSE)</f>
        <v>84599</v>
      </c>
      <c r="J6" s="19" t="str">
        <f>VLOOKUP(Table533353758[[#This Row],[Structure]],[1]!Dictionary[#All],5,FALSE)</f>
        <v>FMA</v>
      </c>
      <c r="K6" s="18" t="str">
        <f>VLOOKUP(Table533353758[[#This Row],[Structure]],[1]!Dictionary[#All],6,FALSE)</f>
        <v>3.2</v>
      </c>
      <c r="L6" s="17" t="str">
        <f>VLOOKUP(Table533353758[[#This Row],[Structure]],[1]!VolumeType[#All],2,FALSE)</f>
        <v>CTV</v>
      </c>
      <c r="M6" s="16" t="str">
        <f>VLOOKUP(Table533353758[[#This Row],[Structure]],[1]!VolumeType[#All],3,FALSE)</f>
        <v>Nodes</v>
      </c>
      <c r="N6" s="15" t="str">
        <f>VLOOKUP(Table533353758[[#This Row],[Structure]],[1]!Colors[#All],3,FALSE)</f>
        <v>zNode ParaAortic</v>
      </c>
      <c r="O6" s="13" t="str">
        <f>IFERROR(VLOOKUP(Table533353758[[#This Row],[Structure]],[1]!DVH_lines[#Data],2,FALSE),"")</f>
        <v/>
      </c>
      <c r="P6" s="14" t="str">
        <f>IFERROR(VLOOKUP(Table533353758[[#This Row],[Structure]],[1]!DVH_lines[#Data],3,FALSE),"")</f>
        <v/>
      </c>
      <c r="Q6" s="12" t="str">
        <f>IFERROR(VLOOKUP(Table533353758[[#This Row],[Structure]],[1]!DVH_lines[#Data],4,FALSE),"")</f>
        <v/>
      </c>
      <c r="R6" s="13" t="str">
        <f>IFERROR(VLOOKUP(Table533353758[[#This Row],[Structure]],[1]!SearchCT[#Data],2,FALSE),"")</f>
        <v/>
      </c>
      <c r="S6" s="12" t="str">
        <f>IFERROR(VLOOKUP(Table533353758[[#This Row],[Structure]],[1]!SearchCT[#Data],3,FALSE),"")</f>
        <v/>
      </c>
    </row>
    <row r="7" spans="1:19" x14ac:dyDescent="0.25">
      <c r="A7" s="1" t="s">
        <v>33</v>
      </c>
      <c r="B7" s="29"/>
      <c r="D7" s="1" t="s">
        <v>78</v>
      </c>
      <c r="E7" s="1" t="s">
        <v>78</v>
      </c>
      <c r="F7" s="1" t="s">
        <v>77</v>
      </c>
      <c r="H7" s="20" t="str">
        <f>VLOOKUP(Table533353758[[#This Row],[Structure]],[1]!Dictionary[#All],3,FALSE)</f>
        <v>Pancreatic lymph node group</v>
      </c>
      <c r="I7" s="19">
        <f>VLOOKUP(Table533353758[[#This Row],[Structure]],[1]!Dictionary[#All],4,FALSE)</f>
        <v>71793</v>
      </c>
      <c r="J7" s="19" t="str">
        <f>VLOOKUP(Table533353758[[#This Row],[Structure]],[1]!Dictionary[#All],5,FALSE)</f>
        <v>FMA</v>
      </c>
      <c r="K7" s="18" t="str">
        <f>VLOOKUP(Table533353758[[#This Row],[Structure]],[1]!Dictionary[#All],6,FALSE)</f>
        <v>3.2</v>
      </c>
      <c r="L7" s="17" t="str">
        <f>VLOOKUP(Table533353758[[#This Row],[Structure]],[1]!VolumeType[#All],2,FALSE)</f>
        <v>CTV</v>
      </c>
      <c r="M7" s="16" t="str">
        <f>VLOOKUP(Table533353758[[#This Row],[Structure]],[1]!VolumeType[#All],3,FALSE)</f>
        <v>Nodes</v>
      </c>
      <c r="N7" s="15" t="str">
        <f>VLOOKUP(Table533353758[[#This Row],[Structure]],[1]!Colors[#All],3,FALSE)</f>
        <v>zNode Pancreatic</v>
      </c>
      <c r="O7" s="13" t="str">
        <f>IFERROR(VLOOKUP(Table533353758[[#This Row],[Structure]],[1]!DVH_lines[#Data],2,FALSE),"")</f>
        <v/>
      </c>
      <c r="P7" s="14" t="str">
        <f>IFERROR(VLOOKUP(Table533353758[[#This Row],[Structure]],[1]!DVH_lines[#Data],3,FALSE),"")</f>
        <v/>
      </c>
      <c r="Q7" s="12" t="str">
        <f>IFERROR(VLOOKUP(Table533353758[[#This Row],[Structure]],[1]!DVH_lines[#Data],4,FALSE),"")</f>
        <v/>
      </c>
      <c r="R7" s="13" t="str">
        <f>IFERROR(VLOOKUP(Table533353758[[#This Row],[Structure]],[1]!SearchCT[#Data],2,FALSE),"")</f>
        <v/>
      </c>
      <c r="S7" s="12" t="str">
        <f>IFERROR(VLOOKUP(Table533353758[[#This Row],[Structure]],[1]!SearchCT[#Data],3,FALSE),"")</f>
        <v/>
      </c>
    </row>
    <row r="8" spans="1:19" x14ac:dyDescent="0.25">
      <c r="A8" s="1" t="s">
        <v>30</v>
      </c>
      <c r="B8" s="30"/>
      <c r="D8" s="1" t="s">
        <v>76</v>
      </c>
      <c r="E8" s="1" t="s">
        <v>76</v>
      </c>
      <c r="F8" s="1" t="s">
        <v>75</v>
      </c>
      <c r="H8" s="20" t="str">
        <f>VLOOKUP(Table533353758[[#This Row],[Structure]],[1]!Dictionary[#All],3,FALSE)</f>
        <v>Celiac lymph node</v>
      </c>
      <c r="I8" s="19">
        <f>VLOOKUP(Table533353758[[#This Row],[Structure]],[1]!Dictionary[#All],4,FALSE)</f>
        <v>12792</v>
      </c>
      <c r="J8" s="19" t="str">
        <f>VLOOKUP(Table533353758[[#This Row],[Structure]],[1]!Dictionary[#All],5,FALSE)</f>
        <v>FMA</v>
      </c>
      <c r="K8" s="18" t="str">
        <f>VLOOKUP(Table533353758[[#This Row],[Structure]],[1]!Dictionary[#All],6,FALSE)</f>
        <v>3.2</v>
      </c>
      <c r="L8" s="17" t="str">
        <f>VLOOKUP(Table533353758[[#This Row],[Structure]],[1]!VolumeType[#All],2,FALSE)</f>
        <v>CTV</v>
      </c>
      <c r="M8" s="16" t="str">
        <f>VLOOKUP(Table533353758[[#This Row],[Structure]],[1]!VolumeType[#All],3,FALSE)</f>
        <v>Nodes</v>
      </c>
      <c r="N8" s="15" t="str">
        <f>VLOOKUP(Table533353758[[#This Row],[Structure]],[1]!Colors[#All],3,FALSE)</f>
        <v>z Node Celiac</v>
      </c>
      <c r="O8" s="13" t="str">
        <f>IFERROR(VLOOKUP(Table533353758[[#This Row],[Structure]],[1]!DVH_lines[#Data],2,FALSE),"")</f>
        <v/>
      </c>
      <c r="P8" s="14" t="str">
        <f>IFERROR(VLOOKUP(Table533353758[[#This Row],[Structure]],[1]!DVH_lines[#Data],3,FALSE),"")</f>
        <v/>
      </c>
      <c r="Q8" s="12" t="str">
        <f>IFERROR(VLOOKUP(Table533353758[[#This Row],[Structure]],[1]!DVH_lines[#Data],4,FALSE),"")</f>
        <v/>
      </c>
      <c r="R8" s="13" t="str">
        <f>IFERROR(VLOOKUP(Table533353758[[#This Row],[Structure]],[1]!SearchCT[#Data],2,FALSE),"")</f>
        <v/>
      </c>
      <c r="S8" s="12" t="str">
        <f>IFERROR(VLOOKUP(Table533353758[[#This Row],[Structure]],[1]!SearchCT[#Data],3,FALSE),"")</f>
        <v/>
      </c>
    </row>
    <row r="9" spans="1:19" x14ac:dyDescent="0.25">
      <c r="A9" s="1" t="s">
        <v>27</v>
      </c>
      <c r="B9" s="29" t="s">
        <v>74</v>
      </c>
      <c r="D9" s="1" t="s">
        <v>73</v>
      </c>
      <c r="E9" s="1" t="s">
        <v>73</v>
      </c>
      <c r="F9" s="1" t="s">
        <v>72</v>
      </c>
      <c r="H9" s="20" t="str">
        <f>VLOOKUP(Table533353758[[#This Row],[Structure]],[1]!Dictionary[#All],3,FALSE)</f>
        <v>Common hepatic lymph node</v>
      </c>
      <c r="I9" s="19">
        <f>VLOOKUP(Table533353758[[#This Row],[Structure]],[1]!Dictionary[#All],4,FALSE)</f>
        <v>277259</v>
      </c>
      <c r="J9" s="19" t="str">
        <f>VLOOKUP(Table533353758[[#This Row],[Structure]],[1]!Dictionary[#All],5,FALSE)</f>
        <v>FMA</v>
      </c>
      <c r="K9" s="18" t="str">
        <f>VLOOKUP(Table533353758[[#This Row],[Structure]],[1]!Dictionary[#All],6,FALSE)</f>
        <v>3.2</v>
      </c>
      <c r="L9" s="17" t="str">
        <f>VLOOKUP(Table533353758[[#This Row],[Structure]],[1]!VolumeType[#All],2,FALSE)</f>
        <v>CTV</v>
      </c>
      <c r="M9" s="16" t="str">
        <f>VLOOKUP(Table533353758[[#This Row],[Structure]],[1]!VolumeType[#All],3,FALSE)</f>
        <v>Nodes</v>
      </c>
      <c r="N9" s="15" t="str">
        <f>VLOOKUP(Table533353758[[#This Row],[Structure]],[1]!Colors[#All],3,FALSE)</f>
        <v>z Node Hepatic</v>
      </c>
      <c r="O9" s="13" t="str">
        <f>IFERROR(VLOOKUP(Table533353758[[#This Row],[Structure]],[1]!DVH_lines[#Data],2,FALSE),"")</f>
        <v/>
      </c>
      <c r="P9" s="14" t="str">
        <f>IFERROR(VLOOKUP(Table533353758[[#This Row],[Structure]],[1]!DVH_lines[#Data],3,FALSE),"")</f>
        <v/>
      </c>
      <c r="Q9" s="12" t="str">
        <f>IFERROR(VLOOKUP(Table533353758[[#This Row],[Structure]],[1]!DVH_lines[#Data],4,FALSE),"")</f>
        <v/>
      </c>
      <c r="R9" s="13" t="str">
        <f>IFERROR(VLOOKUP(Table533353758[[#This Row],[Structure]],[1]!SearchCT[#Data],2,FALSE),"")</f>
        <v/>
      </c>
      <c r="S9" s="12" t="str">
        <f>IFERROR(VLOOKUP(Table533353758[[#This Row],[Structure]],[1]!SearchCT[#Data],3,FALSE),"")</f>
        <v/>
      </c>
    </row>
    <row r="10" spans="1:19" x14ac:dyDescent="0.25">
      <c r="A10" s="1" t="s">
        <v>23</v>
      </c>
      <c r="B10" s="29" t="s">
        <v>22</v>
      </c>
      <c r="D10" s="1" t="s">
        <v>71</v>
      </c>
      <c r="E10" s="1" t="s">
        <v>71</v>
      </c>
      <c r="F10" s="1" t="s">
        <v>70</v>
      </c>
      <c r="H10" s="20" t="str">
        <f>VLOOKUP(Table533353758[[#This Row],[Structure]],[1]!Dictionary[#All],3,FALSE)</f>
        <v>Gastric lymph node group</v>
      </c>
      <c r="I10" s="19">
        <f>VLOOKUP(Table533353758[[#This Row],[Structure]],[1]!Dictionary[#All],4,FALSE)</f>
        <v>75276</v>
      </c>
      <c r="J10" s="19" t="str">
        <f>VLOOKUP(Table533353758[[#This Row],[Structure]],[1]!Dictionary[#All],5,FALSE)</f>
        <v>FMA</v>
      </c>
      <c r="K10" s="18" t="str">
        <f>VLOOKUP(Table533353758[[#This Row],[Structure]],[1]!Dictionary[#All],6,FALSE)</f>
        <v>3.2</v>
      </c>
      <c r="L10" s="17" t="str">
        <f>VLOOKUP(Table533353758[[#This Row],[Structure]],[1]!VolumeType[#All],2,FALSE)</f>
        <v>CTV</v>
      </c>
      <c r="M10" s="16" t="str">
        <f>VLOOKUP(Table533353758[[#This Row],[Structure]],[1]!VolumeType[#All],3,FALSE)</f>
        <v>Nodes</v>
      </c>
      <c r="N10" s="15" t="str">
        <f>VLOOKUP(Table533353758[[#This Row],[Structure]],[1]!Colors[#All],3,FALSE)</f>
        <v>z Node Gastric</v>
      </c>
      <c r="O10" s="13" t="str">
        <f>IFERROR(VLOOKUP(Table533353758[[#This Row],[Structure]],[1]!DVH_lines[#Data],2,FALSE),"")</f>
        <v/>
      </c>
      <c r="P10" s="14" t="str">
        <f>IFERROR(VLOOKUP(Table533353758[[#This Row],[Structure]],[1]!DVH_lines[#Data],3,FALSE),"")</f>
        <v/>
      </c>
      <c r="Q10" s="12" t="str">
        <f>IFERROR(VLOOKUP(Table533353758[[#This Row],[Structure]],[1]!DVH_lines[#Data],4,FALSE),"")</f>
        <v/>
      </c>
      <c r="R10" s="13" t="str">
        <f>IFERROR(VLOOKUP(Table533353758[[#This Row],[Structure]],[1]!SearchCT[#Data],2,FALSE),"")</f>
        <v/>
      </c>
      <c r="S10" s="12" t="str">
        <f>IFERROR(VLOOKUP(Table533353758[[#This Row],[Structure]],[1]!SearchCT[#Data],3,FALSE),"")</f>
        <v/>
      </c>
    </row>
    <row r="11" spans="1:19" x14ac:dyDescent="0.25">
      <c r="A11" s="1" t="s">
        <v>19</v>
      </c>
      <c r="B11" s="29" t="s">
        <v>69</v>
      </c>
      <c r="D11" s="1" t="s">
        <v>68</v>
      </c>
      <c r="E11" s="1" t="s">
        <v>68</v>
      </c>
      <c r="F11" s="1" t="s">
        <v>67</v>
      </c>
      <c r="H11" s="20" t="str">
        <f>VLOOKUP(Table533353758[[#This Row],[Structure]],[1]!Dictionary[#All],3,FALSE)</f>
        <v>Pyloric lymph node group</v>
      </c>
      <c r="I11" s="19">
        <f>VLOOKUP(Table533353758[[#This Row],[Structure]],[1]!Dictionary[#All],4,FALSE)</f>
        <v>71790</v>
      </c>
      <c r="J11" s="19" t="str">
        <f>VLOOKUP(Table533353758[[#This Row],[Structure]],[1]!Dictionary[#All],5,FALSE)</f>
        <v>FMA</v>
      </c>
      <c r="K11" s="18" t="str">
        <f>VLOOKUP(Table533353758[[#This Row],[Structure]],[1]!Dictionary[#All],6,FALSE)</f>
        <v>3.2</v>
      </c>
      <c r="L11" s="17" t="str">
        <f>VLOOKUP(Table533353758[[#This Row],[Structure]],[1]!VolumeType[#All],2,FALSE)</f>
        <v>CTV</v>
      </c>
      <c r="M11" s="16" t="str">
        <f>VLOOKUP(Table533353758[[#This Row],[Structure]],[1]!VolumeType[#All],3,FALSE)</f>
        <v>Nodes</v>
      </c>
      <c r="N11" s="15" t="str">
        <f>VLOOKUP(Table533353758[[#This Row],[Structure]],[1]!Colors[#All],3,FALSE)</f>
        <v>z Node Pyloric</v>
      </c>
      <c r="O11" s="13" t="str">
        <f>IFERROR(VLOOKUP(Table533353758[[#This Row],[Structure]],[1]!DVH_lines[#Data],2,FALSE),"")</f>
        <v/>
      </c>
      <c r="P11" s="14" t="str">
        <f>IFERROR(VLOOKUP(Table533353758[[#This Row],[Structure]],[1]!DVH_lines[#Data],3,FALSE),"")</f>
        <v/>
      </c>
      <c r="Q11" s="12" t="str">
        <f>IFERROR(VLOOKUP(Table533353758[[#This Row],[Structure]],[1]!DVH_lines[#Data],4,FALSE),"")</f>
        <v/>
      </c>
      <c r="R11" s="13" t="str">
        <f>IFERROR(VLOOKUP(Table533353758[[#This Row],[Structure]],[1]!SearchCT[#Data],2,FALSE),"")</f>
        <v/>
      </c>
      <c r="S11" s="12" t="str">
        <f>IFERROR(VLOOKUP(Table533353758[[#This Row],[Structure]],[1]!SearchCT[#Data],3,FALSE),"")</f>
        <v/>
      </c>
    </row>
    <row r="12" spans="1:19" ht="15.75" thickBot="1" x14ac:dyDescent="0.3">
      <c r="A12" s="1" t="s">
        <v>17</v>
      </c>
      <c r="B12" s="28" t="s">
        <v>16</v>
      </c>
      <c r="D12" s="1" t="s">
        <v>66</v>
      </c>
      <c r="E12" s="1" t="s">
        <v>66</v>
      </c>
      <c r="F12" s="1" t="s">
        <v>65</v>
      </c>
      <c r="H12" s="10" t="str">
        <f>VLOOKUP(Table533353758[[#This Row],[Structure]],[1]!Dictionary[#All],3,FALSE)</f>
        <v>Splenic lymph node group</v>
      </c>
      <c r="I12" s="9">
        <f>VLOOKUP(Table533353758[[#This Row],[Structure]],[1]!Dictionary[#All],4,FALSE)</f>
        <v>71796</v>
      </c>
      <c r="J12" s="9" t="str">
        <f>VLOOKUP(Table533353758[[#This Row],[Structure]],[1]!Dictionary[#All],5,FALSE)</f>
        <v>FMA</v>
      </c>
      <c r="K12" s="8" t="str">
        <f>VLOOKUP(Table533353758[[#This Row],[Structure]],[1]!Dictionary[#All],6,FALSE)</f>
        <v>3.2</v>
      </c>
      <c r="L12" s="7" t="str">
        <f>VLOOKUP(Table533353758[[#This Row],[Structure]],[1]!VolumeType[#All],2,FALSE)</f>
        <v>CTV</v>
      </c>
      <c r="M12" s="6" t="str">
        <f>VLOOKUP(Table533353758[[#This Row],[Structure]],[1]!VolumeType[#All],3,FALSE)</f>
        <v>Nodes</v>
      </c>
      <c r="N12" s="5" t="str">
        <f>VLOOKUP(Table533353758[[#This Row],[Structure]],[1]!Colors[#All],3,FALSE)</f>
        <v>z Node Splenic</v>
      </c>
      <c r="O12" s="3" t="str">
        <f>IFERROR(VLOOKUP(Table533353758[[#This Row],[Structure]],[1]!DVH_lines[#Data],2,FALSE),"")</f>
        <v/>
      </c>
      <c r="P12" s="4" t="str">
        <f>IFERROR(VLOOKUP(Table533353758[[#This Row],[Structure]],[1]!DVH_lines[#Data],3,FALSE),"")</f>
        <v/>
      </c>
      <c r="Q12" s="2" t="str">
        <f>IFERROR(VLOOKUP(Table533353758[[#This Row],[Structure]],[1]!DVH_lines[#Data],4,FALSE),"")</f>
        <v/>
      </c>
      <c r="R12" s="3" t="str">
        <f>IFERROR(VLOOKUP(Table533353758[[#This Row],[Structure]],[1]!SearchCT[#Data],2,FALSE),"")</f>
        <v/>
      </c>
      <c r="S12" s="2" t="str">
        <f>IFERROR(VLOOKUP(Table533353758[[#This Row],[Structure]],[1]!SearchCT[#Data],3,FALSE),"")</f>
        <v/>
      </c>
    </row>
    <row r="13" spans="1:19" x14ac:dyDescent="0.25">
      <c r="A13" s="1" t="s">
        <v>14</v>
      </c>
      <c r="B13" s="27" t="s">
        <v>13</v>
      </c>
    </row>
    <row r="14" spans="1:19" x14ac:dyDescent="0.25">
      <c r="A14" s="26"/>
      <c r="B14" s="26"/>
    </row>
  </sheetData>
  <mergeCells count="6">
    <mergeCell ref="R1:S1"/>
    <mergeCell ref="A1:B1"/>
    <mergeCell ref="D1:F1"/>
    <mergeCell ref="H1:K1"/>
    <mergeCell ref="L1:M1"/>
    <mergeCell ref="O1:Q1"/>
  </mergeCells>
  <pageMargins left="0.7" right="0.7" top="0.75" bottom="0.75" header="0.3" footer="0.3"/>
  <pageSetup scale="36" orientation="landscape" horizontalDpi="300" verticalDpi="300" r:id="rId1"/>
  <tableParts count="2">
    <tablePart r:id="rId2"/>
    <tablePart r:id="rId3"/>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0"/>
  <sheetViews>
    <sheetView workbookViewId="0">
      <selection activeCell="D3" sqref="D3:J5"/>
    </sheetView>
  </sheetViews>
  <sheetFormatPr defaultRowHeight="15" x14ac:dyDescent="0.25"/>
  <cols>
    <col min="1" max="1" width="14.5703125" style="1" bestFit="1" customWidth="1"/>
    <col min="2" max="2" width="33.42578125" style="1" bestFit="1" customWidth="1"/>
    <col min="3" max="3" width="5.42578125" style="1" customWidth="1"/>
    <col min="4" max="5" width="15.7109375" style="1" bestFit="1" customWidth="1"/>
    <col min="6" max="6" width="32.140625" style="1" bestFit="1" customWidth="1"/>
    <col min="7" max="7" width="5.85546875" style="1" bestFit="1" customWidth="1"/>
    <col min="8" max="8" width="21.710937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6.5703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288</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288</v>
      </c>
      <c r="C3" s="31"/>
      <c r="D3" t="s">
        <v>209</v>
      </c>
      <c r="E3" t="s">
        <v>209</v>
      </c>
      <c r="F3" t="s">
        <v>208</v>
      </c>
      <c r="H3" s="20" t="str">
        <f>VLOOKUP(Table53335375629[[#This Row],[Structure]],[1]!Dictionary[#All],3,FALSE)</f>
        <v>Urinary bladder</v>
      </c>
      <c r="I3" s="19">
        <f>VLOOKUP(Table53335375629[[#This Row],[Structure]],[1]!Dictionary[#All],4,FALSE)</f>
        <v>15900</v>
      </c>
      <c r="J3" s="19" t="str">
        <f>VLOOKUP(Table53335375629[[#This Row],[Structure]],[1]!Dictionary[#All],5,FALSE)</f>
        <v>FMA</v>
      </c>
      <c r="K3" s="18" t="str">
        <f>VLOOKUP(Table53335375629[[#This Row],[Structure]],[1]!Dictionary[#All],6,FALSE)</f>
        <v>3.2</v>
      </c>
      <c r="L3" s="17" t="str">
        <f>VLOOKUP(Table53335375629[[#This Row],[Structure]],[1]!VolumeType[#All],2,FALSE)</f>
        <v>Organ</v>
      </c>
      <c r="M3" s="16" t="str">
        <f>VLOOKUP(Table53335375629[[#This Row],[Structure]],[1]!VolumeType[#All],3,FALSE)</f>
        <v>Organ</v>
      </c>
      <c r="N3" s="15" t="str">
        <f>VLOOKUP(Table53335375629[[#This Row],[Structure]],[1]!Colors[#All],3,FALSE)</f>
        <v>z Bladder</v>
      </c>
      <c r="O3" s="13" t="str">
        <f>IFERROR(VLOOKUP(Table53335375629[[#This Row],[Structure]],[1]!DVH_lines[#Data],2,FALSE),"")</f>
        <v/>
      </c>
      <c r="P3" s="14" t="str">
        <f>IFERROR(VLOOKUP(Table53335375629[[#This Row],[Structure]],[1]!DVH_lines[#Data],3,FALSE),"")</f>
        <v/>
      </c>
      <c r="Q3" s="12" t="str">
        <f>IFERROR(VLOOKUP(Table53335375629[[#This Row],[Structure]],[1]!DVH_lines[#Data],4,FALSE),"")</f>
        <v/>
      </c>
      <c r="R3" s="13">
        <f>IFERROR(VLOOKUP(Table53335375629[[#This Row],[Structure]],[1]!SearchCT[#Data],2,FALSE),"")</f>
        <v>20</v>
      </c>
      <c r="S3" s="12">
        <f>IFERROR(VLOOKUP(Table53335375629[[#This Row],[Structure]],[1]!SearchCT[#Data],3,FALSE),"")</f>
        <v>80</v>
      </c>
    </row>
    <row r="4" spans="1:19" x14ac:dyDescent="0.25">
      <c r="A4" s="1" t="s">
        <v>40</v>
      </c>
      <c r="B4" s="1" t="s">
        <v>39</v>
      </c>
      <c r="C4" s="31"/>
      <c r="D4" t="s">
        <v>188</v>
      </c>
      <c r="E4" t="s">
        <v>188</v>
      </c>
      <c r="F4" t="s">
        <v>187</v>
      </c>
      <c r="H4" s="20" t="str">
        <f>VLOOKUP(Table53335375629[[#This Row],[Structure]],[1]!Dictionary[#All],3,FALSE)</f>
        <v>Wall of urinary bladder</v>
      </c>
      <c r="I4" s="19">
        <f>VLOOKUP(Table53335375629[[#This Row],[Structure]],[1]!Dictionary[#All],4,FALSE)</f>
        <v>15902</v>
      </c>
      <c r="J4" s="19" t="str">
        <f>VLOOKUP(Table53335375629[[#This Row],[Structure]],[1]!Dictionary[#All],5,FALSE)</f>
        <v>FMA</v>
      </c>
      <c r="K4" s="18" t="str">
        <f>VLOOKUP(Table53335375629[[#This Row],[Structure]],[1]!Dictionary[#All],6,FALSE)</f>
        <v>3.2</v>
      </c>
      <c r="L4" s="17" t="str">
        <f>VLOOKUP(Table53335375629[[#This Row],[Structure]],[1]!VolumeType[#All],2,FALSE)</f>
        <v>Organ</v>
      </c>
      <c r="M4" s="16" t="str">
        <f>VLOOKUP(Table53335375629[[#This Row],[Structure]],[1]!VolumeType[#All],3,FALSE)</f>
        <v>Organ</v>
      </c>
      <c r="N4" s="15" t="str">
        <f>VLOOKUP(Table53335375629[[#This Row],[Structure]],[1]!Colors[#All],3,FALSE)</f>
        <v>z Bladder wall</v>
      </c>
      <c r="O4" s="13" t="str">
        <f>IFERROR(VLOOKUP(Table53335375629[[#This Row],[Structure]],[1]!DVH_lines[#Data],2,FALSE),"")</f>
        <v/>
      </c>
      <c r="P4" s="14" t="str">
        <f>IFERROR(VLOOKUP(Table53335375629[[#This Row],[Structure]],[1]!DVH_lines[#Data],3,FALSE),"")</f>
        <v/>
      </c>
      <c r="Q4" s="12" t="str">
        <f>IFERROR(VLOOKUP(Table53335375629[[#This Row],[Structure]],[1]!DVH_lines[#Data],4,FALSE),"")</f>
        <v/>
      </c>
      <c r="R4" s="13" t="str">
        <f>IFERROR(VLOOKUP(Table53335375629[[#This Row],[Structure]],[1]!SearchCT[#Data],2,FALSE),"")</f>
        <v/>
      </c>
      <c r="S4" s="12" t="str">
        <f>IFERROR(VLOOKUP(Table53335375629[[#This Row],[Structure]],[1]!SearchCT[#Data],3,FALSE),"")</f>
        <v/>
      </c>
    </row>
    <row r="5" spans="1:19" ht="15.75" thickBot="1" x14ac:dyDescent="0.3">
      <c r="A5" s="1" t="s">
        <v>37</v>
      </c>
      <c r="B5" s="1" t="s">
        <v>289</v>
      </c>
      <c r="C5" s="31"/>
      <c r="D5" t="s">
        <v>212</v>
      </c>
      <c r="E5" t="s">
        <v>212</v>
      </c>
      <c r="F5" t="s">
        <v>212</v>
      </c>
      <c r="H5" s="10" t="str">
        <f>VLOOKUP(Table53335375629[[#This Row],[Structure]],[1]!Dictionary[#All],3,FALSE)</f>
        <v>Urethra</v>
      </c>
      <c r="I5" s="9">
        <f>VLOOKUP(Table53335375629[[#This Row],[Structure]],[1]!Dictionary[#All],4,FALSE)</f>
        <v>19667</v>
      </c>
      <c r="J5" s="9" t="str">
        <f>VLOOKUP(Table53335375629[[#This Row],[Structure]],[1]!Dictionary[#All],5,FALSE)</f>
        <v>FMA</v>
      </c>
      <c r="K5" s="8" t="str">
        <f>VLOOKUP(Table53335375629[[#This Row],[Structure]],[1]!Dictionary[#All],6,FALSE)</f>
        <v>3.2</v>
      </c>
      <c r="L5" s="7" t="str">
        <f>VLOOKUP(Table53335375629[[#This Row],[Structure]],[1]!VolumeType[#All],2,FALSE)</f>
        <v>Organ</v>
      </c>
      <c r="M5" s="6" t="str">
        <f>VLOOKUP(Table53335375629[[#This Row],[Structure]],[1]!VolumeType[#All],3,FALSE)</f>
        <v>Organ</v>
      </c>
      <c r="N5" s="5" t="str">
        <f>VLOOKUP(Table53335375629[[#This Row],[Structure]],[1]!Colors[#All],3,FALSE)</f>
        <v>z Urethra</v>
      </c>
      <c r="O5" s="3" t="str">
        <f>IFERROR(VLOOKUP(Table53335375629[[#This Row],[Structure]],[1]!DVH_lines[#Data],2,FALSE),"")</f>
        <v/>
      </c>
      <c r="P5" s="4" t="str">
        <f>IFERROR(VLOOKUP(Table53335375629[[#This Row],[Structure]],[1]!DVH_lines[#Data],3,FALSE),"")</f>
        <v/>
      </c>
      <c r="Q5" s="2" t="str">
        <f>IFERROR(VLOOKUP(Table53335375629[[#This Row],[Structure]],[1]!DVH_lines[#Data],4,FALSE),"")</f>
        <v/>
      </c>
      <c r="R5" s="3" t="str">
        <f>IFERROR(VLOOKUP(Table53335375629[[#This Row],[Structure]],[1]!SearchCT[#Data],2,FALSE),"")</f>
        <v/>
      </c>
      <c r="S5" s="2" t="str">
        <f>IFERROR(VLOOKUP(Table53335375629[[#This Row],[Structure]],[1]!SearchCT[#Data],3,FALSE),"")</f>
        <v/>
      </c>
    </row>
    <row r="6" spans="1:19" x14ac:dyDescent="0.25">
      <c r="A6" s="1" t="s">
        <v>35</v>
      </c>
      <c r="B6" s="1">
        <v>3</v>
      </c>
      <c r="C6"/>
      <c r="D6"/>
    </row>
    <row r="7" spans="1:19" x14ac:dyDescent="0.25">
      <c r="A7" s="1" t="s">
        <v>33</v>
      </c>
      <c r="C7"/>
      <c r="D7"/>
    </row>
    <row r="8" spans="1:19" x14ac:dyDescent="0.25">
      <c r="A8" s="1" t="s">
        <v>30</v>
      </c>
      <c r="C8"/>
      <c r="D8"/>
    </row>
    <row r="9" spans="1:19" x14ac:dyDescent="0.25">
      <c r="A9" s="1" t="s">
        <v>27</v>
      </c>
      <c r="B9" s="1" t="s">
        <v>26</v>
      </c>
      <c r="C9"/>
      <c r="D9"/>
      <c r="F9"/>
    </row>
    <row r="10" spans="1:19" x14ac:dyDescent="0.25">
      <c r="A10" s="1" t="s">
        <v>23</v>
      </c>
      <c r="B10" s="1" t="s">
        <v>22</v>
      </c>
      <c r="C10"/>
      <c r="D10"/>
      <c r="F10"/>
    </row>
    <row r="11" spans="1:19" x14ac:dyDescent="0.25">
      <c r="A11" s="1" t="s">
        <v>19</v>
      </c>
      <c r="B11" s="1" t="s">
        <v>290</v>
      </c>
      <c r="E11"/>
      <c r="F11"/>
    </row>
    <row r="12" spans="1:19" x14ac:dyDescent="0.25">
      <c r="A12" s="1" t="s">
        <v>17</v>
      </c>
      <c r="B12" s="1" t="s">
        <v>16</v>
      </c>
      <c r="E12"/>
      <c r="F12"/>
    </row>
    <row r="13" spans="1:19" x14ac:dyDescent="0.25">
      <c r="A13" s="1" t="s">
        <v>14</v>
      </c>
      <c r="B13" s="1" t="s">
        <v>13</v>
      </c>
      <c r="E13"/>
      <c r="F13"/>
    </row>
    <row r="14" spans="1:19" x14ac:dyDescent="0.25">
      <c r="A14" s="26"/>
      <c r="B14" s="26"/>
      <c r="E14"/>
    </row>
    <row r="15" spans="1:19" x14ac:dyDescent="0.25">
      <c r="E15"/>
    </row>
    <row r="16" spans="1:19" x14ac:dyDescent="0.25">
      <c r="E16"/>
    </row>
    <row r="17" spans="4:8" x14ac:dyDescent="0.25">
      <c r="E17"/>
      <c r="F17"/>
    </row>
    <row r="18" spans="4:8" x14ac:dyDescent="0.25">
      <c r="F18"/>
    </row>
    <row r="19" spans="4:8" x14ac:dyDescent="0.25">
      <c r="F19"/>
    </row>
    <row r="20" spans="4:8" x14ac:dyDescent="0.25">
      <c r="F20"/>
    </row>
    <row r="21" spans="4:8" x14ac:dyDescent="0.25">
      <c r="F21"/>
    </row>
    <row r="22" spans="4:8" x14ac:dyDescent="0.25">
      <c r="F22"/>
    </row>
    <row r="23" spans="4:8" x14ac:dyDescent="0.25">
      <c r="F23"/>
    </row>
    <row r="24" spans="4:8" x14ac:dyDescent="0.25">
      <c r="F24"/>
    </row>
    <row r="25" spans="4:8" x14ac:dyDescent="0.25">
      <c r="F25"/>
    </row>
    <row r="26" spans="4:8" x14ac:dyDescent="0.25">
      <c r="F26"/>
    </row>
    <row r="27" spans="4:8" x14ac:dyDescent="0.25">
      <c r="D27"/>
      <c r="F27"/>
    </row>
    <row r="28" spans="4:8" x14ac:dyDescent="0.25">
      <c r="D28"/>
      <c r="F28"/>
    </row>
    <row r="29" spans="4:8" x14ac:dyDescent="0.25">
      <c r="D29"/>
      <c r="F29"/>
    </row>
    <row r="30" spans="4:8" x14ac:dyDescent="0.25">
      <c r="F30"/>
      <c r="H30"/>
    </row>
    <row r="31" spans="4:8" x14ac:dyDescent="0.25">
      <c r="F31"/>
      <c r="H31"/>
    </row>
    <row r="32" spans="4:8" x14ac:dyDescent="0.25">
      <c r="F32"/>
      <c r="H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6"/>
  <sheetViews>
    <sheetView workbookViewId="0">
      <selection activeCell="H26" sqref="H26"/>
    </sheetView>
  </sheetViews>
  <sheetFormatPr defaultRowHeight="15" x14ac:dyDescent="0.25"/>
  <cols>
    <col min="1" max="1" width="14.5703125" style="1" bestFit="1" customWidth="1"/>
    <col min="2" max="2" width="33.42578125" style="1" bestFit="1" customWidth="1"/>
    <col min="3" max="3" width="5.42578125" style="1" customWidth="1"/>
    <col min="4" max="5" width="15.7109375" style="1" bestFit="1" customWidth="1"/>
    <col min="6" max="6" width="32.140625" style="1" bestFit="1" customWidth="1"/>
    <col min="7" max="7" width="5.85546875" style="1" bestFit="1" customWidth="1"/>
    <col min="8" max="8" width="21.710937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6.5703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210</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210</v>
      </c>
      <c r="C3" s="31"/>
      <c r="D3" t="s">
        <v>197</v>
      </c>
      <c r="E3" t="s">
        <v>197</v>
      </c>
      <c r="F3" t="s">
        <v>197</v>
      </c>
      <c r="H3" s="20" t="str">
        <f>VLOOKUP(Table533353756[[#This Row],[Structure]],[1]!Dictionary[#All],3,FALSE)</f>
        <v>Right ilium</v>
      </c>
      <c r="I3" s="19">
        <f>VLOOKUP(Table533353756[[#This Row],[Structure]],[1]!Dictionary[#All],4,FALSE)</f>
        <v>16590</v>
      </c>
      <c r="J3" s="19" t="str">
        <f>VLOOKUP(Table533353756[[#This Row],[Structure]],[1]!Dictionary[#All],5,FALSE)</f>
        <v>FMA</v>
      </c>
      <c r="K3" s="18" t="str">
        <f>VLOOKUP(Table533353756[[#This Row],[Structure]],[1]!Dictionary[#All],6,FALSE)</f>
        <v>3.2</v>
      </c>
      <c r="L3" s="17" t="str">
        <f>VLOOKUP(Table533353756[[#This Row],[Structure]],[1]!VolumeType[#All],2,FALSE)</f>
        <v>Organ</v>
      </c>
      <c r="M3" s="16" t="str">
        <f>VLOOKUP(Table533353756[[#This Row],[Structure]],[1]!VolumeType[#All],3,FALSE)</f>
        <v>Organ</v>
      </c>
      <c r="N3" s="15" t="str">
        <f>VLOOKUP(Table533353756[[#This Row],[Structure]],[1]!Colors[#All],3,FALSE)</f>
        <v>z iliac crest L</v>
      </c>
      <c r="O3" s="13" t="str">
        <f>IFERROR(VLOOKUP(Table533353756[[#This Row],[Structure]],[1]!DVH_lines[#Data],2,FALSE),"")</f>
        <v/>
      </c>
      <c r="P3" s="14" t="str">
        <f>IFERROR(VLOOKUP(Table533353756[[#This Row],[Structure]],[1]!DVH_lines[#Data],3,FALSE),"")</f>
        <v/>
      </c>
      <c r="Q3" s="12" t="str">
        <f>IFERROR(VLOOKUP(Table533353756[[#This Row],[Structure]],[1]!DVH_lines[#Data],4,FALSE),"")</f>
        <v/>
      </c>
      <c r="R3" s="13">
        <f>IFERROR(VLOOKUP(Table533353756[[#This Row],[Structure]],[1]!SearchCT[#Data],2,FALSE),"")</f>
        <v>200</v>
      </c>
      <c r="S3" s="12">
        <f>IFERROR(VLOOKUP(Table533353756[[#This Row],[Structure]],[1]!SearchCT[#Data],3,FALSE),"")</f>
        <v>2500</v>
      </c>
    </row>
    <row r="4" spans="1:19" x14ac:dyDescent="0.25">
      <c r="A4" s="1" t="s">
        <v>40</v>
      </c>
      <c r="B4" s="1" t="s">
        <v>39</v>
      </c>
      <c r="C4" s="31"/>
      <c r="D4" t="s">
        <v>196</v>
      </c>
      <c r="E4" t="s">
        <v>196</v>
      </c>
      <c r="F4" t="s">
        <v>196</v>
      </c>
      <c r="H4" s="20" t="str">
        <f>VLOOKUP(Table533353756[[#This Row],[Structure]],[1]!Dictionary[#All],3,FALSE)</f>
        <v>Left ilium</v>
      </c>
      <c r="I4" s="19">
        <f>VLOOKUP(Table533353756[[#This Row],[Structure]],[1]!Dictionary[#All],4,FALSE)</f>
        <v>16591</v>
      </c>
      <c r="J4" s="19" t="str">
        <f>VLOOKUP(Table533353756[[#This Row],[Structure]],[1]!Dictionary[#All],5,FALSE)</f>
        <v>FMA</v>
      </c>
      <c r="K4" s="18" t="str">
        <f>VLOOKUP(Table533353756[[#This Row],[Structure]],[1]!Dictionary[#All],6,FALSE)</f>
        <v>3.2</v>
      </c>
      <c r="L4" s="17" t="str">
        <f>VLOOKUP(Table533353756[[#This Row],[Structure]],[1]!VolumeType[#All],2,FALSE)</f>
        <v>Organ</v>
      </c>
      <c r="M4" s="16" t="str">
        <f>VLOOKUP(Table533353756[[#This Row],[Structure]],[1]!VolumeType[#All],3,FALSE)</f>
        <v>Organ</v>
      </c>
      <c r="N4" s="15" t="str">
        <f>VLOOKUP(Table533353756[[#This Row],[Structure]],[1]!Colors[#All],3,FALSE)</f>
        <v>z iliac crest R</v>
      </c>
      <c r="O4" s="13" t="str">
        <f>IFERROR(VLOOKUP(Table533353756[[#This Row],[Structure]],[1]!DVH_lines[#Data],2,FALSE),"")</f>
        <v/>
      </c>
      <c r="P4" s="14" t="str">
        <f>IFERROR(VLOOKUP(Table533353756[[#This Row],[Structure]],[1]!DVH_lines[#Data],3,FALSE),"")</f>
        <v/>
      </c>
      <c r="Q4" s="12" t="str">
        <f>IFERROR(VLOOKUP(Table533353756[[#This Row],[Structure]],[1]!DVH_lines[#Data],4,FALSE),"")</f>
        <v/>
      </c>
      <c r="R4" s="13">
        <f>IFERROR(VLOOKUP(Table533353756[[#This Row],[Structure]],[1]!SearchCT[#Data],2,FALSE),"")</f>
        <v>200</v>
      </c>
      <c r="S4" s="12">
        <f>IFERROR(VLOOKUP(Table533353756[[#This Row],[Structure]],[1]!SearchCT[#Data],3,FALSE),"")</f>
        <v>2500</v>
      </c>
    </row>
    <row r="5" spans="1:19" x14ac:dyDescent="0.25">
      <c r="A5" s="1" t="s">
        <v>37</v>
      </c>
      <c r="B5" s="1" t="s">
        <v>291</v>
      </c>
      <c r="C5" s="31"/>
      <c r="D5" t="s">
        <v>193</v>
      </c>
      <c r="E5" t="s">
        <v>193</v>
      </c>
      <c r="F5" t="s">
        <v>192</v>
      </c>
      <c r="H5" s="20" t="str">
        <f>VLOOKUP(Table533353756[[#This Row],[Structure]],[1]!Dictionary[#All],3,FALSE)</f>
        <v>Left hip</v>
      </c>
      <c r="I5" s="19">
        <f>VLOOKUP(Table533353756[[#This Row],[Structure]],[1]!Dictionary[#All],4,FALSE)</f>
        <v>24966</v>
      </c>
      <c r="J5" s="19" t="str">
        <f>VLOOKUP(Table533353756[[#This Row],[Structure]],[1]!Dictionary[#All],5,FALSE)</f>
        <v>FMA</v>
      </c>
      <c r="K5" s="18" t="str">
        <f>VLOOKUP(Table533353756[[#This Row],[Structure]],[1]!Dictionary[#All],6,FALSE)</f>
        <v>3.2</v>
      </c>
      <c r="L5" s="17" t="str">
        <f>VLOOKUP(Table533353756[[#This Row],[Structure]],[1]!VolumeType[#All],2,FALSE)</f>
        <v>Organ</v>
      </c>
      <c r="M5" s="16" t="str">
        <f>VLOOKUP(Table533353756[[#This Row],[Structure]],[1]!VolumeType[#All],3,FALSE)</f>
        <v>Organ</v>
      </c>
      <c r="N5" s="15" t="str">
        <f>VLOOKUP(Table533353756[[#This Row],[Structure]],[1]!Colors[#All],3,FALSE)</f>
        <v>z Hip L</v>
      </c>
      <c r="O5" s="13" t="str">
        <f>IFERROR(VLOOKUP(Table533353756[[#This Row],[Structure]],[1]!DVH_lines[#Data],2,FALSE),"")</f>
        <v/>
      </c>
      <c r="P5" s="14" t="str">
        <f>IFERROR(VLOOKUP(Table533353756[[#This Row],[Structure]],[1]!DVH_lines[#Data],3,FALSE),"")</f>
        <v/>
      </c>
      <c r="Q5" s="12" t="str">
        <f>IFERROR(VLOOKUP(Table533353756[[#This Row],[Structure]],[1]!DVH_lines[#Data],4,FALSE),"")</f>
        <v/>
      </c>
      <c r="R5" s="13" t="str">
        <f>IFERROR(VLOOKUP(Table533353756[[#This Row],[Structure]],[1]!SearchCT[#Data],2,FALSE),"")</f>
        <v/>
      </c>
      <c r="S5" s="12" t="str">
        <f>IFERROR(VLOOKUP(Table533353756[[#This Row],[Structure]],[1]!SearchCT[#Data],3,FALSE),"")</f>
        <v/>
      </c>
    </row>
    <row r="6" spans="1:19" x14ac:dyDescent="0.25">
      <c r="A6" s="1" t="s">
        <v>35</v>
      </c>
      <c r="B6" s="1">
        <v>3</v>
      </c>
      <c r="C6" s="31"/>
      <c r="D6" t="s">
        <v>191</v>
      </c>
      <c r="E6" t="s">
        <v>191</v>
      </c>
      <c r="F6" t="s">
        <v>190</v>
      </c>
      <c r="H6" s="20" t="str">
        <f>VLOOKUP(Table533353756[[#This Row],[Structure]],[1]!Dictionary[#All],3,FALSE)</f>
        <v>Right hip</v>
      </c>
      <c r="I6" s="19">
        <f>VLOOKUP(Table533353756[[#This Row],[Structure]],[1]!Dictionary[#All],4,FALSE)</f>
        <v>24965</v>
      </c>
      <c r="J6" s="19" t="str">
        <f>VLOOKUP(Table533353756[[#This Row],[Structure]],[1]!Dictionary[#All],5,FALSE)</f>
        <v>FMA</v>
      </c>
      <c r="K6" s="18" t="str">
        <f>VLOOKUP(Table533353756[[#This Row],[Structure]],[1]!Dictionary[#All],6,FALSE)</f>
        <v>3.2</v>
      </c>
      <c r="L6" s="17" t="str">
        <f>VLOOKUP(Table533353756[[#This Row],[Structure]],[1]!VolumeType[#All],2,FALSE)</f>
        <v>Organ</v>
      </c>
      <c r="M6" s="16" t="str">
        <f>VLOOKUP(Table533353756[[#This Row],[Structure]],[1]!VolumeType[#All],3,FALSE)</f>
        <v>Organ</v>
      </c>
      <c r="N6" s="15" t="str">
        <f>VLOOKUP(Table533353756[[#This Row],[Structure]],[1]!Colors[#All],3,FALSE)</f>
        <v>z Hip R</v>
      </c>
      <c r="O6" s="13" t="str">
        <f>IFERROR(VLOOKUP(Table533353756[[#This Row],[Structure]],[1]!DVH_lines[#Data],2,FALSE),"")</f>
        <v/>
      </c>
      <c r="P6" s="14" t="str">
        <f>IFERROR(VLOOKUP(Table533353756[[#This Row],[Structure]],[1]!DVH_lines[#Data],3,FALSE),"")</f>
        <v/>
      </c>
      <c r="Q6" s="12" t="str">
        <f>IFERROR(VLOOKUP(Table533353756[[#This Row],[Structure]],[1]!DVH_lines[#Data],4,FALSE),"")</f>
        <v/>
      </c>
      <c r="R6" s="13" t="str">
        <f>IFERROR(VLOOKUP(Table533353756[[#This Row],[Structure]],[1]!SearchCT[#Data],2,FALSE),"")</f>
        <v/>
      </c>
      <c r="S6" s="12" t="str">
        <f>IFERROR(VLOOKUP(Table533353756[[#This Row],[Structure]],[1]!SearchCT[#Data],3,FALSE),"")</f>
        <v/>
      </c>
    </row>
    <row r="7" spans="1:19" x14ac:dyDescent="0.25">
      <c r="A7" s="1" t="s">
        <v>33</v>
      </c>
      <c r="D7" t="s">
        <v>200</v>
      </c>
      <c r="E7" t="s">
        <v>200</v>
      </c>
      <c r="F7" t="s">
        <v>200</v>
      </c>
      <c r="H7" s="20" t="str">
        <f>VLOOKUP(Table533353756[[#This Row],[Structure]],[1]!Dictionary[#All],3,FALSE)</f>
        <v>Pubic symphysis</v>
      </c>
      <c r="I7" s="19">
        <f>VLOOKUP(Table533353756[[#This Row],[Structure]],[1]!Dictionary[#All],4,FALSE)</f>
        <v>16950</v>
      </c>
      <c r="J7" s="19" t="str">
        <f>VLOOKUP(Table533353756[[#This Row],[Structure]],[1]!Dictionary[#All],5,FALSE)</f>
        <v>FMA</v>
      </c>
      <c r="K7" s="18" t="str">
        <f>VLOOKUP(Table533353756[[#This Row],[Structure]],[1]!Dictionary[#All],6,FALSE)</f>
        <v>3.2</v>
      </c>
      <c r="L7" s="17" t="str">
        <f>VLOOKUP(Table533353756[[#This Row],[Structure]],[1]!VolumeType[#All],2,FALSE)</f>
        <v>Organ</v>
      </c>
      <c r="M7" s="16" t="str">
        <f>VLOOKUP(Table533353756[[#This Row],[Structure]],[1]!VolumeType[#All],3,FALSE)</f>
        <v>Organ</v>
      </c>
      <c r="N7" s="15" t="str">
        <f>VLOOKUP(Table533353756[[#This Row],[Structure]],[1]!Colors[#All],3,FALSE)</f>
        <v>zPubic Symphysis</v>
      </c>
      <c r="O7" s="13" t="str">
        <f>IFERROR(VLOOKUP(Table533353756[[#This Row],[Structure]],[1]!DVH_lines[#Data],2,FALSE),"")</f>
        <v/>
      </c>
      <c r="P7" s="14" t="str">
        <f>IFERROR(VLOOKUP(Table533353756[[#This Row],[Structure]],[1]!DVH_lines[#Data],3,FALSE),"")</f>
        <v/>
      </c>
      <c r="Q7" s="12" t="str">
        <f>IFERROR(VLOOKUP(Table533353756[[#This Row],[Structure]],[1]!DVH_lines[#Data],4,FALSE),"")</f>
        <v/>
      </c>
      <c r="R7" s="13" t="str">
        <f>IFERROR(VLOOKUP(Table533353756[[#This Row],[Structure]],[1]!SearchCT[#Data],2,FALSE),"")</f>
        <v/>
      </c>
      <c r="S7" s="12" t="str">
        <f>IFERROR(VLOOKUP(Table533353756[[#This Row],[Structure]],[1]!SearchCT[#Data],3,FALSE),"")</f>
        <v/>
      </c>
    </row>
    <row r="8" spans="1:19" x14ac:dyDescent="0.25">
      <c r="A8" s="1" t="s">
        <v>30</v>
      </c>
      <c r="D8" t="s">
        <v>198</v>
      </c>
      <c r="E8" t="s">
        <v>198</v>
      </c>
      <c r="F8" t="s">
        <v>198</v>
      </c>
      <c r="H8" s="20" t="str">
        <f>VLOOKUP(Table533353756[[#This Row],[Structure]],[1]!Dictionary[#All],3,FALSE)</f>
        <v>Sacrum</v>
      </c>
      <c r="I8" s="19">
        <f>VLOOKUP(Table533353756[[#This Row],[Structure]],[1]!Dictionary[#All],4,FALSE)</f>
        <v>16202</v>
      </c>
      <c r="J8" s="19" t="str">
        <f>VLOOKUP(Table533353756[[#This Row],[Structure]],[1]!Dictionary[#All],5,FALSE)</f>
        <v>FMA</v>
      </c>
      <c r="K8" s="18" t="str">
        <f>VLOOKUP(Table533353756[[#This Row],[Structure]],[1]!Dictionary[#All],6,FALSE)</f>
        <v>3.2</v>
      </c>
      <c r="L8" s="17" t="str">
        <f>VLOOKUP(Table533353756[[#This Row],[Structure]],[1]!VolumeType[#All],2,FALSE)</f>
        <v>Organ</v>
      </c>
      <c r="M8" s="16" t="str">
        <f>VLOOKUP(Table533353756[[#This Row],[Structure]],[1]!VolumeType[#All],3,FALSE)</f>
        <v>Organ</v>
      </c>
      <c r="N8" s="15" t="str">
        <f>VLOOKUP(Table533353756[[#This Row],[Structure]],[1]!Colors[#All],3,FALSE)</f>
        <v>z Sacrum</v>
      </c>
      <c r="O8" s="13" t="str">
        <f>IFERROR(VLOOKUP(Table533353756[[#This Row],[Structure]],[1]!DVH_lines[#Data],2,FALSE),"")</f>
        <v/>
      </c>
      <c r="P8" s="14" t="str">
        <f>IFERROR(VLOOKUP(Table533353756[[#This Row],[Structure]],[1]!DVH_lines[#Data],3,FALSE),"")</f>
        <v/>
      </c>
      <c r="Q8" s="12" t="str">
        <f>IFERROR(VLOOKUP(Table533353756[[#This Row],[Structure]],[1]!DVH_lines[#Data],4,FALSE),"")</f>
        <v/>
      </c>
      <c r="R8" s="13" t="str">
        <f>IFERROR(VLOOKUP(Table533353756[[#This Row],[Structure]],[1]!SearchCT[#Data],2,FALSE),"")</f>
        <v/>
      </c>
      <c r="S8" s="12" t="str">
        <f>IFERROR(VLOOKUP(Table533353756[[#This Row],[Structure]],[1]!SearchCT[#Data],3,FALSE),"")</f>
        <v/>
      </c>
    </row>
    <row r="9" spans="1:19" x14ac:dyDescent="0.25">
      <c r="A9" s="1" t="s">
        <v>27</v>
      </c>
      <c r="B9" s="1" t="s">
        <v>26</v>
      </c>
      <c r="D9" t="s">
        <v>206</v>
      </c>
      <c r="E9" t="s">
        <v>206</v>
      </c>
      <c r="F9" t="s">
        <v>205</v>
      </c>
      <c r="H9" s="20" t="str">
        <f>VLOOKUP(Table533353756[[#This Row],[Structure]],[1]!Dictionary[#All],3,FALSE)</f>
        <v>Head of right femur</v>
      </c>
      <c r="I9" s="19">
        <f>VLOOKUP(Table533353756[[#This Row],[Structure]],[1]!Dictionary[#All],4,FALSE)</f>
        <v>55011</v>
      </c>
      <c r="J9" s="19" t="str">
        <f>VLOOKUP(Table533353756[[#This Row],[Structure]],[1]!Dictionary[#All],5,FALSE)</f>
        <v>FMA</v>
      </c>
      <c r="K9" s="18" t="str">
        <f>VLOOKUP(Table533353756[[#This Row],[Structure]],[1]!Dictionary[#All],6,FALSE)</f>
        <v>3.2</v>
      </c>
      <c r="L9" s="17" t="str">
        <f>VLOOKUP(Table533353756[[#This Row],[Structure]],[1]!VolumeType[#All],2,FALSE)</f>
        <v>Organ</v>
      </c>
      <c r="M9" s="16" t="str">
        <f>VLOOKUP(Table533353756[[#This Row],[Structure]],[1]!VolumeType[#All],3,FALSE)</f>
        <v>Organ</v>
      </c>
      <c r="N9" s="15" t="str">
        <f>VLOOKUP(Table533353756[[#This Row],[Structure]],[1]!Colors[#All],3,FALSE)</f>
        <v>z Femoral Head R</v>
      </c>
      <c r="O9" s="13" t="str">
        <f>IFERROR(VLOOKUP(Table533353756[[#This Row],[Structure]],[1]!DVH_lines[#Data],2,FALSE),"")</f>
        <v/>
      </c>
      <c r="P9" s="14" t="str">
        <f>IFERROR(VLOOKUP(Table533353756[[#This Row],[Structure]],[1]!DVH_lines[#Data],3,FALSE),"")</f>
        <v/>
      </c>
      <c r="Q9" s="12" t="str">
        <f>IFERROR(VLOOKUP(Table533353756[[#This Row],[Structure]],[1]!DVH_lines[#Data],4,FALSE),"")</f>
        <v/>
      </c>
      <c r="R9" s="13" t="str">
        <f>IFERROR(VLOOKUP(Table533353756[[#This Row],[Structure]],[1]!SearchCT[#Data],2,FALSE),"")</f>
        <v/>
      </c>
      <c r="S9" s="12" t="str">
        <f>IFERROR(VLOOKUP(Table533353756[[#This Row],[Structure]],[1]!SearchCT[#Data],3,FALSE),"")</f>
        <v/>
      </c>
    </row>
    <row r="10" spans="1:19" x14ac:dyDescent="0.25">
      <c r="A10" s="1" t="s">
        <v>23</v>
      </c>
      <c r="B10" s="1" t="s">
        <v>22</v>
      </c>
      <c r="D10" t="s">
        <v>204</v>
      </c>
      <c r="E10" t="s">
        <v>204</v>
      </c>
      <c r="F10" t="s">
        <v>203</v>
      </c>
      <c r="H10" s="20" t="str">
        <f>VLOOKUP(Table533353756[[#This Row],[Structure]],[1]!Dictionary[#All],3,FALSE)</f>
        <v>Head of left femur</v>
      </c>
      <c r="I10" s="19">
        <f>VLOOKUP(Table533353756[[#This Row],[Structure]],[1]!Dictionary[#All],4,FALSE)</f>
        <v>55012</v>
      </c>
      <c r="J10" s="19" t="str">
        <f>VLOOKUP(Table533353756[[#This Row],[Structure]],[1]!Dictionary[#All],5,FALSE)</f>
        <v>FMA</v>
      </c>
      <c r="K10" s="18" t="str">
        <f>VLOOKUP(Table533353756[[#This Row],[Structure]],[1]!Dictionary[#All],6,FALSE)</f>
        <v>3.2</v>
      </c>
      <c r="L10" s="17" t="str">
        <f>VLOOKUP(Table533353756[[#This Row],[Structure]],[1]!VolumeType[#All],2,FALSE)</f>
        <v>Organ</v>
      </c>
      <c r="M10" s="16" t="str">
        <f>VLOOKUP(Table533353756[[#This Row],[Structure]],[1]!VolumeType[#All],3,FALSE)</f>
        <v>Organ</v>
      </c>
      <c r="N10" s="15" t="str">
        <f>VLOOKUP(Table533353756[[#This Row],[Structure]],[1]!Colors[#All],3,FALSE)</f>
        <v>z Femoral Head L</v>
      </c>
      <c r="O10" s="13" t="str">
        <f>IFERROR(VLOOKUP(Table533353756[[#This Row],[Structure]],[1]!DVH_lines[#Data],2,FALSE),"")</f>
        <v/>
      </c>
      <c r="P10" s="14" t="str">
        <f>IFERROR(VLOOKUP(Table533353756[[#This Row],[Structure]],[1]!DVH_lines[#Data],3,FALSE),"")</f>
        <v/>
      </c>
      <c r="Q10" s="12" t="str">
        <f>IFERROR(VLOOKUP(Table533353756[[#This Row],[Structure]],[1]!DVH_lines[#Data],4,FALSE),"")</f>
        <v/>
      </c>
      <c r="R10" s="13" t="str">
        <f>IFERROR(VLOOKUP(Table533353756[[#This Row],[Structure]],[1]!SearchCT[#Data],2,FALSE),"")</f>
        <v/>
      </c>
      <c r="S10" s="12" t="str">
        <f>IFERROR(VLOOKUP(Table533353756[[#This Row],[Structure]],[1]!SearchCT[#Data],3,FALSE),"")</f>
        <v/>
      </c>
    </row>
    <row r="11" spans="1:19" x14ac:dyDescent="0.25">
      <c r="A11" s="1" t="s">
        <v>19</v>
      </c>
      <c r="B11" s="1" t="s">
        <v>199</v>
      </c>
      <c r="D11" t="s">
        <v>194</v>
      </c>
      <c r="E11" t="s">
        <v>194</v>
      </c>
      <c r="F11" t="s">
        <v>194</v>
      </c>
      <c r="H11" s="20" t="str">
        <f>VLOOKUP(Table533353756[[#This Row],[Structure]],[1]!Dictionary[#All],3,FALSE)</f>
        <v>Presacral space</v>
      </c>
      <c r="I11" s="19">
        <f>VLOOKUP(Table533353756[[#This Row],[Structure]],[1]!Dictionary[#All],4,FALSE)</f>
        <v>265331</v>
      </c>
      <c r="J11" s="19" t="str">
        <f>VLOOKUP(Table533353756[[#This Row],[Structure]],[1]!Dictionary[#All],5,FALSE)</f>
        <v>FMA</v>
      </c>
      <c r="K11" s="18" t="str">
        <f>VLOOKUP(Table533353756[[#This Row],[Structure]],[1]!Dictionary[#All],6,FALSE)</f>
        <v>3.2</v>
      </c>
      <c r="L11" s="17" t="str">
        <f>VLOOKUP(Table533353756[[#This Row],[Structure]],[1]!VolumeType[#All],2,FALSE)</f>
        <v>Organ</v>
      </c>
      <c r="M11" s="16" t="str">
        <f>VLOOKUP(Table533353756[[#This Row],[Structure]],[1]!VolumeType[#All],3,FALSE)</f>
        <v>Organ</v>
      </c>
      <c r="N11" s="15" t="str">
        <f>VLOOKUP(Table533353756[[#This Row],[Structure]],[1]!Colors[#All],3,FALSE)</f>
        <v>z PresacralSpace</v>
      </c>
      <c r="O11" s="13" t="str">
        <f>IFERROR(VLOOKUP(Table533353756[[#This Row],[Structure]],[1]!DVH_lines[#Data],2,FALSE),"")</f>
        <v/>
      </c>
      <c r="P11" s="14" t="str">
        <f>IFERROR(VLOOKUP(Table533353756[[#This Row],[Structure]],[1]!DVH_lines[#Data],3,FALSE),"")</f>
        <v/>
      </c>
      <c r="Q11" s="12" t="str">
        <f>IFERROR(VLOOKUP(Table533353756[[#This Row],[Structure]],[1]!DVH_lines[#Data],4,FALSE),"")</f>
        <v/>
      </c>
      <c r="R11" s="13" t="str">
        <f>IFERROR(VLOOKUP(Table533353756[[#This Row],[Structure]],[1]!SearchCT[#Data],2,FALSE),"")</f>
        <v/>
      </c>
      <c r="S11" s="12" t="str">
        <f>IFERROR(VLOOKUP(Table533353756[[#This Row],[Structure]],[1]!SearchCT[#Data],3,FALSE),"")</f>
        <v/>
      </c>
    </row>
    <row r="12" spans="1:19" ht="15.75" thickBot="1" x14ac:dyDescent="0.3">
      <c r="A12" s="1" t="s">
        <v>17</v>
      </c>
      <c r="B12" s="1" t="s">
        <v>16</v>
      </c>
      <c r="D12" t="s">
        <v>189</v>
      </c>
      <c r="E12" t="s">
        <v>189</v>
      </c>
      <c r="F12" t="s">
        <v>189</v>
      </c>
      <c r="H12" s="10" t="str">
        <f>VLOOKUP(Table533353756[[#This Row],[Structure]],[1]!Dictionary[#All],3,FALSE)</f>
        <v>External genitalia</v>
      </c>
      <c r="I12" s="9">
        <f>VLOOKUP(Table533353756[[#This Row],[Structure]],[1]!Dictionary[#All],4,FALSE)</f>
        <v>45643</v>
      </c>
      <c r="J12" s="9" t="str">
        <f>VLOOKUP(Table533353756[[#This Row],[Structure]],[1]!Dictionary[#All],5,FALSE)</f>
        <v>FMA</v>
      </c>
      <c r="K12" s="8" t="str">
        <f>VLOOKUP(Table533353756[[#This Row],[Structure]],[1]!Dictionary[#All],6,FALSE)</f>
        <v>3.2</v>
      </c>
      <c r="L12" s="7" t="str">
        <f>VLOOKUP(Table533353756[[#This Row],[Structure]],[1]!VolumeType[#All],2,FALSE)</f>
        <v>Organ</v>
      </c>
      <c r="M12" s="6" t="str">
        <f>VLOOKUP(Table533353756[[#This Row],[Structure]],[1]!VolumeType[#All],3,FALSE)</f>
        <v>Organ</v>
      </c>
      <c r="N12" s="5" t="str">
        <f>VLOOKUP(Table533353756[[#This Row],[Structure]],[1]!Colors[#All],3,FALSE)</f>
        <v>z Genitalia</v>
      </c>
      <c r="O12" s="3" t="str">
        <f>IFERROR(VLOOKUP(Table533353756[[#This Row],[Structure]],[1]!DVH_lines[#Data],2,FALSE),"")</f>
        <v/>
      </c>
      <c r="P12" s="4" t="str">
        <f>IFERROR(VLOOKUP(Table533353756[[#This Row],[Structure]],[1]!DVH_lines[#Data],3,FALSE),"")</f>
        <v/>
      </c>
      <c r="Q12" s="2" t="str">
        <f>IFERROR(VLOOKUP(Table533353756[[#This Row],[Structure]],[1]!DVH_lines[#Data],4,FALSE),"")</f>
        <v/>
      </c>
      <c r="R12" s="3" t="str">
        <f>IFERROR(VLOOKUP(Table533353756[[#This Row],[Structure]],[1]!SearchCT[#Data],2,FALSE),"")</f>
        <v/>
      </c>
      <c r="S12" s="2" t="str">
        <f>IFERROR(VLOOKUP(Table533353756[[#This Row],[Structure]],[1]!SearchCT[#Data],3,FALSE),"")</f>
        <v/>
      </c>
    </row>
    <row r="13" spans="1:19" x14ac:dyDescent="0.25">
      <c r="A13" s="1" t="s">
        <v>14</v>
      </c>
      <c r="B13" s="1" t="s">
        <v>13</v>
      </c>
    </row>
    <row r="14" spans="1:19" x14ac:dyDescent="0.25">
      <c r="A14" s="26"/>
      <c r="B14" s="26"/>
    </row>
    <row r="15" spans="1:19" x14ac:dyDescent="0.25">
      <c r="F15"/>
    </row>
    <row r="16" spans="1:19" x14ac:dyDescent="0.25">
      <c r="F16"/>
    </row>
    <row r="17" spans="5:8" x14ac:dyDescent="0.25">
      <c r="E17"/>
      <c r="F17"/>
    </row>
    <row r="18" spans="5:8" x14ac:dyDescent="0.25">
      <c r="E18"/>
      <c r="F18"/>
    </row>
    <row r="19" spans="5:8" x14ac:dyDescent="0.25">
      <c r="E19"/>
      <c r="F19"/>
    </row>
    <row r="20" spans="5:8" x14ac:dyDescent="0.25">
      <c r="E20"/>
    </row>
    <row r="21" spans="5:8" x14ac:dyDescent="0.25">
      <c r="E21"/>
    </row>
    <row r="22" spans="5:8" x14ac:dyDescent="0.25">
      <c r="E22"/>
    </row>
    <row r="23" spans="5:8" x14ac:dyDescent="0.25">
      <c r="E23"/>
      <c r="F23"/>
    </row>
    <row r="24" spans="5:8" x14ac:dyDescent="0.25">
      <c r="F24"/>
    </row>
    <row r="25" spans="5:8" x14ac:dyDescent="0.25">
      <c r="F25"/>
    </row>
    <row r="26" spans="5:8" x14ac:dyDescent="0.25">
      <c r="F26"/>
    </row>
    <row r="27" spans="5:8" x14ac:dyDescent="0.25">
      <c r="F27"/>
    </row>
    <row r="28" spans="5:8" x14ac:dyDescent="0.25">
      <c r="F28"/>
    </row>
    <row r="29" spans="5:8" x14ac:dyDescent="0.25">
      <c r="F29"/>
    </row>
    <row r="30" spans="5:8" x14ac:dyDescent="0.25">
      <c r="F30"/>
      <c r="H30"/>
    </row>
    <row r="31" spans="5:8" x14ac:dyDescent="0.25">
      <c r="F31"/>
      <c r="H31"/>
    </row>
    <row r="32" spans="5:8" x14ac:dyDescent="0.25">
      <c r="F32"/>
      <c r="H32"/>
    </row>
    <row r="33" spans="4:6" x14ac:dyDescent="0.25">
      <c r="D33"/>
      <c r="F33"/>
    </row>
    <row r="34" spans="4:6" x14ac:dyDescent="0.25">
      <c r="D34"/>
      <c r="F34"/>
    </row>
    <row r="35" spans="4:6" x14ac:dyDescent="0.25">
      <c r="D35"/>
      <c r="F35"/>
    </row>
    <row r="36" spans="4:6" x14ac:dyDescent="0.25">
      <c r="F36"/>
    </row>
    <row r="37" spans="4:6" x14ac:dyDescent="0.25">
      <c r="F37"/>
    </row>
    <row r="38" spans="4:6" x14ac:dyDescent="0.25">
      <c r="F38"/>
    </row>
    <row r="39" spans="4:6" x14ac:dyDescent="0.25">
      <c r="F39"/>
    </row>
    <row r="40" spans="4:6" x14ac:dyDescent="0.25">
      <c r="F40"/>
    </row>
    <row r="41" spans="4:6" x14ac:dyDescent="0.25">
      <c r="F41"/>
    </row>
    <row r="42" spans="4:6" x14ac:dyDescent="0.25">
      <c r="F42"/>
    </row>
    <row r="43" spans="4:6" x14ac:dyDescent="0.25">
      <c r="F43"/>
    </row>
    <row r="44" spans="4:6" x14ac:dyDescent="0.25">
      <c r="F44"/>
    </row>
    <row r="45" spans="4:6" x14ac:dyDescent="0.25">
      <c r="F45"/>
    </row>
    <row r="46" spans="4:6" x14ac:dyDescent="0.25">
      <c r="F46"/>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0"/>
  <sheetViews>
    <sheetView workbookViewId="0">
      <selection activeCell="B3" sqref="B3:C3"/>
    </sheetView>
  </sheetViews>
  <sheetFormatPr defaultRowHeight="15" x14ac:dyDescent="0.25"/>
  <cols>
    <col min="1" max="1" width="14.5703125" style="1" bestFit="1" customWidth="1"/>
    <col min="2" max="2" width="23.85546875" style="1" bestFit="1" customWidth="1"/>
    <col min="3" max="3" width="5.42578125" style="1" customWidth="1"/>
    <col min="4" max="5" width="13.5703125" style="1" bestFit="1" customWidth="1"/>
    <col min="6" max="6" width="19.85546875" style="1" bestFit="1" customWidth="1"/>
    <col min="7" max="7" width="5.85546875" style="1" bestFit="1" customWidth="1"/>
    <col min="8" max="8" width="19.85546875" style="1" bestFit="1" customWidth="1"/>
    <col min="9" max="9" width="6"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5.140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219</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219</v>
      </c>
      <c r="C3" s="31"/>
      <c r="D3" t="s">
        <v>218</v>
      </c>
      <c r="E3" t="s">
        <v>218</v>
      </c>
      <c r="F3" t="s">
        <v>217</v>
      </c>
      <c r="H3" s="20" t="str">
        <f>VLOOKUP(Table533353756606264[[#This Row],[Structure]],[1]!Dictionary[#All],3,FALSE)</f>
        <v>Left seminal vesicle</v>
      </c>
      <c r="I3" s="19">
        <f>VLOOKUP(Table533353756606264[[#This Row],[Structure]],[1]!Dictionary[#All],4,FALSE)</f>
        <v>19388</v>
      </c>
      <c r="J3" s="19" t="str">
        <f>VLOOKUP(Table533353756606264[[#This Row],[Structure]],[1]!Dictionary[#All],5,FALSE)</f>
        <v>FMA</v>
      </c>
      <c r="K3" s="18" t="str">
        <f>VLOOKUP(Table533353756606264[[#This Row],[Structure]],[1]!Dictionary[#All],6,FALSE)</f>
        <v>3.2</v>
      </c>
      <c r="L3" s="17" t="str">
        <f>VLOOKUP(Table533353756606264[[#This Row],[Structure]],[1]!VolumeType[#All],2,FALSE)</f>
        <v>Organ</v>
      </c>
      <c r="M3" s="16" t="str">
        <f>VLOOKUP(Table533353756606264[[#This Row],[Structure]],[1]!VolumeType[#All],3,FALSE)</f>
        <v>Organ</v>
      </c>
      <c r="N3" s="15" t="str">
        <f>VLOOKUP(Table533353756606264[[#This Row],[Structure]],[1]!Colors[#All],3,FALSE)</f>
        <v>z Seminal Ves L</v>
      </c>
      <c r="O3" s="13" t="str">
        <f>IFERROR(VLOOKUP(Table533353756606264[[#This Row],[Structure]],[1]!DVH_lines[#Data],2,FALSE),"")</f>
        <v/>
      </c>
      <c r="P3" s="14" t="str">
        <f>IFERROR(VLOOKUP(Table533353756606264[[#This Row],[Structure]],[1]!DVH_lines[#Data],3,FALSE),"")</f>
        <v/>
      </c>
      <c r="Q3" s="12" t="str">
        <f>IFERROR(VLOOKUP(Table533353756606264[[#This Row],[Structure]],[1]!DVH_lines[#Data],4,FALSE),"")</f>
        <v/>
      </c>
      <c r="R3" s="13" t="str">
        <f>IFERROR(VLOOKUP(Table533353756606264[[#This Row],[Structure]],[1]!SearchCT[#Data],2,FALSE),"")</f>
        <v/>
      </c>
      <c r="S3" s="12" t="str">
        <f>IFERROR(VLOOKUP(Table533353756606264[[#This Row],[Structure]],[1]!SearchCT[#Data],3,FALSE),"")</f>
        <v/>
      </c>
    </row>
    <row r="4" spans="1:19" x14ac:dyDescent="0.25">
      <c r="A4" s="1" t="s">
        <v>40</v>
      </c>
      <c r="B4" s="1" t="s">
        <v>39</v>
      </c>
      <c r="C4" s="31"/>
      <c r="D4" t="s">
        <v>216</v>
      </c>
      <c r="E4" t="s">
        <v>216</v>
      </c>
      <c r="F4" t="s">
        <v>215</v>
      </c>
      <c r="H4" s="20" t="str">
        <f>VLOOKUP(Table533353756606264[[#This Row],[Structure]],[1]!Dictionary[#All],3,FALSE)</f>
        <v>Right seminal vesicle</v>
      </c>
      <c r="I4" s="19">
        <f>VLOOKUP(Table533353756606264[[#This Row],[Structure]],[1]!Dictionary[#All],4,FALSE)</f>
        <v>19387</v>
      </c>
      <c r="J4" s="19" t="str">
        <f>VLOOKUP(Table533353756606264[[#This Row],[Structure]],[1]!Dictionary[#All],5,FALSE)</f>
        <v>FMA</v>
      </c>
      <c r="K4" s="18" t="str">
        <f>VLOOKUP(Table533353756606264[[#This Row],[Structure]],[1]!Dictionary[#All],6,FALSE)</f>
        <v>3.2</v>
      </c>
      <c r="L4" s="17" t="str">
        <f>VLOOKUP(Table533353756606264[[#This Row],[Structure]],[1]!VolumeType[#All],2,FALSE)</f>
        <v>Organ</v>
      </c>
      <c r="M4" s="16" t="str">
        <f>VLOOKUP(Table533353756606264[[#This Row],[Structure]],[1]!VolumeType[#All],3,FALSE)</f>
        <v>Organ</v>
      </c>
      <c r="N4" s="15" t="str">
        <f>VLOOKUP(Table533353756606264[[#This Row],[Structure]],[1]!Colors[#All],3,FALSE)</f>
        <v>z Seminal Ves R</v>
      </c>
      <c r="O4" s="13" t="str">
        <f>IFERROR(VLOOKUP(Table533353756606264[[#This Row],[Structure]],[1]!DVH_lines[#Data],2,FALSE),"")</f>
        <v/>
      </c>
      <c r="P4" s="14" t="str">
        <f>IFERROR(VLOOKUP(Table533353756606264[[#This Row],[Structure]],[1]!DVH_lines[#Data],3,FALSE),"")</f>
        <v/>
      </c>
      <c r="Q4" s="12" t="str">
        <f>IFERROR(VLOOKUP(Table533353756606264[[#This Row],[Structure]],[1]!DVH_lines[#Data],4,FALSE),"")</f>
        <v/>
      </c>
      <c r="R4" s="13" t="str">
        <f>IFERROR(VLOOKUP(Table533353756606264[[#This Row],[Structure]],[1]!SearchCT[#Data],2,FALSE),"")</f>
        <v/>
      </c>
      <c r="S4" s="12" t="str">
        <f>IFERROR(VLOOKUP(Table533353756606264[[#This Row],[Structure]],[1]!SearchCT[#Data],3,FALSE),"")</f>
        <v/>
      </c>
    </row>
    <row r="5" spans="1:19" x14ac:dyDescent="0.25">
      <c r="A5" s="1" t="s">
        <v>37</v>
      </c>
      <c r="B5" s="1" t="s">
        <v>292</v>
      </c>
      <c r="C5" s="31"/>
      <c r="D5" t="s">
        <v>214</v>
      </c>
      <c r="E5" t="s">
        <v>214</v>
      </c>
      <c r="F5" t="s">
        <v>214</v>
      </c>
      <c r="H5" s="20" t="str">
        <f>VLOOKUP(Table533353756606264[[#This Row],[Structure]],[1]!Dictionary[#All],3,FALSE)</f>
        <v>Prostate</v>
      </c>
      <c r="I5" s="19">
        <f>VLOOKUP(Table533353756606264[[#This Row],[Structure]],[1]!Dictionary[#All],4,FALSE)</f>
        <v>9600</v>
      </c>
      <c r="J5" s="19" t="str">
        <f>VLOOKUP(Table533353756606264[[#This Row],[Structure]],[1]!Dictionary[#All],5,FALSE)</f>
        <v>FMA</v>
      </c>
      <c r="K5" s="18" t="str">
        <f>VLOOKUP(Table533353756606264[[#This Row],[Structure]],[1]!Dictionary[#All],6,FALSE)</f>
        <v>3.2</v>
      </c>
      <c r="L5" s="17" t="str">
        <f>VLOOKUP(Table533353756606264[[#This Row],[Structure]],[1]!VolumeType[#All],2,FALSE)</f>
        <v>Organ</v>
      </c>
      <c r="M5" s="16" t="str">
        <f>VLOOKUP(Table533353756606264[[#This Row],[Structure]],[1]!VolumeType[#All],3,FALSE)</f>
        <v>Organ</v>
      </c>
      <c r="N5" s="15" t="str">
        <f>VLOOKUP(Table533353756606264[[#This Row],[Structure]],[1]!Colors[#All],3,FALSE)</f>
        <v>z Prostate</v>
      </c>
      <c r="O5" s="13" t="str">
        <f>IFERROR(VLOOKUP(Table533353756606264[[#This Row],[Structure]],[1]!DVH_lines[#Data],2,FALSE),"")</f>
        <v/>
      </c>
      <c r="P5" s="14" t="str">
        <f>IFERROR(VLOOKUP(Table533353756606264[[#This Row],[Structure]],[1]!DVH_lines[#Data],3,FALSE),"")</f>
        <v/>
      </c>
      <c r="Q5" s="12" t="str">
        <f>IFERROR(VLOOKUP(Table533353756606264[[#This Row],[Structure]],[1]!DVH_lines[#Data],4,FALSE),"")</f>
        <v/>
      </c>
      <c r="R5" s="13" t="str">
        <f>IFERROR(VLOOKUP(Table533353756606264[[#This Row],[Structure]],[1]!SearchCT[#Data],2,FALSE),"")</f>
        <v/>
      </c>
      <c r="S5" s="12" t="str">
        <f>IFERROR(VLOOKUP(Table533353756606264[[#This Row],[Structure]],[1]!SearchCT[#Data],3,FALSE),"")</f>
        <v/>
      </c>
    </row>
    <row r="6" spans="1:19" x14ac:dyDescent="0.25">
      <c r="A6" s="1" t="s">
        <v>35</v>
      </c>
      <c r="B6" s="1">
        <v>3</v>
      </c>
      <c r="C6" s="31"/>
      <c r="D6" t="s">
        <v>213</v>
      </c>
      <c r="E6" t="s">
        <v>213</v>
      </c>
      <c r="F6" t="s">
        <v>213</v>
      </c>
      <c r="H6" s="20" t="str">
        <f>VLOOKUP(Table533353756606264[[#This Row],[Structure]],[1]!Dictionary[#All],3,FALSE)</f>
        <v>Bulb of penis</v>
      </c>
      <c r="I6" s="19">
        <f>VLOOKUP(Table533353756606264[[#This Row],[Structure]],[1]!Dictionary[#All],4,FALSE)</f>
        <v>19614</v>
      </c>
      <c r="J6" s="19" t="str">
        <f>VLOOKUP(Table533353756606264[[#This Row],[Structure]],[1]!Dictionary[#All],5,FALSE)</f>
        <v>FMA</v>
      </c>
      <c r="K6" s="18" t="str">
        <f>VLOOKUP(Table533353756606264[[#This Row],[Structure]],[1]!Dictionary[#All],6,FALSE)</f>
        <v>3.2</v>
      </c>
      <c r="L6" s="17" t="str">
        <f>VLOOKUP(Table533353756606264[[#This Row],[Structure]],[1]!VolumeType[#All],2,FALSE)</f>
        <v>Organ</v>
      </c>
      <c r="M6" s="16" t="str">
        <f>VLOOKUP(Table533353756606264[[#This Row],[Structure]],[1]!VolumeType[#All],3,FALSE)</f>
        <v>Organ</v>
      </c>
      <c r="N6" s="15" t="str">
        <f>VLOOKUP(Table533353756606264[[#This Row],[Structure]],[1]!Colors[#All],3,FALSE)</f>
        <v>z Penile  bulb</v>
      </c>
      <c r="O6" s="13" t="str">
        <f>IFERROR(VLOOKUP(Table533353756606264[[#This Row],[Structure]],[1]!DVH_lines[#Data],2,FALSE),"")</f>
        <v/>
      </c>
      <c r="P6" s="14" t="str">
        <f>IFERROR(VLOOKUP(Table533353756606264[[#This Row],[Structure]],[1]!DVH_lines[#Data],3,FALSE),"")</f>
        <v/>
      </c>
      <c r="Q6" s="12" t="str">
        <f>IFERROR(VLOOKUP(Table533353756606264[[#This Row],[Structure]],[1]!DVH_lines[#Data],4,FALSE),"")</f>
        <v/>
      </c>
      <c r="R6" s="13" t="str">
        <f>IFERROR(VLOOKUP(Table533353756606264[[#This Row],[Structure]],[1]!SearchCT[#Data],2,FALSE),"")</f>
        <v/>
      </c>
      <c r="S6" s="12" t="str">
        <f>IFERROR(VLOOKUP(Table533353756606264[[#This Row],[Structure]],[1]!SearchCT[#Data],3,FALSE),"")</f>
        <v/>
      </c>
    </row>
    <row r="7" spans="1:19" ht="15.75" thickBot="1" x14ac:dyDescent="0.3">
      <c r="A7" s="1" t="s">
        <v>33</v>
      </c>
      <c r="D7" t="s">
        <v>212</v>
      </c>
      <c r="E7" t="s">
        <v>212</v>
      </c>
      <c r="F7" t="s">
        <v>212</v>
      </c>
      <c r="H7" s="10" t="str">
        <f>VLOOKUP(Table533353756606264[[#This Row],[Structure]],[1]!Dictionary[#All],3,FALSE)</f>
        <v>Urethra</v>
      </c>
      <c r="I7" s="9">
        <f>VLOOKUP(Table533353756606264[[#This Row],[Structure]],[1]!Dictionary[#All],4,FALSE)</f>
        <v>19667</v>
      </c>
      <c r="J7" s="9" t="str">
        <f>VLOOKUP(Table533353756606264[[#This Row],[Structure]],[1]!Dictionary[#All],5,FALSE)</f>
        <v>FMA</v>
      </c>
      <c r="K7" s="8" t="str">
        <f>VLOOKUP(Table533353756606264[[#This Row],[Structure]],[1]!Dictionary[#All],6,FALSE)</f>
        <v>3.2</v>
      </c>
      <c r="L7" s="7" t="str">
        <f>VLOOKUP(Table533353756606264[[#This Row],[Structure]],[1]!VolumeType[#All],2,FALSE)</f>
        <v>Organ</v>
      </c>
      <c r="M7" s="6" t="str">
        <f>VLOOKUP(Table533353756606264[[#This Row],[Structure]],[1]!VolumeType[#All],3,FALSE)</f>
        <v>Organ</v>
      </c>
      <c r="N7" s="5" t="str">
        <f>VLOOKUP(Table533353756606264[[#This Row],[Structure]],[1]!Colors[#All],3,FALSE)</f>
        <v>z Urethra</v>
      </c>
      <c r="O7" s="3" t="str">
        <f>IFERROR(VLOOKUP(Table533353756606264[[#This Row],[Structure]],[1]!DVH_lines[#Data],2,FALSE),"")</f>
        <v/>
      </c>
      <c r="P7" s="4" t="str">
        <f>IFERROR(VLOOKUP(Table533353756606264[[#This Row],[Structure]],[1]!DVH_lines[#Data],3,FALSE),"")</f>
        <v/>
      </c>
      <c r="Q7" s="2" t="str">
        <f>IFERROR(VLOOKUP(Table533353756606264[[#This Row],[Structure]],[1]!DVH_lines[#Data],4,FALSE),"")</f>
        <v/>
      </c>
      <c r="R7" s="3" t="str">
        <f>IFERROR(VLOOKUP(Table533353756606264[[#This Row],[Structure]],[1]!SearchCT[#Data],2,FALSE),"")</f>
        <v/>
      </c>
      <c r="S7" s="2" t="str">
        <f>IFERROR(VLOOKUP(Table533353756606264[[#This Row],[Structure]],[1]!SearchCT[#Data],3,FALSE),"")</f>
        <v/>
      </c>
    </row>
    <row r="8" spans="1:19" x14ac:dyDescent="0.25">
      <c r="A8" s="1" t="s">
        <v>30</v>
      </c>
    </row>
    <row r="9" spans="1:19" x14ac:dyDescent="0.25">
      <c r="A9" s="1" t="s">
        <v>27</v>
      </c>
      <c r="B9" s="1" t="s">
        <v>26</v>
      </c>
    </row>
    <row r="10" spans="1:19" x14ac:dyDescent="0.25">
      <c r="A10" s="1" t="s">
        <v>23</v>
      </c>
      <c r="B10" s="1" t="s">
        <v>22</v>
      </c>
      <c r="F10"/>
    </row>
    <row r="11" spans="1:19" ht="16.5" customHeight="1" x14ac:dyDescent="0.25">
      <c r="A11" s="1" t="s">
        <v>19</v>
      </c>
      <c r="B11" s="1" t="s">
        <v>211</v>
      </c>
      <c r="D11"/>
      <c r="F11"/>
    </row>
    <row r="12" spans="1:19" x14ac:dyDescent="0.25">
      <c r="A12" s="1" t="s">
        <v>17</v>
      </c>
      <c r="B12" s="1" t="s">
        <v>16</v>
      </c>
      <c r="D12"/>
      <c r="F12"/>
    </row>
    <row r="13" spans="1:19" x14ac:dyDescent="0.25">
      <c r="A13" s="1" t="s">
        <v>14</v>
      </c>
      <c r="B13" s="1" t="s">
        <v>13</v>
      </c>
      <c r="D13"/>
      <c r="F13"/>
    </row>
    <row r="14" spans="1:19" x14ac:dyDescent="0.25">
      <c r="A14" s="26"/>
      <c r="B14" s="26"/>
      <c r="D14"/>
    </row>
    <row r="15" spans="1:19" x14ac:dyDescent="0.25">
      <c r="D15"/>
    </row>
    <row r="16" spans="1:19" x14ac:dyDescent="0.25">
      <c r="D16"/>
    </row>
    <row r="17" spans="4:6" x14ac:dyDescent="0.25">
      <c r="F17"/>
    </row>
    <row r="18" spans="4:6" x14ac:dyDescent="0.25">
      <c r="F18"/>
    </row>
    <row r="19" spans="4:6" x14ac:dyDescent="0.25">
      <c r="F19"/>
    </row>
    <row r="20" spans="4:6" x14ac:dyDescent="0.25">
      <c r="F20"/>
    </row>
    <row r="21" spans="4:6" x14ac:dyDescent="0.25">
      <c r="F21"/>
    </row>
    <row r="22" spans="4:6" x14ac:dyDescent="0.25">
      <c r="F22"/>
    </row>
    <row r="23" spans="4:6" x14ac:dyDescent="0.25">
      <c r="F23"/>
    </row>
    <row r="24" spans="4:6" x14ac:dyDescent="0.25">
      <c r="F24"/>
    </row>
    <row r="25" spans="4:6" x14ac:dyDescent="0.25">
      <c r="F25"/>
    </row>
    <row r="26" spans="4:6" x14ac:dyDescent="0.25">
      <c r="F26"/>
    </row>
    <row r="27" spans="4:6" x14ac:dyDescent="0.25">
      <c r="D27"/>
      <c r="F27"/>
    </row>
    <row r="28" spans="4:6" x14ac:dyDescent="0.25">
      <c r="D28"/>
      <c r="F28"/>
    </row>
    <row r="29" spans="4:6" x14ac:dyDescent="0.25">
      <c r="D29"/>
      <c r="F29"/>
    </row>
    <row r="30" spans="4:6" x14ac:dyDescent="0.25">
      <c r="F30"/>
    </row>
    <row r="31" spans="4:6" x14ac:dyDescent="0.25">
      <c r="F31"/>
    </row>
    <row r="32" spans="4: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1"/>
  <sheetViews>
    <sheetView workbookViewId="0">
      <selection activeCell="B3" sqref="B3:C3"/>
    </sheetView>
  </sheetViews>
  <sheetFormatPr defaultRowHeight="15" x14ac:dyDescent="0.25"/>
  <cols>
    <col min="1" max="1" width="14.5703125" style="1" bestFit="1" customWidth="1"/>
    <col min="2" max="2" width="26.140625" style="1" bestFit="1" customWidth="1"/>
    <col min="3" max="3" width="5.42578125" style="1" customWidth="1"/>
    <col min="4" max="4" width="10.28515625" style="1" bestFit="1" customWidth="1"/>
    <col min="5" max="5" width="9" style="1" bestFit="1" customWidth="1"/>
    <col min="6" max="6" width="10.7109375" style="1" customWidth="1"/>
    <col min="7" max="7" width="5.85546875" style="1" bestFit="1" customWidth="1"/>
    <col min="8" max="8" width="16.5703125" style="1" bestFit="1" customWidth="1"/>
    <col min="9" max="9" width="6"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5.1406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226</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226</v>
      </c>
      <c r="C3" s="31"/>
      <c r="D3" t="s">
        <v>225</v>
      </c>
      <c r="E3" t="s">
        <v>225</v>
      </c>
      <c r="F3" t="s">
        <v>225</v>
      </c>
      <c r="H3" s="20" t="str">
        <f>VLOOKUP(Table5333537566062[[#This Row],[Structure]],[1]!Dictionary[#All],3,FALSE)</f>
        <v>Vagina</v>
      </c>
      <c r="I3" s="19">
        <f>VLOOKUP(Table5333537566062[[#This Row],[Structure]],[1]!Dictionary[#All],4,FALSE)</f>
        <v>19949</v>
      </c>
      <c r="J3" s="19" t="str">
        <f>VLOOKUP(Table5333537566062[[#This Row],[Structure]],[1]!Dictionary[#All],5,FALSE)</f>
        <v>FMA</v>
      </c>
      <c r="K3" s="18" t="str">
        <f>VLOOKUP(Table5333537566062[[#This Row],[Structure]],[1]!Dictionary[#All],6,FALSE)</f>
        <v>3.2</v>
      </c>
      <c r="L3" s="17" t="str">
        <f>VLOOKUP(Table5333537566062[[#This Row],[Structure]],[1]!VolumeType[#All],2,FALSE)</f>
        <v>Organ</v>
      </c>
      <c r="M3" s="16" t="str">
        <f>VLOOKUP(Table5333537566062[[#This Row],[Structure]],[1]!VolumeType[#All],3,FALSE)</f>
        <v>Organ</v>
      </c>
      <c r="N3" s="15" t="str">
        <f>VLOOKUP(Table5333537566062[[#This Row],[Structure]],[1]!Colors[#All],3,FALSE)</f>
        <v>z Vagina</v>
      </c>
      <c r="O3" s="13" t="str">
        <f>IFERROR(VLOOKUP(Table5333537566062[[#This Row],[Structure]],[1]!DVH_lines[#Data],2,FALSE),"")</f>
        <v/>
      </c>
      <c r="P3" s="14" t="str">
        <f>IFERROR(VLOOKUP(Table5333537566062[[#This Row],[Structure]],[1]!DVH_lines[#Data],3,FALSE),"")</f>
        <v/>
      </c>
      <c r="Q3" s="12" t="str">
        <f>IFERROR(VLOOKUP(Table5333537566062[[#This Row],[Structure]],[1]!DVH_lines[#Data],4,FALSE),"")</f>
        <v/>
      </c>
      <c r="R3" s="13" t="str">
        <f>IFERROR(VLOOKUP(Table5333537566062[[#This Row],[Structure]],[1]!SearchCT[#Data],2,FALSE),"")</f>
        <v/>
      </c>
      <c r="S3" s="12" t="str">
        <f>IFERROR(VLOOKUP(Table5333537566062[[#This Row],[Structure]],[1]!SearchCT[#Data],3,FALSE),"")</f>
        <v/>
      </c>
    </row>
    <row r="4" spans="1:19" x14ac:dyDescent="0.25">
      <c r="A4" s="1" t="s">
        <v>40</v>
      </c>
      <c r="B4" s="1" t="s">
        <v>39</v>
      </c>
      <c r="C4" s="31"/>
      <c r="D4" t="s">
        <v>224</v>
      </c>
      <c r="E4" t="s">
        <v>224</v>
      </c>
      <c r="F4" t="s">
        <v>224</v>
      </c>
      <c r="H4" s="20" t="str">
        <f>VLOOKUP(Table5333537566062[[#This Row],[Structure]],[1]!Dictionary[#All],3,FALSE)</f>
        <v>Cervix of uterus</v>
      </c>
      <c r="I4" s="19">
        <f>VLOOKUP(Table5333537566062[[#This Row],[Structure]],[1]!Dictionary[#All],4,FALSE)</f>
        <v>17740</v>
      </c>
      <c r="J4" s="19" t="str">
        <f>VLOOKUP(Table5333537566062[[#This Row],[Structure]],[1]!Dictionary[#All],5,FALSE)</f>
        <v>FMA</v>
      </c>
      <c r="K4" s="18" t="str">
        <f>VLOOKUP(Table5333537566062[[#This Row],[Structure]],[1]!Dictionary[#All],6,FALSE)</f>
        <v>3.2</v>
      </c>
      <c r="L4" s="17" t="str">
        <f>VLOOKUP(Table5333537566062[[#This Row],[Structure]],[1]!VolumeType[#All],2,FALSE)</f>
        <v>Organ</v>
      </c>
      <c r="M4" s="16" t="str">
        <f>VLOOKUP(Table5333537566062[[#This Row],[Structure]],[1]!VolumeType[#All],3,FALSE)</f>
        <v>Organ</v>
      </c>
      <c r="N4" s="15" t="str">
        <f>VLOOKUP(Table5333537566062[[#This Row],[Structure]],[1]!Colors[#All],3,FALSE)</f>
        <v>z Cervix</v>
      </c>
      <c r="O4" s="13" t="str">
        <f>IFERROR(VLOOKUP(Table5333537566062[[#This Row],[Structure]],[1]!DVH_lines[#Data],2,FALSE),"")</f>
        <v/>
      </c>
      <c r="P4" s="14" t="str">
        <f>IFERROR(VLOOKUP(Table5333537566062[[#This Row],[Structure]],[1]!DVH_lines[#Data],3,FALSE),"")</f>
        <v/>
      </c>
      <c r="Q4" s="12" t="str">
        <f>IFERROR(VLOOKUP(Table5333537566062[[#This Row],[Structure]],[1]!DVH_lines[#Data],4,FALSE),"")</f>
        <v/>
      </c>
      <c r="R4" s="13" t="str">
        <f>IFERROR(VLOOKUP(Table5333537566062[[#This Row],[Structure]],[1]!SearchCT[#Data],2,FALSE),"")</f>
        <v/>
      </c>
      <c r="S4" s="12" t="str">
        <f>IFERROR(VLOOKUP(Table5333537566062[[#This Row],[Structure]],[1]!SearchCT[#Data],3,FALSE),"")</f>
        <v/>
      </c>
    </row>
    <row r="5" spans="1:19" x14ac:dyDescent="0.25">
      <c r="A5" s="1" t="s">
        <v>37</v>
      </c>
      <c r="B5" s="1" t="s">
        <v>293</v>
      </c>
      <c r="C5" s="31"/>
      <c r="D5" t="s">
        <v>223</v>
      </c>
      <c r="E5" t="s">
        <v>223</v>
      </c>
      <c r="F5" t="s">
        <v>223</v>
      </c>
      <c r="H5" s="20" t="str">
        <f>VLOOKUP(Table5333537566062[[#This Row],[Structure]],[1]!Dictionary[#All],3,FALSE)</f>
        <v>Uterus</v>
      </c>
      <c r="I5" s="19">
        <f>VLOOKUP(Table5333537566062[[#This Row],[Structure]],[1]!Dictionary[#All],4,FALSE)</f>
        <v>17558</v>
      </c>
      <c r="J5" s="19" t="str">
        <f>VLOOKUP(Table5333537566062[[#This Row],[Structure]],[1]!Dictionary[#All],5,FALSE)</f>
        <v>FMA</v>
      </c>
      <c r="K5" s="18" t="str">
        <f>VLOOKUP(Table5333537566062[[#This Row],[Structure]],[1]!Dictionary[#All],6,FALSE)</f>
        <v>3.2</v>
      </c>
      <c r="L5" s="17" t="str">
        <f>VLOOKUP(Table5333537566062[[#This Row],[Structure]],[1]!VolumeType[#All],2,FALSE)</f>
        <v>Organ</v>
      </c>
      <c r="M5" s="16" t="str">
        <f>VLOOKUP(Table5333537566062[[#This Row],[Structure]],[1]!VolumeType[#All],3,FALSE)</f>
        <v>Organ</v>
      </c>
      <c r="N5" s="15" t="str">
        <f>VLOOKUP(Table5333537566062[[#This Row],[Structure]],[1]!Colors[#All],3,FALSE)</f>
        <v>z Uterus</v>
      </c>
      <c r="O5" s="13" t="str">
        <f>IFERROR(VLOOKUP(Table5333537566062[[#This Row],[Structure]],[1]!DVH_lines[#Data],2,FALSE),"")</f>
        <v/>
      </c>
      <c r="P5" s="14" t="str">
        <f>IFERROR(VLOOKUP(Table5333537566062[[#This Row],[Structure]],[1]!DVH_lines[#Data],3,FALSE),"")</f>
        <v/>
      </c>
      <c r="Q5" s="12" t="str">
        <f>IFERROR(VLOOKUP(Table5333537566062[[#This Row],[Structure]],[1]!DVH_lines[#Data],4,FALSE),"")</f>
        <v/>
      </c>
      <c r="R5" s="13" t="str">
        <f>IFERROR(VLOOKUP(Table5333537566062[[#This Row],[Structure]],[1]!SearchCT[#Data],2,FALSE),"")</f>
        <v/>
      </c>
      <c r="S5" s="12" t="str">
        <f>IFERROR(VLOOKUP(Table5333537566062[[#This Row],[Structure]],[1]!SearchCT[#Data],3,FALSE),"")</f>
        <v/>
      </c>
    </row>
    <row r="6" spans="1:19" x14ac:dyDescent="0.25">
      <c r="A6" s="1" t="s">
        <v>35</v>
      </c>
      <c r="B6" s="1">
        <v>3</v>
      </c>
      <c r="C6" s="31"/>
      <c r="D6" t="s">
        <v>222</v>
      </c>
      <c r="E6" t="s">
        <v>222</v>
      </c>
      <c r="F6" t="s">
        <v>222</v>
      </c>
      <c r="H6" s="20" t="str">
        <f>VLOOKUP(Table5333537566062[[#This Row],[Structure]],[1]!Dictionary[#All],3,FALSE)</f>
        <v>Left ovary</v>
      </c>
      <c r="I6" s="19">
        <f>VLOOKUP(Table5333537566062[[#This Row],[Structure]],[1]!Dictionary[#All],4,FALSE)</f>
        <v>7214</v>
      </c>
      <c r="J6" s="19" t="str">
        <f>VLOOKUP(Table5333537566062[[#This Row],[Structure]],[1]!Dictionary[#All],5,FALSE)</f>
        <v>FMA</v>
      </c>
      <c r="K6" s="18" t="str">
        <f>VLOOKUP(Table5333537566062[[#This Row],[Structure]],[1]!Dictionary[#All],6,FALSE)</f>
        <v>3.2</v>
      </c>
      <c r="L6" s="17" t="str">
        <f>VLOOKUP(Table5333537566062[[#This Row],[Structure]],[1]!VolumeType[#All],2,FALSE)</f>
        <v>Organ</v>
      </c>
      <c r="M6" s="16" t="str">
        <f>VLOOKUP(Table5333537566062[[#This Row],[Structure]],[1]!VolumeType[#All],3,FALSE)</f>
        <v>Organ</v>
      </c>
      <c r="N6" s="15" t="str">
        <f>VLOOKUP(Table5333537566062[[#This Row],[Structure]],[1]!Colors[#All],3,FALSE)</f>
        <v>z Ovary L</v>
      </c>
      <c r="O6" s="13" t="str">
        <f>IFERROR(VLOOKUP(Table5333537566062[[#This Row],[Structure]],[1]!DVH_lines[#Data],2,FALSE),"")</f>
        <v/>
      </c>
      <c r="P6" s="14" t="str">
        <f>IFERROR(VLOOKUP(Table5333537566062[[#This Row],[Structure]],[1]!DVH_lines[#Data],3,FALSE),"")</f>
        <v/>
      </c>
      <c r="Q6" s="12" t="str">
        <f>IFERROR(VLOOKUP(Table5333537566062[[#This Row],[Structure]],[1]!DVH_lines[#Data],4,FALSE),"")</f>
        <v/>
      </c>
      <c r="R6" s="13" t="str">
        <f>IFERROR(VLOOKUP(Table5333537566062[[#This Row],[Structure]],[1]!SearchCT[#Data],2,FALSE),"")</f>
        <v/>
      </c>
      <c r="S6" s="12" t="str">
        <f>IFERROR(VLOOKUP(Table5333537566062[[#This Row],[Structure]],[1]!SearchCT[#Data],3,FALSE),"")</f>
        <v/>
      </c>
    </row>
    <row r="7" spans="1:19" ht="15.75" thickBot="1" x14ac:dyDescent="0.3">
      <c r="A7" s="1" t="s">
        <v>33</v>
      </c>
      <c r="D7" t="s">
        <v>221</v>
      </c>
      <c r="E7" t="s">
        <v>221</v>
      </c>
      <c r="F7" t="s">
        <v>221</v>
      </c>
      <c r="H7" s="10" t="str">
        <f>VLOOKUP(Table5333537566062[[#This Row],[Structure]],[1]!Dictionary[#All],3,FALSE)</f>
        <v>Right ovary</v>
      </c>
      <c r="I7" s="9">
        <f>VLOOKUP(Table5333537566062[[#This Row],[Structure]],[1]!Dictionary[#All],4,FALSE)</f>
        <v>7213</v>
      </c>
      <c r="J7" s="9" t="str">
        <f>VLOOKUP(Table5333537566062[[#This Row],[Structure]],[1]!Dictionary[#All],5,FALSE)</f>
        <v>FMA</v>
      </c>
      <c r="K7" s="8" t="str">
        <f>VLOOKUP(Table5333537566062[[#This Row],[Structure]],[1]!Dictionary[#All],6,FALSE)</f>
        <v>3.2</v>
      </c>
      <c r="L7" s="7" t="str">
        <f>VLOOKUP(Table5333537566062[[#This Row],[Structure]],[1]!VolumeType[#All],2,FALSE)</f>
        <v>Organ</v>
      </c>
      <c r="M7" s="6" t="str">
        <f>VLOOKUP(Table5333537566062[[#This Row],[Structure]],[1]!VolumeType[#All],3,FALSE)</f>
        <v>Organ</v>
      </c>
      <c r="N7" s="5" t="str">
        <f>VLOOKUP(Table5333537566062[[#This Row],[Structure]],[1]!Colors[#All],3,FALSE)</f>
        <v>z Ovary R</v>
      </c>
      <c r="O7" s="3" t="str">
        <f>IFERROR(VLOOKUP(Table5333537566062[[#This Row],[Structure]],[1]!DVH_lines[#Data],2,FALSE),"")</f>
        <v/>
      </c>
      <c r="P7" s="4" t="str">
        <f>IFERROR(VLOOKUP(Table5333537566062[[#This Row],[Structure]],[1]!DVH_lines[#Data],3,FALSE),"")</f>
        <v/>
      </c>
      <c r="Q7" s="2" t="str">
        <f>IFERROR(VLOOKUP(Table5333537566062[[#This Row],[Structure]],[1]!DVH_lines[#Data],4,FALSE),"")</f>
        <v/>
      </c>
      <c r="R7" s="3" t="str">
        <f>IFERROR(VLOOKUP(Table5333537566062[[#This Row],[Structure]],[1]!SearchCT[#Data],2,FALSE),"")</f>
        <v/>
      </c>
      <c r="S7" s="2" t="str">
        <f>IFERROR(VLOOKUP(Table5333537566062[[#This Row],[Structure]],[1]!SearchCT[#Data],3,FALSE),"")</f>
        <v/>
      </c>
    </row>
    <row r="8" spans="1:19" x14ac:dyDescent="0.25">
      <c r="A8" s="1" t="s">
        <v>30</v>
      </c>
    </row>
    <row r="9" spans="1:19" x14ac:dyDescent="0.25">
      <c r="A9" s="1" t="s">
        <v>27</v>
      </c>
      <c r="B9" s="1" t="s">
        <v>26</v>
      </c>
    </row>
    <row r="10" spans="1:19" x14ac:dyDescent="0.25">
      <c r="A10" s="1" t="s">
        <v>23</v>
      </c>
      <c r="B10" s="1" t="s">
        <v>22</v>
      </c>
      <c r="F10"/>
    </row>
    <row r="11" spans="1:19" x14ac:dyDescent="0.25">
      <c r="A11" s="1" t="s">
        <v>19</v>
      </c>
      <c r="B11" s="1" t="s">
        <v>220</v>
      </c>
      <c r="F11"/>
    </row>
    <row r="12" spans="1:19" x14ac:dyDescent="0.25">
      <c r="A12" s="1" t="s">
        <v>17</v>
      </c>
      <c r="B12" s="1" t="s">
        <v>16</v>
      </c>
      <c r="D12"/>
      <c r="F12"/>
    </row>
    <row r="13" spans="1:19" x14ac:dyDescent="0.25">
      <c r="A13" s="1" t="s">
        <v>14</v>
      </c>
      <c r="B13" s="1" t="s">
        <v>13</v>
      </c>
      <c r="D13"/>
      <c r="F13"/>
    </row>
    <row r="14" spans="1:19" x14ac:dyDescent="0.25">
      <c r="A14" s="26"/>
      <c r="B14" s="26"/>
      <c r="D14"/>
      <c r="F14"/>
    </row>
    <row r="15" spans="1:19" x14ac:dyDescent="0.25">
      <c r="D15"/>
    </row>
    <row r="16" spans="1:19" x14ac:dyDescent="0.25">
      <c r="D16"/>
    </row>
    <row r="17" spans="4:6" x14ac:dyDescent="0.25">
      <c r="D17"/>
    </row>
    <row r="18" spans="4:6" x14ac:dyDescent="0.25">
      <c r="F18"/>
    </row>
    <row r="19" spans="4:6" x14ac:dyDescent="0.25">
      <c r="F19"/>
    </row>
    <row r="20" spans="4:6" x14ac:dyDescent="0.25">
      <c r="F20"/>
    </row>
    <row r="21" spans="4:6" x14ac:dyDescent="0.25">
      <c r="F21"/>
    </row>
    <row r="22" spans="4:6" x14ac:dyDescent="0.25">
      <c r="F22"/>
    </row>
    <row r="23" spans="4:6" x14ac:dyDescent="0.25">
      <c r="F23"/>
    </row>
    <row r="24" spans="4:6" x14ac:dyDescent="0.25">
      <c r="F24"/>
    </row>
    <row r="25" spans="4:6" x14ac:dyDescent="0.25">
      <c r="F25"/>
    </row>
    <row r="26" spans="4:6" x14ac:dyDescent="0.25">
      <c r="F26"/>
    </row>
    <row r="27" spans="4:6" x14ac:dyDescent="0.25">
      <c r="F27"/>
    </row>
    <row r="28" spans="4:6" x14ac:dyDescent="0.25">
      <c r="D28"/>
      <c r="F28"/>
    </row>
    <row r="29" spans="4:6" x14ac:dyDescent="0.25">
      <c r="D29"/>
      <c r="F29"/>
    </row>
    <row r="30" spans="4:6" x14ac:dyDescent="0.25">
      <c r="D30"/>
      <c r="F30"/>
    </row>
    <row r="31" spans="4:6" x14ac:dyDescent="0.25">
      <c r="F31"/>
    </row>
    <row r="32" spans="4: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0"/>
  <sheetViews>
    <sheetView workbookViewId="0">
      <selection activeCell="M30" sqref="M30"/>
    </sheetView>
  </sheetViews>
  <sheetFormatPr defaultRowHeight="15" x14ac:dyDescent="0.25"/>
  <cols>
    <col min="1" max="1" width="14.5703125" style="1" bestFit="1" customWidth="1"/>
    <col min="2" max="2" width="18.42578125" style="1" bestFit="1" customWidth="1"/>
    <col min="3" max="3" width="5.42578125" style="1" customWidth="1"/>
    <col min="4" max="5" width="15.7109375" style="1" bestFit="1" customWidth="1"/>
    <col min="6" max="6" width="32.7109375" style="1" bestFit="1" customWidth="1"/>
    <col min="7" max="7" width="5.85546875" style="1" bestFit="1" customWidth="1"/>
    <col min="8" max="8" width="32"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6.42578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250</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250</v>
      </c>
      <c r="C3" s="31"/>
      <c r="D3" s="63" t="s">
        <v>249</v>
      </c>
      <c r="E3" s="63" t="s">
        <v>249</v>
      </c>
      <c r="F3" s="62" t="s">
        <v>248</v>
      </c>
      <c r="H3" s="20" t="str">
        <f>VLOOKUP(Table53335375660[[#This Row],[Structure]],[1]!Dictionary[#All],3,FALSE)</f>
        <v>Left internal iliac lymphatic chain</v>
      </c>
      <c r="I3" s="19">
        <f>VLOOKUP(Table53335375660[[#This Row],[Structure]],[1]!Dictionary[#All],4,FALSE)</f>
        <v>224279</v>
      </c>
      <c r="J3" s="19" t="str">
        <f>VLOOKUP(Table53335375660[[#This Row],[Structure]],[1]!Dictionary[#All],5,FALSE)</f>
        <v>FMA</v>
      </c>
      <c r="K3" s="18" t="str">
        <f>VLOOKUP(Table53335375660[[#This Row],[Structure]],[1]!Dictionary[#All],6,FALSE)</f>
        <v>3.2</v>
      </c>
      <c r="L3" s="17" t="str">
        <f>VLOOKUP(Table53335375660[[#This Row],[Structure]],[1]!VolumeType[#All],2,FALSE)</f>
        <v>CTV</v>
      </c>
      <c r="M3" s="16" t="str">
        <f>VLOOKUP(Table53335375660[[#This Row],[Structure]],[1]!VolumeType[#All],3,FALSE)</f>
        <v>Nodes</v>
      </c>
      <c r="N3" s="15" t="str">
        <f>VLOOKUP(Table53335375660[[#This Row],[Structure]],[1]!Colors[#All],3,FALSE)</f>
        <v>zNode Intiliac L</v>
      </c>
      <c r="O3" s="13" t="str">
        <f>IFERROR(VLOOKUP(Table53335375660[[#This Row],[Structure]],[1]!DVH_lines[#Data],2,FALSE),"")</f>
        <v/>
      </c>
      <c r="P3" s="14" t="str">
        <f>IFERROR(VLOOKUP(Table53335375660[[#This Row],[Structure]],[1]!DVH_lines[#Data],3,FALSE),"")</f>
        <v/>
      </c>
      <c r="Q3" s="12" t="str">
        <f>IFERROR(VLOOKUP(Table53335375660[[#This Row],[Structure]],[1]!DVH_lines[#Data],4,FALSE),"")</f>
        <v/>
      </c>
      <c r="R3" s="13" t="str">
        <f>IFERROR(VLOOKUP(Table53335375660[[#This Row],[Structure]],[1]!SearchCT[#Data],2,FALSE),"")</f>
        <v/>
      </c>
      <c r="S3" s="12" t="str">
        <f>IFERROR(VLOOKUP(Table53335375660[[#This Row],[Structure]],[1]!SearchCT[#Data],3,FALSE),"")</f>
        <v/>
      </c>
    </row>
    <row r="4" spans="1:19" x14ac:dyDescent="0.25">
      <c r="A4" s="1" t="s">
        <v>40</v>
      </c>
      <c r="B4" s="1" t="s">
        <v>39</v>
      </c>
      <c r="C4" s="31"/>
      <c r="D4" s="63" t="s">
        <v>247</v>
      </c>
      <c r="E4" s="63" t="s">
        <v>247</v>
      </c>
      <c r="F4" s="62" t="s">
        <v>246</v>
      </c>
      <c r="H4" s="20" t="str">
        <f>VLOOKUP(Table53335375660[[#This Row],[Structure]],[1]!Dictionary[#All],3,FALSE)</f>
        <v>Right internal iliac lymphatic chain</v>
      </c>
      <c r="I4" s="19">
        <f>VLOOKUP(Table53335375660[[#This Row],[Structure]],[1]!Dictionary[#All],4,FALSE)</f>
        <v>224277</v>
      </c>
      <c r="J4" s="19" t="str">
        <f>VLOOKUP(Table53335375660[[#This Row],[Structure]],[1]!Dictionary[#All],5,FALSE)</f>
        <v>FMA</v>
      </c>
      <c r="K4" s="18" t="str">
        <f>VLOOKUP(Table53335375660[[#This Row],[Structure]],[1]!Dictionary[#All],6,FALSE)</f>
        <v>3.2</v>
      </c>
      <c r="L4" s="17" t="str">
        <f>VLOOKUP(Table53335375660[[#This Row],[Structure]],[1]!VolumeType[#All],2,FALSE)</f>
        <v>CTV</v>
      </c>
      <c r="M4" s="16" t="str">
        <f>VLOOKUP(Table53335375660[[#This Row],[Structure]],[1]!VolumeType[#All],3,FALSE)</f>
        <v>Nodes</v>
      </c>
      <c r="N4" s="15" t="str">
        <f>VLOOKUP(Table53335375660[[#This Row],[Structure]],[1]!Colors[#All],3,FALSE)</f>
        <v>zNode Intiliac R</v>
      </c>
      <c r="O4" s="13" t="str">
        <f>IFERROR(VLOOKUP(Table53335375660[[#This Row],[Structure]],[1]!DVH_lines[#Data],2,FALSE),"")</f>
        <v/>
      </c>
      <c r="P4" s="14" t="str">
        <f>IFERROR(VLOOKUP(Table53335375660[[#This Row],[Structure]],[1]!DVH_lines[#Data],3,FALSE),"")</f>
        <v/>
      </c>
      <c r="Q4" s="12" t="str">
        <f>IFERROR(VLOOKUP(Table53335375660[[#This Row],[Structure]],[1]!DVH_lines[#Data],4,FALSE),"")</f>
        <v/>
      </c>
      <c r="R4" s="13" t="str">
        <f>IFERROR(VLOOKUP(Table53335375660[[#This Row],[Structure]],[1]!SearchCT[#Data],2,FALSE),"")</f>
        <v/>
      </c>
      <c r="S4" s="12" t="str">
        <f>IFERROR(VLOOKUP(Table53335375660[[#This Row],[Structure]],[1]!SearchCT[#Data],3,FALSE),"")</f>
        <v/>
      </c>
    </row>
    <row r="5" spans="1:19" x14ac:dyDescent="0.25">
      <c r="A5" s="1" t="s">
        <v>37</v>
      </c>
      <c r="B5" s="1" t="s">
        <v>294</v>
      </c>
      <c r="C5" s="31"/>
      <c r="D5" s="63" t="s">
        <v>245</v>
      </c>
      <c r="E5" s="63" t="s">
        <v>245</v>
      </c>
      <c r="F5" s="62" t="s">
        <v>244</v>
      </c>
      <c r="H5" s="20" t="str">
        <f>VLOOKUP(Table53335375660[[#This Row],[Structure]],[1]!Dictionary[#All],3,FALSE)</f>
        <v>Sacral lymphatic chain</v>
      </c>
      <c r="I5" s="19">
        <f>VLOOKUP(Table53335375660[[#This Row],[Structure]],[1]!Dictionary[#All],4,FALSE)</f>
        <v>234280</v>
      </c>
      <c r="J5" s="19" t="str">
        <f>VLOOKUP(Table53335375660[[#This Row],[Structure]],[1]!Dictionary[#All],5,FALSE)</f>
        <v>FMA</v>
      </c>
      <c r="K5" s="18" t="str">
        <f>VLOOKUP(Table53335375660[[#This Row],[Structure]],[1]!Dictionary[#All],6,FALSE)</f>
        <v>3.2</v>
      </c>
      <c r="L5" s="17" t="str">
        <f>VLOOKUP(Table53335375660[[#This Row],[Structure]],[1]!VolumeType[#All],2,FALSE)</f>
        <v>CTV</v>
      </c>
      <c r="M5" s="16" t="str">
        <f>VLOOKUP(Table53335375660[[#This Row],[Structure]],[1]!VolumeType[#All],3,FALSE)</f>
        <v>Nodes</v>
      </c>
      <c r="N5" s="15" t="str">
        <f>VLOOKUP(Table53335375660[[#This Row],[Structure]],[1]!Colors[#All],3,FALSE)</f>
        <v>z Node Sacral</v>
      </c>
      <c r="O5" s="13" t="str">
        <f>IFERROR(VLOOKUP(Table53335375660[[#This Row],[Structure]],[1]!DVH_lines[#Data],2,FALSE),"")</f>
        <v/>
      </c>
      <c r="P5" s="14" t="str">
        <f>IFERROR(VLOOKUP(Table53335375660[[#This Row],[Structure]],[1]!DVH_lines[#Data],3,FALSE),"")</f>
        <v/>
      </c>
      <c r="Q5" s="12" t="str">
        <f>IFERROR(VLOOKUP(Table53335375660[[#This Row],[Structure]],[1]!DVH_lines[#Data],4,FALSE),"")</f>
        <v/>
      </c>
      <c r="R5" s="13" t="str">
        <f>IFERROR(VLOOKUP(Table53335375660[[#This Row],[Structure]],[1]!SearchCT[#Data],2,FALSE),"")</f>
        <v/>
      </c>
      <c r="S5" s="12" t="str">
        <f>IFERROR(VLOOKUP(Table53335375660[[#This Row],[Structure]],[1]!SearchCT[#Data],3,FALSE),"")</f>
        <v/>
      </c>
    </row>
    <row r="6" spans="1:19" x14ac:dyDescent="0.25">
      <c r="A6" s="1" t="s">
        <v>35</v>
      </c>
      <c r="B6" s="1">
        <v>3</v>
      </c>
      <c r="C6" s="31"/>
      <c r="D6" s="63" t="s">
        <v>243</v>
      </c>
      <c r="E6" s="63" t="s">
        <v>243</v>
      </c>
      <c r="F6" s="62" t="s">
        <v>242</v>
      </c>
      <c r="H6" s="20" t="str">
        <f>VLOOKUP(Table53335375660[[#This Row],[Structure]],[1]!Dictionary[#All],3,FALSE)</f>
        <v>Obturator lymph node</v>
      </c>
      <c r="I6" s="19">
        <f>VLOOKUP(Table53335375660[[#This Row],[Structure]],[1]!Dictionary[#All],4,FALSE)</f>
        <v>16656</v>
      </c>
      <c r="J6" s="19" t="str">
        <f>VLOOKUP(Table53335375660[[#This Row],[Structure]],[1]!Dictionary[#All],5,FALSE)</f>
        <v>FMA</v>
      </c>
      <c r="K6" s="18" t="str">
        <f>VLOOKUP(Table53335375660[[#This Row],[Structure]],[1]!Dictionary[#All],6,FALSE)</f>
        <v>3.2</v>
      </c>
      <c r="L6" s="17" t="str">
        <f>VLOOKUP(Table53335375660[[#This Row],[Structure]],[1]!VolumeType[#All],2,FALSE)</f>
        <v>CTV</v>
      </c>
      <c r="M6" s="16" t="str">
        <f>VLOOKUP(Table53335375660[[#This Row],[Structure]],[1]!VolumeType[#All],3,FALSE)</f>
        <v>Nodes</v>
      </c>
      <c r="N6" s="15" t="str">
        <f>VLOOKUP(Table53335375660[[#This Row],[Structure]],[1]!Colors[#All],3,FALSE)</f>
        <v>z Node Obturator</v>
      </c>
      <c r="O6" s="13" t="str">
        <f>IFERROR(VLOOKUP(Table53335375660[[#This Row],[Structure]],[1]!DVH_lines[#Data],2,FALSE),"")</f>
        <v/>
      </c>
      <c r="P6" s="14" t="str">
        <f>IFERROR(VLOOKUP(Table53335375660[[#This Row],[Structure]],[1]!DVH_lines[#Data],3,FALSE),"")</f>
        <v/>
      </c>
      <c r="Q6" s="12" t="str">
        <f>IFERROR(VLOOKUP(Table53335375660[[#This Row],[Structure]],[1]!DVH_lines[#Data],4,FALSE),"")</f>
        <v/>
      </c>
      <c r="R6" s="13" t="str">
        <f>IFERROR(VLOOKUP(Table53335375660[[#This Row],[Structure]],[1]!SearchCT[#Data],2,FALSE),"")</f>
        <v/>
      </c>
      <c r="S6" s="12" t="str">
        <f>IFERROR(VLOOKUP(Table53335375660[[#This Row],[Structure]],[1]!SearchCT[#Data],3,FALSE),"")</f>
        <v/>
      </c>
    </row>
    <row r="7" spans="1:19" x14ac:dyDescent="0.25">
      <c r="A7" s="1" t="s">
        <v>33</v>
      </c>
      <c r="D7" s="63" t="s">
        <v>241</v>
      </c>
      <c r="E7" s="63" t="s">
        <v>241</v>
      </c>
      <c r="F7" s="62" t="s">
        <v>240</v>
      </c>
      <c r="H7" s="20" t="str">
        <f>VLOOKUP(Table53335375660[[#This Row],[Structure]],[1]!Dictionary[#All],3,FALSE)</f>
        <v>Internal iliac lymphatic chain</v>
      </c>
      <c r="I7" s="19">
        <f>VLOOKUP(Table53335375660[[#This Row],[Structure]],[1]!Dictionary[#All],4,FALSE)</f>
        <v>224275</v>
      </c>
      <c r="J7" s="19" t="str">
        <f>VLOOKUP(Table53335375660[[#This Row],[Structure]],[1]!Dictionary[#All],5,FALSE)</f>
        <v>FMA</v>
      </c>
      <c r="K7" s="18" t="str">
        <f>VLOOKUP(Table53335375660[[#This Row],[Structure]],[1]!Dictionary[#All],6,FALSE)</f>
        <v>3.2</v>
      </c>
      <c r="L7" s="17" t="str">
        <f>VLOOKUP(Table53335375660[[#This Row],[Structure]],[1]!VolumeType[#All],2,FALSE)</f>
        <v>CTV</v>
      </c>
      <c r="M7" s="16" t="str">
        <f>VLOOKUP(Table53335375660[[#This Row],[Structure]],[1]!VolumeType[#All],3,FALSE)</f>
        <v>Nodes</v>
      </c>
      <c r="N7" s="15" t="str">
        <f>VLOOKUP(Table53335375660[[#This Row],[Structure]],[1]!Colors[#All],3,FALSE)</f>
        <v>z Node Int iliac</v>
      </c>
      <c r="O7" s="13" t="str">
        <f>IFERROR(VLOOKUP(Table53335375660[[#This Row],[Structure]],[1]!DVH_lines[#Data],2,FALSE),"")</f>
        <v/>
      </c>
      <c r="P7" s="14" t="str">
        <f>IFERROR(VLOOKUP(Table53335375660[[#This Row],[Structure]],[1]!DVH_lines[#Data],3,FALSE),"")</f>
        <v/>
      </c>
      <c r="Q7" s="12" t="str">
        <f>IFERROR(VLOOKUP(Table53335375660[[#This Row],[Structure]],[1]!DVH_lines[#Data],4,FALSE),"")</f>
        <v/>
      </c>
      <c r="R7" s="13" t="str">
        <f>IFERROR(VLOOKUP(Table53335375660[[#This Row],[Structure]],[1]!SearchCT[#Data],2,FALSE),"")</f>
        <v/>
      </c>
      <c r="S7" s="12" t="str">
        <f>IFERROR(VLOOKUP(Table53335375660[[#This Row],[Structure]],[1]!SearchCT[#Data],3,FALSE),"")</f>
        <v/>
      </c>
    </row>
    <row r="8" spans="1:19" x14ac:dyDescent="0.25">
      <c r="A8" s="1" t="s">
        <v>30</v>
      </c>
      <c r="D8" s="63" t="s">
        <v>239</v>
      </c>
      <c r="E8" s="63" t="s">
        <v>239</v>
      </c>
      <c r="F8" s="62" t="s">
        <v>238</v>
      </c>
      <c r="H8" s="20" t="str">
        <f>VLOOKUP(Table53335375660[[#This Row],[Structure]],[1]!Dictionary[#All],3,FALSE)</f>
        <v>Common iliac lymphatic chain</v>
      </c>
      <c r="I8" s="19">
        <f>VLOOKUP(Table53335375660[[#This Row],[Structure]],[1]!Dictionary[#All],4,FALSE)</f>
        <v>224269</v>
      </c>
      <c r="J8" s="19" t="str">
        <f>VLOOKUP(Table53335375660[[#This Row],[Structure]],[1]!Dictionary[#All],5,FALSE)</f>
        <v>FMA</v>
      </c>
      <c r="K8" s="18" t="str">
        <f>VLOOKUP(Table53335375660[[#This Row],[Structure]],[1]!Dictionary[#All],6,FALSE)</f>
        <v>3.2</v>
      </c>
      <c r="L8" s="17" t="str">
        <f>VLOOKUP(Table53335375660[[#This Row],[Structure]],[1]!VolumeType[#All],2,FALSE)</f>
        <v>CTV</v>
      </c>
      <c r="M8" s="16" t="str">
        <f>VLOOKUP(Table53335375660[[#This Row],[Structure]],[1]!VolumeType[#All],3,FALSE)</f>
        <v>Nodes</v>
      </c>
      <c r="N8" s="15" t="str">
        <f>VLOOKUP(Table53335375660[[#This Row],[Structure]],[1]!Colors[#All],3,FALSE)</f>
        <v>z Node com iliac</v>
      </c>
      <c r="O8" s="13" t="str">
        <f>IFERROR(VLOOKUP(Table53335375660[[#This Row],[Structure]],[1]!DVH_lines[#Data],2,FALSE),"")</f>
        <v/>
      </c>
      <c r="P8" s="14" t="str">
        <f>IFERROR(VLOOKUP(Table53335375660[[#This Row],[Structure]],[1]!DVH_lines[#Data],3,FALSE),"")</f>
        <v/>
      </c>
      <c r="Q8" s="12" t="str">
        <f>IFERROR(VLOOKUP(Table53335375660[[#This Row],[Structure]],[1]!DVH_lines[#Data],4,FALSE),"")</f>
        <v/>
      </c>
      <c r="R8" s="13" t="str">
        <f>IFERROR(VLOOKUP(Table53335375660[[#This Row],[Structure]],[1]!SearchCT[#Data],2,FALSE),"")</f>
        <v/>
      </c>
      <c r="S8" s="12" t="str">
        <f>IFERROR(VLOOKUP(Table53335375660[[#This Row],[Structure]],[1]!SearchCT[#Data],3,FALSE),"")</f>
        <v/>
      </c>
    </row>
    <row r="9" spans="1:19" x14ac:dyDescent="0.25">
      <c r="A9" s="1" t="s">
        <v>27</v>
      </c>
      <c r="B9" s="1" t="s">
        <v>74</v>
      </c>
      <c r="D9" s="63" t="s">
        <v>237</v>
      </c>
      <c r="E9" s="63" t="s">
        <v>237</v>
      </c>
      <c r="F9" s="62" t="s">
        <v>236</v>
      </c>
      <c r="H9" s="20" t="str">
        <f>VLOOKUP(Table53335375660[[#This Row],[Structure]],[1]!Dictionary[#All],3,FALSE)</f>
        <v>Right common iliac lymphatic chain</v>
      </c>
      <c r="I9" s="19">
        <f>VLOOKUP(Table53335375660[[#This Row],[Structure]],[1]!Dictionary[#All],4,FALSE)</f>
        <v>224271</v>
      </c>
      <c r="J9" s="19" t="str">
        <f>VLOOKUP(Table53335375660[[#This Row],[Structure]],[1]!Dictionary[#All],5,FALSE)</f>
        <v>FMA</v>
      </c>
      <c r="K9" s="18" t="str">
        <f>VLOOKUP(Table53335375660[[#This Row],[Structure]],[1]!Dictionary[#All],6,FALSE)</f>
        <v>3.2</v>
      </c>
      <c r="L9" s="17" t="str">
        <f>VLOOKUP(Table53335375660[[#This Row],[Structure]],[1]!VolumeType[#All],2,FALSE)</f>
        <v>CTV</v>
      </c>
      <c r="M9" s="16" t="str">
        <f>VLOOKUP(Table53335375660[[#This Row],[Structure]],[1]!VolumeType[#All],3,FALSE)</f>
        <v>Nodes</v>
      </c>
      <c r="N9" s="15" t="str">
        <f>VLOOKUP(Table53335375660[[#This Row],[Structure]],[1]!Colors[#All],3,FALSE)</f>
        <v>zNode comiliac L</v>
      </c>
      <c r="O9" s="13" t="str">
        <f>IFERROR(VLOOKUP(Table53335375660[[#This Row],[Structure]],[1]!DVH_lines[#Data],2,FALSE),"")</f>
        <v/>
      </c>
      <c r="P9" s="14" t="str">
        <f>IFERROR(VLOOKUP(Table53335375660[[#This Row],[Structure]],[1]!DVH_lines[#Data],3,FALSE),"")</f>
        <v/>
      </c>
      <c r="Q9" s="12" t="str">
        <f>IFERROR(VLOOKUP(Table53335375660[[#This Row],[Structure]],[1]!DVH_lines[#Data],4,FALSE),"")</f>
        <v/>
      </c>
      <c r="R9" s="13" t="str">
        <f>IFERROR(VLOOKUP(Table53335375660[[#This Row],[Structure]],[1]!SearchCT[#Data],2,FALSE),"")</f>
        <v/>
      </c>
      <c r="S9" s="12" t="str">
        <f>IFERROR(VLOOKUP(Table53335375660[[#This Row],[Structure]],[1]!SearchCT[#Data],3,FALSE),"")</f>
        <v/>
      </c>
    </row>
    <row r="10" spans="1:19" x14ac:dyDescent="0.25">
      <c r="A10" s="1" t="s">
        <v>23</v>
      </c>
      <c r="B10" s="1" t="s">
        <v>22</v>
      </c>
      <c r="D10" s="63" t="s">
        <v>235</v>
      </c>
      <c r="E10" s="63" t="s">
        <v>235</v>
      </c>
      <c r="F10" s="62" t="s">
        <v>234</v>
      </c>
      <c r="H10" s="20" t="str">
        <f>VLOOKUP(Table53335375660[[#This Row],[Structure]],[1]!Dictionary[#All],3,FALSE)</f>
        <v>Left common iliac lymphatic chain</v>
      </c>
      <c r="I10" s="19">
        <f>VLOOKUP(Table53335375660[[#This Row],[Structure]],[1]!Dictionary[#All],4,FALSE)</f>
        <v>224273</v>
      </c>
      <c r="J10" s="19" t="str">
        <f>VLOOKUP(Table53335375660[[#This Row],[Structure]],[1]!Dictionary[#All],5,FALSE)</f>
        <v>FMA</v>
      </c>
      <c r="K10" s="18" t="str">
        <f>VLOOKUP(Table53335375660[[#This Row],[Structure]],[1]!Dictionary[#All],6,FALSE)</f>
        <v>3.2</v>
      </c>
      <c r="L10" s="17" t="str">
        <f>VLOOKUP(Table53335375660[[#This Row],[Structure]],[1]!VolumeType[#All],2,FALSE)</f>
        <v>CTV</v>
      </c>
      <c r="M10" s="16" t="str">
        <f>VLOOKUP(Table53335375660[[#This Row],[Structure]],[1]!VolumeType[#All],3,FALSE)</f>
        <v>Nodes</v>
      </c>
      <c r="N10" s="15" t="str">
        <f>VLOOKUP(Table53335375660[[#This Row],[Structure]],[1]!Colors[#All],3,FALSE)</f>
        <v>zNode comiliac R</v>
      </c>
      <c r="O10" s="13" t="str">
        <f>IFERROR(VLOOKUP(Table53335375660[[#This Row],[Structure]],[1]!DVH_lines[#Data],2,FALSE),"")</f>
        <v/>
      </c>
      <c r="P10" s="14" t="str">
        <f>IFERROR(VLOOKUP(Table53335375660[[#This Row],[Structure]],[1]!DVH_lines[#Data],3,FALSE),"")</f>
        <v/>
      </c>
      <c r="Q10" s="12" t="str">
        <f>IFERROR(VLOOKUP(Table53335375660[[#This Row],[Structure]],[1]!DVH_lines[#Data],4,FALSE),"")</f>
        <v/>
      </c>
      <c r="R10" s="13" t="str">
        <f>IFERROR(VLOOKUP(Table53335375660[[#This Row],[Structure]],[1]!SearchCT[#Data],2,FALSE),"")</f>
        <v/>
      </c>
      <c r="S10" s="12" t="str">
        <f>IFERROR(VLOOKUP(Table53335375660[[#This Row],[Structure]],[1]!SearchCT[#Data],3,FALSE),"")</f>
        <v/>
      </c>
    </row>
    <row r="11" spans="1:19" x14ac:dyDescent="0.25">
      <c r="A11" s="1" t="s">
        <v>19</v>
      </c>
      <c r="B11" s="1" t="s">
        <v>233</v>
      </c>
      <c r="D11" s="63" t="s">
        <v>232</v>
      </c>
      <c r="E11" s="63" t="s">
        <v>232</v>
      </c>
      <c r="F11" s="62" t="s">
        <v>231</v>
      </c>
      <c r="H11" s="20" t="str">
        <f>VLOOKUP(Table53335375660[[#This Row],[Structure]],[1]!Dictionary[#All],3,FALSE)</f>
        <v>External iliac lymphatic chain</v>
      </c>
      <c r="I11" s="19">
        <f>VLOOKUP(Table53335375660[[#This Row],[Structure]],[1]!Dictionary[#All],4,FALSE)</f>
        <v>229177</v>
      </c>
      <c r="J11" s="19" t="str">
        <f>VLOOKUP(Table53335375660[[#This Row],[Structure]],[1]!Dictionary[#All],5,FALSE)</f>
        <v>FMA</v>
      </c>
      <c r="K11" s="18" t="str">
        <f>VLOOKUP(Table53335375660[[#This Row],[Structure]],[1]!Dictionary[#All],6,FALSE)</f>
        <v>3.2</v>
      </c>
      <c r="L11" s="17" t="str">
        <f>VLOOKUP(Table53335375660[[#This Row],[Structure]],[1]!VolumeType[#All],2,FALSE)</f>
        <v>CTV</v>
      </c>
      <c r="M11" s="16" t="str">
        <f>VLOOKUP(Table53335375660[[#This Row],[Structure]],[1]!VolumeType[#All],3,FALSE)</f>
        <v>Nodes</v>
      </c>
      <c r="N11" s="15" t="str">
        <f>VLOOKUP(Table53335375660[[#This Row],[Structure]],[1]!Colors[#All],3,FALSE)</f>
        <v>z Node ext iliac</v>
      </c>
      <c r="O11" s="13" t="str">
        <f>IFERROR(VLOOKUP(Table53335375660[[#This Row],[Structure]],[1]!DVH_lines[#Data],2,FALSE),"")</f>
        <v/>
      </c>
      <c r="P11" s="14" t="str">
        <f>IFERROR(VLOOKUP(Table53335375660[[#This Row],[Structure]],[1]!DVH_lines[#Data],3,FALSE),"")</f>
        <v/>
      </c>
      <c r="Q11" s="12" t="str">
        <f>IFERROR(VLOOKUP(Table53335375660[[#This Row],[Structure]],[1]!DVH_lines[#Data],4,FALSE),"")</f>
        <v/>
      </c>
      <c r="R11" s="13" t="str">
        <f>IFERROR(VLOOKUP(Table53335375660[[#This Row],[Structure]],[1]!SearchCT[#Data],2,FALSE),"")</f>
        <v/>
      </c>
      <c r="S11" s="12" t="str">
        <f>IFERROR(VLOOKUP(Table53335375660[[#This Row],[Structure]],[1]!SearchCT[#Data],3,FALSE),"")</f>
        <v/>
      </c>
    </row>
    <row r="12" spans="1:19" x14ac:dyDescent="0.25">
      <c r="A12" s="1" t="s">
        <v>17</v>
      </c>
      <c r="B12" s="1" t="s">
        <v>16</v>
      </c>
      <c r="D12" s="63" t="s">
        <v>230</v>
      </c>
      <c r="E12" s="63" t="s">
        <v>230</v>
      </c>
      <c r="F12" s="62" t="s">
        <v>229</v>
      </c>
      <c r="H12" s="20" t="str">
        <f>VLOOKUP(Table53335375660[[#This Row],[Structure]],[1]!Dictionary[#All],3,FALSE)</f>
        <v>Right external iliac lymphatic chain</v>
      </c>
      <c r="I12" s="19">
        <f>VLOOKUP(Table53335375660[[#This Row],[Structure]],[1]!Dictionary[#All],4,FALSE)</f>
        <v>229179</v>
      </c>
      <c r="J12" s="19" t="str">
        <f>VLOOKUP(Table53335375660[[#This Row],[Structure]],[1]!Dictionary[#All],5,FALSE)</f>
        <v>FMA</v>
      </c>
      <c r="K12" s="18" t="str">
        <f>VLOOKUP(Table53335375660[[#This Row],[Structure]],[1]!Dictionary[#All],6,FALSE)</f>
        <v>3.2</v>
      </c>
      <c r="L12" s="17" t="str">
        <f>VLOOKUP(Table53335375660[[#This Row],[Structure]],[1]!VolumeType[#All],2,FALSE)</f>
        <v>CTV</v>
      </c>
      <c r="M12" s="16" t="str">
        <f>VLOOKUP(Table53335375660[[#This Row],[Structure]],[1]!VolumeType[#All],3,FALSE)</f>
        <v>Nodes</v>
      </c>
      <c r="N12" s="15" t="str">
        <f>VLOOKUP(Table53335375660[[#This Row],[Structure]],[1]!Colors[#All],3,FALSE)</f>
        <v>zNode extiliac L</v>
      </c>
      <c r="O12" s="13" t="str">
        <f>IFERROR(VLOOKUP(Table53335375660[[#This Row],[Structure]],[1]!DVH_lines[#Data],2,FALSE),"")</f>
        <v/>
      </c>
      <c r="P12" s="14" t="str">
        <f>IFERROR(VLOOKUP(Table53335375660[[#This Row],[Structure]],[1]!DVH_lines[#Data],3,FALSE),"")</f>
        <v/>
      </c>
      <c r="Q12" s="12" t="str">
        <f>IFERROR(VLOOKUP(Table53335375660[[#This Row],[Structure]],[1]!DVH_lines[#Data],4,FALSE),"")</f>
        <v/>
      </c>
      <c r="R12" s="13" t="str">
        <f>IFERROR(VLOOKUP(Table53335375660[[#This Row],[Structure]],[1]!SearchCT[#Data],2,FALSE),"")</f>
        <v/>
      </c>
      <c r="S12" s="12" t="str">
        <f>IFERROR(VLOOKUP(Table53335375660[[#This Row],[Structure]],[1]!SearchCT[#Data],3,FALSE),"")</f>
        <v/>
      </c>
    </row>
    <row r="13" spans="1:19" ht="15.75" thickBot="1" x14ac:dyDescent="0.3">
      <c r="A13" s="1" t="s">
        <v>14</v>
      </c>
      <c r="B13" s="1" t="s">
        <v>13</v>
      </c>
      <c r="D13" s="63" t="s">
        <v>228</v>
      </c>
      <c r="E13" s="63" t="s">
        <v>228</v>
      </c>
      <c r="F13" s="62" t="s">
        <v>227</v>
      </c>
      <c r="H13" s="10" t="str">
        <f>VLOOKUP(Table53335375660[[#This Row],[Structure]],[1]!Dictionary[#All],3,FALSE)</f>
        <v>Left external iliac lymphatic chain</v>
      </c>
      <c r="I13" s="9">
        <f>VLOOKUP(Table53335375660[[#This Row],[Structure]],[1]!Dictionary[#All],4,FALSE)</f>
        <v>229181</v>
      </c>
      <c r="J13" s="9" t="str">
        <f>VLOOKUP(Table53335375660[[#This Row],[Structure]],[1]!Dictionary[#All],5,FALSE)</f>
        <v>FMA</v>
      </c>
      <c r="K13" s="8" t="str">
        <f>VLOOKUP(Table53335375660[[#This Row],[Structure]],[1]!Dictionary[#All],6,FALSE)</f>
        <v>3.2</v>
      </c>
      <c r="L13" s="7" t="str">
        <f>VLOOKUP(Table53335375660[[#This Row],[Structure]],[1]!VolumeType[#All],2,FALSE)</f>
        <v>CTV</v>
      </c>
      <c r="M13" s="6" t="str">
        <f>VLOOKUP(Table53335375660[[#This Row],[Structure]],[1]!VolumeType[#All],3,FALSE)</f>
        <v>Nodes</v>
      </c>
      <c r="N13" s="5" t="str">
        <f>VLOOKUP(Table53335375660[[#This Row],[Structure]],[1]!Colors[#All],3,FALSE)</f>
        <v>zNode extiliac R</v>
      </c>
      <c r="O13" s="3" t="str">
        <f>IFERROR(VLOOKUP(Table53335375660[[#This Row],[Structure]],[1]!DVH_lines[#Data],2,FALSE),"")</f>
        <v/>
      </c>
      <c r="P13" s="4" t="str">
        <f>IFERROR(VLOOKUP(Table53335375660[[#This Row],[Structure]],[1]!DVH_lines[#Data],3,FALSE),"")</f>
        <v/>
      </c>
      <c r="Q13" s="2" t="str">
        <f>IFERROR(VLOOKUP(Table53335375660[[#This Row],[Structure]],[1]!DVH_lines[#Data],4,FALSE),"")</f>
        <v/>
      </c>
      <c r="R13" s="3" t="str">
        <f>IFERROR(VLOOKUP(Table53335375660[[#This Row],[Structure]],[1]!SearchCT[#Data],2,FALSE),"")</f>
        <v/>
      </c>
      <c r="S13" s="2" t="str">
        <f>IFERROR(VLOOKUP(Table53335375660[[#This Row],[Structure]],[1]!SearchCT[#Data],3,FALSE),"")</f>
        <v/>
      </c>
    </row>
    <row r="14" spans="1:19" x14ac:dyDescent="0.25">
      <c r="A14" s="26"/>
      <c r="B14" s="26"/>
    </row>
    <row r="17" spans="4:6" x14ac:dyDescent="0.25">
      <c r="F17"/>
    </row>
    <row r="18" spans="4:6" x14ac:dyDescent="0.25">
      <c r="F18"/>
    </row>
    <row r="19" spans="4:6" x14ac:dyDescent="0.25">
      <c r="F19"/>
    </row>
    <row r="20" spans="4:6" x14ac:dyDescent="0.25">
      <c r="F20"/>
    </row>
    <row r="21" spans="4:6" x14ac:dyDescent="0.25">
      <c r="F21"/>
    </row>
    <row r="22" spans="4:6" x14ac:dyDescent="0.25">
      <c r="F22"/>
    </row>
    <row r="23" spans="4:6" x14ac:dyDescent="0.25">
      <c r="F23"/>
    </row>
    <row r="24" spans="4:6" x14ac:dyDescent="0.25">
      <c r="F24"/>
    </row>
    <row r="25" spans="4:6" x14ac:dyDescent="0.25">
      <c r="F25"/>
    </row>
    <row r="26" spans="4:6" x14ac:dyDescent="0.25">
      <c r="F26"/>
    </row>
    <row r="27" spans="4:6" x14ac:dyDescent="0.25">
      <c r="D27"/>
      <c r="F27"/>
    </row>
    <row r="28" spans="4:6" x14ac:dyDescent="0.25">
      <c r="D28"/>
      <c r="F28"/>
    </row>
    <row r="29" spans="4:6" x14ac:dyDescent="0.25">
      <c r="D29"/>
      <c r="F29"/>
    </row>
    <row r="30" spans="4:6" x14ac:dyDescent="0.25">
      <c r="F30"/>
    </row>
    <row r="31" spans="4:6" x14ac:dyDescent="0.25">
      <c r="F31"/>
    </row>
    <row r="32" spans="4: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4"/>
  <sheetViews>
    <sheetView workbookViewId="0">
      <selection activeCell="B12" sqref="B12"/>
    </sheetView>
  </sheetViews>
  <sheetFormatPr defaultRowHeight="15" x14ac:dyDescent="0.25"/>
  <cols>
    <col min="1" max="1" width="14.5703125" style="1" bestFit="1" customWidth="1"/>
    <col min="2" max="2" width="33.42578125" style="1" bestFit="1" customWidth="1"/>
    <col min="3" max="3" width="5.42578125" style="1" customWidth="1"/>
    <col min="4" max="5" width="15.7109375" style="1" bestFit="1" customWidth="1"/>
    <col min="6" max="6" width="32.140625" style="1" bestFit="1" customWidth="1"/>
    <col min="7" max="7" width="5.85546875" style="1" bestFit="1" customWidth="1"/>
    <col min="8" max="8" width="21.7109375" style="1" bestFit="1" customWidth="1"/>
    <col min="9" max="9" width="7" style="1" bestFit="1" customWidth="1"/>
    <col min="10" max="10" width="13.5703125" style="1" bestFit="1" customWidth="1"/>
    <col min="11" max="11" width="21" style="1" bestFit="1" customWidth="1"/>
    <col min="12" max="12" width="9.7109375" style="1" bestFit="1" customWidth="1"/>
    <col min="13" max="13" width="13.28515625" style="1" bestFit="1" customWidth="1"/>
    <col min="14" max="14" width="16.5703125" style="1" bestFit="1" customWidth="1"/>
    <col min="15" max="15" width="14.42578125" style="1" bestFit="1" customWidth="1"/>
    <col min="16" max="16" width="14.140625" style="1" bestFit="1" customWidth="1"/>
    <col min="17" max="17" width="15.42578125" style="1" bestFit="1" customWidth="1"/>
    <col min="18" max="18" width="14" style="1" bestFit="1" customWidth="1"/>
    <col min="19" max="19" width="14.42578125" style="1" bestFit="1" customWidth="1"/>
    <col min="20" max="16384" width="9.140625" style="1"/>
  </cols>
  <sheetData>
    <row r="1" spans="1:19" ht="21.75" thickBot="1" x14ac:dyDescent="0.4">
      <c r="A1" s="71" t="s">
        <v>373</v>
      </c>
      <c r="B1" s="71"/>
      <c r="C1" s="43"/>
      <c r="D1" s="71" t="s">
        <v>64</v>
      </c>
      <c r="E1" s="71"/>
      <c r="F1" s="71"/>
      <c r="H1" s="72" t="s">
        <v>63</v>
      </c>
      <c r="I1" s="73"/>
      <c r="J1" s="73"/>
      <c r="K1" s="74"/>
      <c r="L1" s="72" t="s">
        <v>62</v>
      </c>
      <c r="M1" s="73"/>
      <c r="N1" s="42" t="s">
        <v>61</v>
      </c>
      <c r="O1" s="72" t="s">
        <v>60</v>
      </c>
      <c r="P1" s="73"/>
      <c r="Q1" s="74"/>
      <c r="R1" s="72" t="s">
        <v>59</v>
      </c>
      <c r="S1" s="74"/>
    </row>
    <row r="2" spans="1:19" ht="15.75" x14ac:dyDescent="0.25">
      <c r="A2" s="40" t="s">
        <v>58</v>
      </c>
      <c r="B2" s="41" t="s">
        <v>57</v>
      </c>
      <c r="C2" s="31"/>
      <c r="D2" s="40" t="s">
        <v>39</v>
      </c>
      <c r="E2" s="39" t="s">
        <v>56</v>
      </c>
      <c r="F2" s="38" t="s">
        <v>55</v>
      </c>
      <c r="H2" s="37" t="s">
        <v>54</v>
      </c>
      <c r="I2" s="35" t="s">
        <v>53</v>
      </c>
      <c r="J2" s="35" t="s">
        <v>52</v>
      </c>
      <c r="K2" s="33" t="s">
        <v>51</v>
      </c>
      <c r="L2" s="34" t="s">
        <v>50</v>
      </c>
      <c r="M2" s="35" t="s">
        <v>49</v>
      </c>
      <c r="N2" s="36" t="s">
        <v>48</v>
      </c>
      <c r="O2" s="34" t="s">
        <v>47</v>
      </c>
      <c r="P2" s="35" t="s">
        <v>46</v>
      </c>
      <c r="Q2" s="33" t="s">
        <v>45</v>
      </c>
      <c r="R2" s="34" t="s">
        <v>44</v>
      </c>
      <c r="S2" s="33" t="s">
        <v>43</v>
      </c>
    </row>
    <row r="3" spans="1:19" x14ac:dyDescent="0.25">
      <c r="A3" s="1" t="s">
        <v>42</v>
      </c>
      <c r="B3" s="1" t="s">
        <v>373</v>
      </c>
      <c r="C3" s="31"/>
      <c r="D3" t="s">
        <v>374</v>
      </c>
      <c r="E3" t="s">
        <v>374</v>
      </c>
      <c r="F3" t="s">
        <v>375</v>
      </c>
      <c r="H3" s="20" t="str">
        <f>VLOOKUP(Table53335375654[[#This Row],[Structure]],[1]!Dictionary[#All],3,FALSE)</f>
        <v>Right femur</v>
      </c>
      <c r="I3" s="19">
        <f>VLOOKUP(Table53335375654[[#This Row],[Structure]],[1]!Dictionary[#All],4,FALSE)</f>
        <v>24474</v>
      </c>
      <c r="J3" s="19" t="str">
        <f>VLOOKUP(Table53335375654[[#This Row],[Structure]],[1]!Dictionary[#All],5,FALSE)</f>
        <v>FMA</v>
      </c>
      <c r="K3" s="18" t="str">
        <f>VLOOKUP(Table53335375654[[#This Row],[Structure]],[1]!Dictionary[#All],6,FALSE)</f>
        <v>3.2</v>
      </c>
      <c r="L3" s="17" t="str">
        <f>VLOOKUP(Table53335375654[[#This Row],[Structure]],[1]!VolumeType[#All],2,FALSE)</f>
        <v>Organ</v>
      </c>
      <c r="M3" s="16" t="str">
        <f>VLOOKUP(Table53335375654[[#This Row],[Structure]],[1]!VolumeType[#All],3,FALSE)</f>
        <v>Organ</v>
      </c>
      <c r="N3" s="15" t="str">
        <f>VLOOKUP(Table53335375654[[#This Row],[Structure]],[1]!Colors[#All],3,FALSE)</f>
        <v>z Bone Rendering</v>
      </c>
      <c r="O3" s="13" t="str">
        <f>IFERROR(VLOOKUP(Table53335375654[[#This Row],[Structure]],[1]!DVH_lines[#Data],2,FALSE),"")</f>
        <v/>
      </c>
      <c r="P3" s="14" t="str">
        <f>IFERROR(VLOOKUP(Table53335375654[[#This Row],[Structure]],[1]!DVH_lines[#Data],3,FALSE),"")</f>
        <v/>
      </c>
      <c r="Q3" s="12" t="str">
        <f>IFERROR(VLOOKUP(Table53335375654[[#This Row],[Structure]],[1]!DVH_lines[#Data],4,FALSE),"")</f>
        <v/>
      </c>
      <c r="R3" s="13">
        <f>IFERROR(VLOOKUP(Table53335375654[[#This Row],[Structure]],[1]!SearchCT[#Data],2,FALSE),"")</f>
        <v>200</v>
      </c>
      <c r="S3" s="12">
        <f>IFERROR(VLOOKUP(Table53335375654[[#This Row],[Structure]],[1]!SearchCT[#Data],3,FALSE),"")</f>
        <v>2500</v>
      </c>
    </row>
    <row r="4" spans="1:19" x14ac:dyDescent="0.25">
      <c r="A4" s="1" t="s">
        <v>40</v>
      </c>
      <c r="B4" s="1" t="s">
        <v>39</v>
      </c>
      <c r="C4" s="31"/>
      <c r="D4" t="s">
        <v>376</v>
      </c>
      <c r="E4" t="s">
        <v>376</v>
      </c>
      <c r="F4" t="s">
        <v>377</v>
      </c>
      <c r="H4" s="20" t="str">
        <f>VLOOKUP(Table53335375654[[#This Row],[Structure]],[1]!Dictionary[#All],3,FALSE)</f>
        <v>Left femur</v>
      </c>
      <c r="I4" s="19">
        <f>VLOOKUP(Table53335375654[[#This Row],[Structure]],[1]!Dictionary[#All],4,FALSE)</f>
        <v>24475</v>
      </c>
      <c r="J4" s="19" t="str">
        <f>VLOOKUP(Table53335375654[[#This Row],[Structure]],[1]!Dictionary[#All],5,FALSE)</f>
        <v>FMA</v>
      </c>
      <c r="K4" s="18" t="str">
        <f>VLOOKUP(Table53335375654[[#This Row],[Structure]],[1]!Dictionary[#All],6,FALSE)</f>
        <v>3.2</v>
      </c>
      <c r="L4" s="17" t="str">
        <f>VLOOKUP(Table53335375654[[#This Row],[Structure]],[1]!VolumeType[#All],2,FALSE)</f>
        <v>Organ</v>
      </c>
      <c r="M4" s="16" t="str">
        <f>VLOOKUP(Table53335375654[[#This Row],[Structure]],[1]!VolumeType[#All],3,FALSE)</f>
        <v>Organ</v>
      </c>
      <c r="N4" s="15" t="str">
        <f>VLOOKUP(Table53335375654[[#This Row],[Structure]],[1]!Colors[#All],3,FALSE)</f>
        <v>z Bone Rendering</v>
      </c>
      <c r="O4" s="13" t="str">
        <f>IFERROR(VLOOKUP(Table53335375654[[#This Row],[Structure]],[1]!DVH_lines[#Data],2,FALSE),"")</f>
        <v/>
      </c>
      <c r="P4" s="14" t="str">
        <f>IFERROR(VLOOKUP(Table53335375654[[#This Row],[Structure]],[1]!DVH_lines[#Data],3,FALSE),"")</f>
        <v/>
      </c>
      <c r="Q4" s="12" t="str">
        <f>IFERROR(VLOOKUP(Table53335375654[[#This Row],[Structure]],[1]!DVH_lines[#Data],4,FALSE),"")</f>
        <v/>
      </c>
      <c r="R4" s="13">
        <f>IFERROR(VLOOKUP(Table53335375654[[#This Row],[Structure]],[1]!SearchCT[#Data],2,FALSE),"")</f>
        <v>200</v>
      </c>
      <c r="S4" s="12">
        <f>IFERROR(VLOOKUP(Table53335375654[[#This Row],[Structure]],[1]!SearchCT[#Data],3,FALSE),"")</f>
        <v>2500</v>
      </c>
    </row>
    <row r="5" spans="1:19" x14ac:dyDescent="0.25">
      <c r="A5" s="1" t="s">
        <v>37</v>
      </c>
      <c r="B5" s="1" t="s">
        <v>386</v>
      </c>
      <c r="C5" s="31"/>
      <c r="D5" t="s">
        <v>378</v>
      </c>
      <c r="E5" t="s">
        <v>378</v>
      </c>
      <c r="F5" t="s">
        <v>379</v>
      </c>
      <c r="H5" s="20" t="str">
        <f>VLOOKUP(Table53335375654[[#This Row],[Structure]],[1]!Dictionary[#All],3,FALSE)</f>
        <v>Right tibia</v>
      </c>
      <c r="I5" s="19">
        <f>VLOOKUP(Table53335375654[[#This Row],[Structure]],[1]!Dictionary[#All],4,FALSE)</f>
        <v>24477</v>
      </c>
      <c r="J5" s="19" t="str">
        <f>VLOOKUP(Table53335375654[[#This Row],[Structure]],[1]!Dictionary[#All],5,FALSE)</f>
        <v>FMA</v>
      </c>
      <c r="K5" s="18" t="str">
        <f>VLOOKUP(Table53335375654[[#This Row],[Structure]],[1]!Dictionary[#All],6,FALSE)</f>
        <v>3.2</v>
      </c>
      <c r="L5" s="17" t="str">
        <f>VLOOKUP(Table53335375654[[#This Row],[Structure]],[1]!VolumeType[#All],2,FALSE)</f>
        <v>Organ</v>
      </c>
      <c r="M5" s="16" t="str">
        <f>VLOOKUP(Table53335375654[[#This Row],[Structure]],[1]!VolumeType[#All],3,FALSE)</f>
        <v>Organ</v>
      </c>
      <c r="N5" s="15" t="str">
        <f>VLOOKUP(Table53335375654[[#This Row],[Structure]],[1]!Colors[#All],3,FALSE)</f>
        <v>z Bone Rendering</v>
      </c>
      <c r="O5" s="13" t="str">
        <f>IFERROR(VLOOKUP(Table53335375654[[#This Row],[Structure]],[1]!DVH_lines[#Data],2,FALSE),"")</f>
        <v/>
      </c>
      <c r="P5" s="14" t="str">
        <f>IFERROR(VLOOKUP(Table53335375654[[#This Row],[Structure]],[1]!DVH_lines[#Data],3,FALSE),"")</f>
        <v/>
      </c>
      <c r="Q5" s="12" t="str">
        <f>IFERROR(VLOOKUP(Table53335375654[[#This Row],[Structure]],[1]!DVH_lines[#Data],4,FALSE),"")</f>
        <v/>
      </c>
      <c r="R5" s="13">
        <f>IFERROR(VLOOKUP(Table53335375654[[#This Row],[Structure]],[1]!SearchCT[#Data],2,FALSE),"")</f>
        <v>200</v>
      </c>
      <c r="S5" s="12">
        <f>IFERROR(VLOOKUP(Table53335375654[[#This Row],[Structure]],[1]!SearchCT[#Data],3,FALSE),"")</f>
        <v>2500</v>
      </c>
    </row>
    <row r="6" spans="1:19" x14ac:dyDescent="0.25">
      <c r="A6" s="1" t="s">
        <v>35</v>
      </c>
      <c r="B6" s="1">
        <v>3</v>
      </c>
      <c r="C6" s="31"/>
      <c r="D6" t="s">
        <v>380</v>
      </c>
      <c r="E6" t="s">
        <v>380</v>
      </c>
      <c r="F6" t="s">
        <v>381</v>
      </c>
      <c r="H6" s="20" t="str">
        <f>VLOOKUP(Table53335375654[[#This Row],[Structure]],[1]!Dictionary[#All],3,FALSE)</f>
        <v>Left tibia</v>
      </c>
      <c r="I6" s="19">
        <f>VLOOKUP(Table53335375654[[#This Row],[Structure]],[1]!Dictionary[#All],4,FALSE)</f>
        <v>24478</v>
      </c>
      <c r="J6" s="19" t="str">
        <f>VLOOKUP(Table53335375654[[#This Row],[Structure]],[1]!Dictionary[#All],5,FALSE)</f>
        <v>FMA</v>
      </c>
      <c r="K6" s="18" t="str">
        <f>VLOOKUP(Table53335375654[[#This Row],[Structure]],[1]!Dictionary[#All],6,FALSE)</f>
        <v>3.2</v>
      </c>
      <c r="L6" s="17" t="str">
        <f>VLOOKUP(Table53335375654[[#This Row],[Structure]],[1]!VolumeType[#All],2,FALSE)</f>
        <v>Organ</v>
      </c>
      <c r="M6" s="16" t="str">
        <f>VLOOKUP(Table53335375654[[#This Row],[Structure]],[1]!VolumeType[#All],3,FALSE)</f>
        <v>Organ</v>
      </c>
      <c r="N6" s="15" t="str">
        <f>VLOOKUP(Table53335375654[[#This Row],[Structure]],[1]!Colors[#All],3,FALSE)</f>
        <v>z Bone Rendering</v>
      </c>
      <c r="O6" s="13" t="str">
        <f>IFERROR(VLOOKUP(Table53335375654[[#This Row],[Structure]],[1]!DVH_lines[#Data],2,FALSE),"")</f>
        <v/>
      </c>
      <c r="P6" s="14" t="str">
        <f>IFERROR(VLOOKUP(Table53335375654[[#This Row],[Structure]],[1]!DVH_lines[#Data],3,FALSE),"")</f>
        <v/>
      </c>
      <c r="Q6" s="12" t="str">
        <f>IFERROR(VLOOKUP(Table53335375654[[#This Row],[Structure]],[1]!DVH_lines[#Data],4,FALSE),"")</f>
        <v/>
      </c>
      <c r="R6" s="13">
        <f>IFERROR(VLOOKUP(Table53335375654[[#This Row],[Structure]],[1]!SearchCT[#Data],2,FALSE),"")</f>
        <v>200</v>
      </c>
      <c r="S6" s="12">
        <f>IFERROR(VLOOKUP(Table53335375654[[#This Row],[Structure]],[1]!SearchCT[#Data],3,FALSE),"")</f>
        <v>2500</v>
      </c>
    </row>
    <row r="7" spans="1:19" x14ac:dyDescent="0.25">
      <c r="A7" s="1" t="s">
        <v>33</v>
      </c>
      <c r="D7" t="s">
        <v>382</v>
      </c>
      <c r="E7" t="s">
        <v>382</v>
      </c>
      <c r="F7" t="s">
        <v>383</v>
      </c>
      <c r="H7" s="20" t="str">
        <f>VLOOKUP(Table53335375654[[#This Row],[Structure]],[1]!Dictionary[#All],3,FALSE)</f>
        <v>Right fibula</v>
      </c>
      <c r="I7" s="19">
        <f>VLOOKUP(Table53335375654[[#This Row],[Structure]],[1]!Dictionary[#All],4,FALSE)</f>
        <v>24480</v>
      </c>
      <c r="J7" s="19" t="str">
        <f>VLOOKUP(Table53335375654[[#This Row],[Structure]],[1]!Dictionary[#All],5,FALSE)</f>
        <v>FMA</v>
      </c>
      <c r="K7" s="18" t="str">
        <f>VLOOKUP(Table53335375654[[#This Row],[Structure]],[1]!Dictionary[#All],6,FALSE)</f>
        <v>3.2</v>
      </c>
      <c r="L7" s="17" t="str">
        <f>VLOOKUP(Table53335375654[[#This Row],[Structure]],[1]!VolumeType[#All],2,FALSE)</f>
        <v>Organ</v>
      </c>
      <c r="M7" s="16" t="str">
        <f>VLOOKUP(Table53335375654[[#This Row],[Structure]],[1]!VolumeType[#All],3,FALSE)</f>
        <v>Organ</v>
      </c>
      <c r="N7" s="15" t="str">
        <f>VLOOKUP(Table53335375654[[#This Row],[Structure]],[1]!Colors[#All],3,FALSE)</f>
        <v>z Bone Rendering</v>
      </c>
      <c r="O7" s="13" t="str">
        <f>IFERROR(VLOOKUP(Table53335375654[[#This Row],[Structure]],[1]!DVH_lines[#Data],2,FALSE),"")</f>
        <v/>
      </c>
      <c r="P7" s="14" t="str">
        <f>IFERROR(VLOOKUP(Table53335375654[[#This Row],[Structure]],[1]!DVH_lines[#Data],3,FALSE),"")</f>
        <v/>
      </c>
      <c r="Q7" s="12" t="str">
        <f>IFERROR(VLOOKUP(Table53335375654[[#This Row],[Structure]],[1]!DVH_lines[#Data],4,FALSE),"")</f>
        <v/>
      </c>
      <c r="R7" s="13">
        <f>IFERROR(VLOOKUP(Table53335375654[[#This Row],[Structure]],[1]!SearchCT[#Data],2,FALSE),"")</f>
        <v>200</v>
      </c>
      <c r="S7" s="12">
        <f>IFERROR(VLOOKUP(Table53335375654[[#This Row],[Structure]],[1]!SearchCT[#Data],3,FALSE),"")</f>
        <v>2500</v>
      </c>
    </row>
    <row r="8" spans="1:19" x14ac:dyDescent="0.25">
      <c r="A8" s="1" t="s">
        <v>30</v>
      </c>
      <c r="D8" t="s">
        <v>384</v>
      </c>
      <c r="E8" t="s">
        <v>384</v>
      </c>
      <c r="F8" t="s">
        <v>385</v>
      </c>
      <c r="H8" s="20" t="str">
        <f>VLOOKUP(Table53335375654[[#This Row],[Structure]],[1]!Dictionary[#All],3,FALSE)</f>
        <v>Left fibula</v>
      </c>
      <c r="I8" s="19">
        <f>VLOOKUP(Table53335375654[[#This Row],[Structure]],[1]!Dictionary[#All],4,FALSE)</f>
        <v>24481</v>
      </c>
      <c r="J8" s="19" t="str">
        <f>VLOOKUP(Table53335375654[[#This Row],[Structure]],[1]!Dictionary[#All],5,FALSE)</f>
        <v>FMA</v>
      </c>
      <c r="K8" s="18" t="str">
        <f>VLOOKUP(Table53335375654[[#This Row],[Structure]],[1]!Dictionary[#All],6,FALSE)</f>
        <v>3.2</v>
      </c>
      <c r="L8" s="17" t="str">
        <f>VLOOKUP(Table53335375654[[#This Row],[Structure]],[1]!VolumeType[#All],2,FALSE)</f>
        <v>Organ</v>
      </c>
      <c r="M8" s="16" t="str">
        <f>VLOOKUP(Table53335375654[[#This Row],[Structure]],[1]!VolumeType[#All],3,FALSE)</f>
        <v>Organ</v>
      </c>
      <c r="N8" s="15" t="str">
        <f>VLOOKUP(Table53335375654[[#This Row],[Structure]],[1]!Colors[#All],3,FALSE)</f>
        <v>z Bone Rendering</v>
      </c>
      <c r="O8" s="13" t="str">
        <f>IFERROR(VLOOKUP(Table53335375654[[#This Row],[Structure]],[1]!DVH_lines[#Data],2,FALSE),"")</f>
        <v/>
      </c>
      <c r="P8" s="14" t="str">
        <f>IFERROR(VLOOKUP(Table53335375654[[#This Row],[Structure]],[1]!DVH_lines[#Data],3,FALSE),"")</f>
        <v/>
      </c>
      <c r="Q8" s="12" t="str">
        <f>IFERROR(VLOOKUP(Table53335375654[[#This Row],[Structure]],[1]!DVH_lines[#Data],4,FALSE),"")</f>
        <v/>
      </c>
      <c r="R8" s="13">
        <f>IFERROR(VLOOKUP(Table53335375654[[#This Row],[Structure]],[1]!SearchCT[#Data],2,FALSE),"")</f>
        <v>200</v>
      </c>
      <c r="S8" s="12">
        <f>IFERROR(VLOOKUP(Table53335375654[[#This Row],[Structure]],[1]!SearchCT[#Data],3,FALSE),"")</f>
        <v>2500</v>
      </c>
    </row>
    <row r="9" spans="1:19" x14ac:dyDescent="0.25">
      <c r="A9" s="1" t="s">
        <v>27</v>
      </c>
      <c r="B9" s="1" t="s">
        <v>26</v>
      </c>
      <c r="D9" t="s">
        <v>362</v>
      </c>
      <c r="E9" t="s">
        <v>362</v>
      </c>
      <c r="F9" s="1" t="s">
        <v>363</v>
      </c>
      <c r="H9" s="20" t="str">
        <f>VLOOKUP(Table53335375654[[#This Row],[Structure]],[1]!Dictionary[#All],3,FALSE)</f>
        <v>Left humerus</v>
      </c>
      <c r="I9" s="19">
        <f>VLOOKUP(Table53335375654[[#This Row],[Structure]],[1]!Dictionary[#All],4,FALSE)</f>
        <v>23131</v>
      </c>
      <c r="J9" s="19" t="str">
        <f>VLOOKUP(Table53335375654[[#This Row],[Structure]],[1]!Dictionary[#All],5,FALSE)</f>
        <v>FMA</v>
      </c>
      <c r="K9" s="18" t="str">
        <f>VLOOKUP(Table53335375654[[#This Row],[Structure]],[1]!Dictionary[#All],6,FALSE)</f>
        <v>3.2</v>
      </c>
      <c r="L9" s="17" t="str">
        <f>VLOOKUP(Table53335375654[[#This Row],[Structure]],[1]!VolumeType[#All],2,FALSE)</f>
        <v>Organ</v>
      </c>
      <c r="M9" s="16" t="str">
        <f>VLOOKUP(Table53335375654[[#This Row],[Structure]],[1]!VolumeType[#All],3,FALSE)</f>
        <v>Organ</v>
      </c>
      <c r="N9" s="15" t="str">
        <f>VLOOKUP(Table53335375654[[#This Row],[Structure]],[1]!Colors[#All],3,FALSE)</f>
        <v>z Bone Rendering</v>
      </c>
      <c r="O9" s="13" t="str">
        <f>IFERROR(VLOOKUP(Table53335375654[[#This Row],[Structure]],[1]!DVH_lines[#Data],2,FALSE),"")</f>
        <v/>
      </c>
      <c r="P9" s="14" t="str">
        <f>IFERROR(VLOOKUP(Table53335375654[[#This Row],[Structure]],[1]!DVH_lines[#Data],3,FALSE),"")</f>
        <v/>
      </c>
      <c r="Q9" s="12" t="str">
        <f>IFERROR(VLOOKUP(Table53335375654[[#This Row],[Structure]],[1]!DVH_lines[#Data],4,FALSE),"")</f>
        <v/>
      </c>
      <c r="R9" s="13">
        <f>IFERROR(VLOOKUP(Table53335375654[[#This Row],[Structure]],[1]!SearchCT[#Data],2,FALSE),"")</f>
        <v>200</v>
      </c>
      <c r="S9" s="12">
        <f>IFERROR(VLOOKUP(Table53335375654[[#This Row],[Structure]],[1]!SearchCT[#Data],3,FALSE),"")</f>
        <v>2500</v>
      </c>
    </row>
    <row r="10" spans="1:19" ht="15.75" thickBot="1" x14ac:dyDescent="0.3">
      <c r="A10" s="1" t="s">
        <v>23</v>
      </c>
      <c r="B10" s="1" t="s">
        <v>22</v>
      </c>
      <c r="D10" t="s">
        <v>360</v>
      </c>
      <c r="E10" t="s">
        <v>360</v>
      </c>
      <c r="F10" s="1" t="s">
        <v>361</v>
      </c>
      <c r="H10" s="10" t="str">
        <f>VLOOKUP(Table53335375654[[#This Row],[Structure]],[1]!Dictionary[#All],3,FALSE)</f>
        <v>Right humerus</v>
      </c>
      <c r="I10" s="9">
        <f>VLOOKUP(Table53335375654[[#This Row],[Structure]],[1]!Dictionary[#All],4,FALSE)</f>
        <v>23130</v>
      </c>
      <c r="J10" s="9" t="str">
        <f>VLOOKUP(Table53335375654[[#This Row],[Structure]],[1]!Dictionary[#All],5,FALSE)</f>
        <v>FMA</v>
      </c>
      <c r="K10" s="8" t="str">
        <f>VLOOKUP(Table53335375654[[#This Row],[Structure]],[1]!Dictionary[#All],6,FALSE)</f>
        <v>3.2</v>
      </c>
      <c r="L10" s="7" t="str">
        <f>VLOOKUP(Table53335375654[[#This Row],[Structure]],[1]!VolumeType[#All],2,FALSE)</f>
        <v>Organ</v>
      </c>
      <c r="M10" s="6" t="str">
        <f>VLOOKUP(Table53335375654[[#This Row],[Structure]],[1]!VolumeType[#All],3,FALSE)</f>
        <v>Organ</v>
      </c>
      <c r="N10" s="5" t="str">
        <f>VLOOKUP(Table53335375654[[#This Row],[Structure]],[1]!Colors[#All],3,FALSE)</f>
        <v>z Bone Rendering</v>
      </c>
      <c r="O10" s="3" t="str">
        <f>IFERROR(VLOOKUP(Table53335375654[[#This Row],[Structure]],[1]!DVH_lines[#Data],2,FALSE),"")</f>
        <v/>
      </c>
      <c r="P10" s="4" t="str">
        <f>IFERROR(VLOOKUP(Table53335375654[[#This Row],[Structure]],[1]!DVH_lines[#Data],3,FALSE),"")</f>
        <v/>
      </c>
      <c r="Q10" s="2" t="str">
        <f>IFERROR(VLOOKUP(Table53335375654[[#This Row],[Structure]],[1]!DVH_lines[#Data],4,FALSE),"")</f>
        <v/>
      </c>
      <c r="R10" s="3">
        <f>IFERROR(VLOOKUP(Table53335375654[[#This Row],[Structure]],[1]!SearchCT[#Data],2,FALSE),"")</f>
        <v>200</v>
      </c>
      <c r="S10" s="2">
        <f>IFERROR(VLOOKUP(Table53335375654[[#This Row],[Structure]],[1]!SearchCT[#Data],3,FALSE),"")</f>
        <v>2500</v>
      </c>
    </row>
    <row r="11" spans="1:19" x14ac:dyDescent="0.25">
      <c r="A11" s="1" t="s">
        <v>19</v>
      </c>
      <c r="B11" s="1" t="s">
        <v>387</v>
      </c>
    </row>
    <row r="12" spans="1:19" x14ac:dyDescent="0.25">
      <c r="A12" s="1" t="s">
        <v>17</v>
      </c>
      <c r="B12" s="1" t="s">
        <v>16</v>
      </c>
    </row>
    <row r="13" spans="1:19" x14ac:dyDescent="0.25">
      <c r="A13" s="1" t="s">
        <v>14</v>
      </c>
      <c r="B13" s="1" t="s">
        <v>13</v>
      </c>
      <c r="F13"/>
    </row>
    <row r="14" spans="1:19" x14ac:dyDescent="0.25">
      <c r="A14" s="26"/>
      <c r="B14" s="26"/>
      <c r="D14"/>
      <c r="E14"/>
      <c r="F14"/>
    </row>
    <row r="15" spans="1:19" x14ac:dyDescent="0.25">
      <c r="D15"/>
      <c r="E15"/>
      <c r="F15"/>
    </row>
    <row r="16" spans="1:19" x14ac:dyDescent="0.25">
      <c r="C16"/>
      <c r="D16"/>
      <c r="E16"/>
      <c r="F16"/>
      <c r="G16"/>
    </row>
    <row r="17" spans="3:10" x14ac:dyDescent="0.25">
      <c r="C17"/>
      <c r="D17"/>
      <c r="E17"/>
      <c r="F17"/>
      <c r="G17"/>
    </row>
    <row r="18" spans="3:10" x14ac:dyDescent="0.25">
      <c r="C18"/>
      <c r="D18"/>
      <c r="E18"/>
      <c r="F18"/>
      <c r="G18"/>
    </row>
    <row r="19" spans="3:10" x14ac:dyDescent="0.25">
      <c r="C19"/>
      <c r="D19"/>
      <c r="E19"/>
      <c r="F19"/>
      <c r="G19"/>
    </row>
    <row r="20" spans="3:10" x14ac:dyDescent="0.25">
      <c r="C20"/>
      <c r="D20"/>
      <c r="E20"/>
      <c r="F20"/>
      <c r="G20"/>
    </row>
    <row r="21" spans="3:10" x14ac:dyDescent="0.25">
      <c r="C21"/>
      <c r="D21"/>
      <c r="E21"/>
      <c r="F21"/>
      <c r="G21"/>
    </row>
    <row r="22" spans="3:10" x14ac:dyDescent="0.25">
      <c r="C22"/>
      <c r="D22"/>
      <c r="E22"/>
      <c r="F22"/>
      <c r="G22"/>
      <c r="H22"/>
      <c r="I22"/>
      <c r="J22"/>
    </row>
    <row r="23" spans="3:10" x14ac:dyDescent="0.25">
      <c r="C23"/>
      <c r="D23"/>
      <c r="E23"/>
      <c r="F23"/>
      <c r="G23"/>
      <c r="H23"/>
      <c r="I23"/>
      <c r="J23"/>
    </row>
    <row r="24" spans="3:10" x14ac:dyDescent="0.25">
      <c r="C24"/>
      <c r="D24"/>
      <c r="E24"/>
      <c r="F24"/>
      <c r="G24"/>
      <c r="H24"/>
      <c r="I24"/>
      <c r="J24"/>
    </row>
    <row r="25" spans="3:10" x14ac:dyDescent="0.25">
      <c r="C25"/>
      <c r="D25"/>
      <c r="E25"/>
      <c r="F25"/>
      <c r="G25"/>
      <c r="H25"/>
      <c r="I25"/>
      <c r="J25"/>
    </row>
    <row r="26" spans="3:10" x14ac:dyDescent="0.25">
      <c r="C26"/>
      <c r="D26"/>
      <c r="E26"/>
      <c r="F26"/>
      <c r="G26"/>
      <c r="H26"/>
      <c r="I26"/>
      <c r="J26"/>
    </row>
    <row r="27" spans="3:10" x14ac:dyDescent="0.25">
      <c r="C27"/>
      <c r="D27"/>
      <c r="E27"/>
      <c r="F27"/>
      <c r="G27"/>
      <c r="H27"/>
      <c r="I27"/>
      <c r="J27"/>
    </row>
    <row r="28" spans="3:10" x14ac:dyDescent="0.25">
      <c r="C28"/>
      <c r="D28"/>
      <c r="E28"/>
      <c r="F28"/>
      <c r="G28"/>
      <c r="H28"/>
      <c r="I28"/>
      <c r="J28"/>
    </row>
    <row r="29" spans="3:10" x14ac:dyDescent="0.25">
      <c r="C29"/>
      <c r="D29"/>
      <c r="E29"/>
      <c r="F29"/>
      <c r="G29"/>
      <c r="H29"/>
      <c r="I29"/>
      <c r="J29"/>
    </row>
    <row r="30" spans="3:10" x14ac:dyDescent="0.25">
      <c r="C30"/>
      <c r="D30"/>
      <c r="E30"/>
      <c r="F30"/>
      <c r="G30"/>
      <c r="H30"/>
      <c r="I30"/>
      <c r="J30"/>
    </row>
    <row r="31" spans="3:10" x14ac:dyDescent="0.25">
      <c r="C31"/>
      <c r="D31"/>
      <c r="E31"/>
      <c r="F31"/>
      <c r="G31"/>
      <c r="H31"/>
      <c r="I31"/>
      <c r="J31"/>
    </row>
    <row r="32" spans="3:10" x14ac:dyDescent="0.25">
      <c r="C32"/>
      <c r="D32"/>
      <c r="E32"/>
      <c r="F32"/>
      <c r="G32"/>
      <c r="H32"/>
      <c r="I32"/>
      <c r="J32"/>
    </row>
    <row r="33" spans="3:10" x14ac:dyDescent="0.25">
      <c r="C33"/>
      <c r="D33"/>
      <c r="F33"/>
      <c r="G33"/>
      <c r="H33"/>
      <c r="I33"/>
      <c r="J33"/>
    </row>
    <row r="34" spans="3:10" x14ac:dyDescent="0.25">
      <c r="C34"/>
      <c r="F34"/>
      <c r="G34"/>
      <c r="H34"/>
      <c r="I34"/>
      <c r="J34"/>
    </row>
    <row r="35" spans="3:10" x14ac:dyDescent="0.25">
      <c r="F35"/>
    </row>
    <row r="36" spans="3:10" x14ac:dyDescent="0.25">
      <c r="F36"/>
    </row>
    <row r="37" spans="3:10" x14ac:dyDescent="0.25">
      <c r="F37"/>
    </row>
    <row r="38" spans="3:10" x14ac:dyDescent="0.25">
      <c r="F38"/>
    </row>
    <row r="39" spans="3:10" x14ac:dyDescent="0.25">
      <c r="F39"/>
    </row>
    <row r="40" spans="3:10" x14ac:dyDescent="0.25">
      <c r="F40"/>
    </row>
    <row r="41" spans="3:10" x14ac:dyDescent="0.25">
      <c r="F41"/>
    </row>
    <row r="42" spans="3:10" x14ac:dyDescent="0.25">
      <c r="F42"/>
    </row>
    <row r="43" spans="3:10" x14ac:dyDescent="0.25">
      <c r="F43"/>
    </row>
    <row r="44" spans="3:10" x14ac:dyDescent="0.25">
      <c r="F44"/>
    </row>
  </sheetData>
  <mergeCells count="6">
    <mergeCell ref="R1:S1"/>
    <mergeCell ref="A1:B1"/>
    <mergeCell ref="D1:F1"/>
    <mergeCell ref="H1:K1"/>
    <mergeCell ref="L1:M1"/>
    <mergeCell ref="O1:Q1"/>
  </mergeCells>
  <pageMargins left="0.7" right="0.7" top="0.75" bottom="0.75" header="0.3" footer="0.3"/>
  <pageSetup scale="93" orientation="landscape" horizontalDpi="300" verticalDpi="300"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Anatomy General</vt:lpstr>
      <vt:lpstr>Brain Anatomy</vt:lpstr>
      <vt:lpstr>Optics Anatomy</vt:lpstr>
      <vt:lpstr>Eye Anatomy</vt:lpstr>
      <vt:lpstr>Ear Anatomy</vt:lpstr>
      <vt:lpstr>Head Anatomy</vt:lpstr>
      <vt:lpstr>Oral Anatomy</vt:lpstr>
      <vt:lpstr>H&amp;N Level I&amp;II Lymph Nodes</vt:lpstr>
      <vt:lpstr>H&amp;N Level III&amp;IV Lymph Nodes</vt:lpstr>
      <vt:lpstr>H&amp;N Level V&amp;VI Lymph Nodes</vt:lpstr>
      <vt:lpstr>Spine Anatomy</vt:lpstr>
      <vt:lpstr>Heart Anatomy</vt:lpstr>
      <vt:lpstr>Chest Anatomy</vt:lpstr>
      <vt:lpstr>Arm Anatomy</vt:lpstr>
      <vt:lpstr>Breast Anatomy</vt:lpstr>
      <vt:lpstr>Lung Anatomy</vt:lpstr>
      <vt:lpstr>Celiac Anatomy</vt:lpstr>
      <vt:lpstr>Renal Anatomy</vt:lpstr>
      <vt:lpstr>Bowel Anatomy</vt:lpstr>
      <vt:lpstr>Rectal Anatomy</vt:lpstr>
      <vt:lpstr>Abdomen Nodes</vt:lpstr>
      <vt:lpstr>Bladder Anatomy</vt:lpstr>
      <vt:lpstr>Pelvis Anatomy General</vt:lpstr>
      <vt:lpstr>Pelvis Anatomy Male</vt:lpstr>
      <vt:lpstr>Pelvis Anatomy Female</vt:lpstr>
      <vt:lpstr>Pelvis Nodes</vt:lpstr>
      <vt:lpstr>Leg Anatomy</vt:lpstr>
    </vt:vector>
  </TitlesOfParts>
  <Company>Kingston Health Sciences Centre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"gsalomon"</dc:creator>
  <cp:lastModifiedBy>"gsalomon"</cp:lastModifiedBy>
  <dcterms:created xsi:type="dcterms:W3CDTF">2020-12-08T19:40:37Z</dcterms:created>
  <dcterms:modified xsi:type="dcterms:W3CDTF">2020-12-09T20:38:17Z</dcterms:modified>
</cp:coreProperties>
</file>