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data/working/IREC/RORO/"/>
    </mc:Choice>
  </mc:AlternateContent>
  <bookViews>
    <workbookView xWindow="80" yWindow="460" windowWidth="16760" windowHeight="20540" tabRatio="500"/>
  </bookViews>
  <sheets>
    <sheet name="Measured Mass budget RORO1" sheetId="4" r:id="rId1"/>
    <sheet name="Initial Mass budget RORO1" sheetId="1" r:id="rId2"/>
    <sheet name="Payload Budget" sheetId="3" r:id="rId3"/>
    <sheet name="Component weight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4" l="1"/>
  <c r="J40" i="4"/>
  <c r="C19" i="4"/>
  <c r="C18" i="4"/>
  <c r="H10" i="4"/>
  <c r="C13" i="4"/>
  <c r="C22" i="4"/>
  <c r="C25" i="4"/>
  <c r="H8" i="4"/>
  <c r="H18" i="4"/>
  <c r="H2" i="4"/>
  <c r="H14" i="4"/>
  <c r="F19" i="4"/>
  <c r="F20" i="4"/>
  <c r="F21" i="4"/>
  <c r="F22" i="4"/>
  <c r="F14" i="4"/>
  <c r="F15" i="4"/>
  <c r="F16" i="4"/>
  <c r="F17" i="4"/>
  <c r="F18" i="4"/>
  <c r="F2" i="4"/>
  <c r="F3" i="4"/>
  <c r="F4" i="4"/>
  <c r="F5" i="4"/>
  <c r="F6" i="4"/>
  <c r="F7" i="4"/>
  <c r="F10" i="4"/>
  <c r="C39" i="4"/>
  <c r="F11" i="4"/>
  <c r="J30" i="4"/>
  <c r="F33" i="4"/>
  <c r="J31" i="4"/>
  <c r="F34" i="4"/>
  <c r="K32" i="4"/>
  <c r="J32" i="4"/>
  <c r="F32" i="4"/>
  <c r="F8" i="4"/>
  <c r="F9" i="4"/>
  <c r="F12" i="4"/>
  <c r="F13" i="4"/>
  <c r="F23" i="4"/>
  <c r="F25" i="4"/>
  <c r="F27" i="4"/>
  <c r="F31" i="4"/>
  <c r="F28" i="4"/>
  <c r="B27" i="2"/>
  <c r="B26" i="2"/>
  <c r="C15" i="3"/>
  <c r="C16" i="3"/>
  <c r="B5" i="3"/>
  <c r="B15" i="3"/>
  <c r="B16" i="3"/>
  <c r="B36" i="1"/>
  <c r="B13" i="1"/>
  <c r="B17" i="1"/>
  <c r="B56" i="1"/>
  <c r="D56" i="1"/>
  <c r="B48" i="1"/>
  <c r="D48" i="1"/>
  <c r="B52" i="1"/>
  <c r="D52" i="1"/>
  <c r="B32" i="1"/>
  <c r="B28" i="1"/>
  <c r="B5" i="1"/>
  <c r="B8" i="1"/>
  <c r="B4" i="1"/>
  <c r="B12" i="1"/>
  <c r="B41" i="1"/>
</calcChain>
</file>

<file path=xl/sharedStrings.xml><?xml version="1.0" encoding="utf-8"?>
<sst xmlns="http://schemas.openxmlformats.org/spreadsheetml/2006/main" count="221" uniqueCount="159">
  <si>
    <t>Component</t>
  </si>
  <si>
    <t>weight</t>
  </si>
  <si>
    <t>Structure</t>
  </si>
  <si>
    <t>Nosecone</t>
  </si>
  <si>
    <t>Nosecone Bulkhead &amp; electronics mount</t>
  </si>
  <si>
    <t>measured</t>
  </si>
  <si>
    <t>estimate</t>
  </si>
  <si>
    <t xml:space="preserve">Structure </t>
  </si>
  <si>
    <t>Avionics</t>
  </si>
  <si>
    <t>Nose</t>
  </si>
  <si>
    <t>estimate, TBC</t>
  </si>
  <si>
    <t>total with batteries</t>
  </si>
  <si>
    <t>Upper Body</t>
  </si>
  <si>
    <t>measured, scaled</t>
  </si>
  <si>
    <t>estimated</t>
  </si>
  <si>
    <t>source</t>
  </si>
  <si>
    <t>Recovery</t>
  </si>
  <si>
    <t>Recovery batteries 4x 2s 300mAh</t>
  </si>
  <si>
    <t>estimated based on 2200mAh battery</t>
  </si>
  <si>
    <t>Recovery avionics (altimax &amp; Raven)</t>
  </si>
  <si>
    <t>datasheet</t>
  </si>
  <si>
    <t>Parachutes Main + drogue + bag</t>
  </si>
  <si>
    <t>estimate based on measured 12g CO2 cartridge</t>
  </si>
  <si>
    <t>CO2 system 25g CO2, 2x</t>
  </si>
  <si>
    <t>Cables, including cables going to wirecutter</t>
  </si>
  <si>
    <t>Payload</t>
  </si>
  <si>
    <t>Lower Body</t>
  </si>
  <si>
    <t>upper bulkhead</t>
  </si>
  <si>
    <t>Trim Weight</t>
  </si>
  <si>
    <t>Requirement</t>
  </si>
  <si>
    <t>motor tube 70cm</t>
  </si>
  <si>
    <t>thrust plate 3mm aluminium</t>
  </si>
  <si>
    <t>fins carbon fiber reinforced attachement</t>
  </si>
  <si>
    <t>aeropack retainer with screws</t>
  </si>
  <si>
    <t>Total (without motor)</t>
  </si>
  <si>
    <t>weight (kg)</t>
  </si>
  <si>
    <t>how</t>
  </si>
  <si>
    <t>comments/dimensions</t>
  </si>
  <si>
    <t>tube 10cm</t>
  </si>
  <si>
    <t>91.5cm long</t>
  </si>
  <si>
    <t>tube 10cm gfk reinforced</t>
  </si>
  <si>
    <t>tube 15cm</t>
  </si>
  <si>
    <t>122cm long</t>
  </si>
  <si>
    <t>nosecone 15cm gfk</t>
  </si>
  <si>
    <t>nosecone bulkhead with lug</t>
  </si>
  <si>
    <t>coupler 15cm</t>
  </si>
  <si>
    <t>30cm long</t>
  </si>
  <si>
    <t>coupler 10</t>
  </si>
  <si>
    <t>18cm long</t>
  </si>
  <si>
    <t>nosecone 10chm plastic</t>
  </si>
  <si>
    <t>lipo 2cell 2200mAh</t>
  </si>
  <si>
    <t>found at espace</t>
  </si>
  <si>
    <t>Aeropack Retainer 75mm</t>
  </si>
  <si>
    <t>http://www.rocketryforum.com/showthread.php?131551-Aero-Pack-75mm-Retainer-P</t>
  </si>
  <si>
    <t>parachute assembly (main+drogue)</t>
  </si>
  <si>
    <t>with 2 rings, 1 coupler, 1cable cutter</t>
  </si>
  <si>
    <t>CO2 charge</t>
  </si>
  <si>
    <t>Recovery System (Altimax G3)</t>
  </si>
  <si>
    <t>Backup recovery system (Raven3)</t>
  </si>
  <si>
    <t>Chord 3m</t>
  </si>
  <si>
    <t>Chord 5m</t>
  </si>
  <si>
    <t>16g CO2</t>
  </si>
  <si>
    <t>K1999N-PS</t>
  </si>
  <si>
    <t>L1300R-PS</t>
  </si>
  <si>
    <t>M2100G-PS</t>
  </si>
  <si>
    <t>Motor options:</t>
  </si>
  <si>
    <t>RMS-98/2560</t>
  </si>
  <si>
    <t>RMS-98/5120</t>
  </si>
  <si>
    <t>RMS-98/7680</t>
  </si>
  <si>
    <t>http://www.aerotech-rocketry.com/images/09-10_aerotech_catalog.pdf</t>
  </si>
  <si>
    <t>propellant</t>
  </si>
  <si>
    <t>tube weights</t>
  </si>
  <si>
    <t>rest</t>
  </si>
  <si>
    <t>centering rings 5x, 4mm plywood</t>
  </si>
  <si>
    <t>coupler tube with carbon reinforcement</t>
  </si>
  <si>
    <t>Phenolic tube, 90cm with carbon reinforcement</t>
  </si>
  <si>
    <t>Phenolic tube, 115cm with carbon reinforcement</t>
  </si>
  <si>
    <t>forum, scaled</t>
  </si>
  <si>
    <t>Recovery structure/bulkhead</t>
  </si>
  <si>
    <t>Recovery/payload bulkhead</t>
  </si>
  <si>
    <t>Nosecone release bars</t>
  </si>
  <si>
    <t>fins, 9mm plywood with balsa core, + cfrp reinforcemnt</t>
  </si>
  <si>
    <t>124, 125, 122g</t>
  </si>
  <si>
    <t>fin forward bulkhead 12mm plywood (with nuts)</t>
  </si>
  <si>
    <t xml:space="preserve">Component </t>
  </si>
  <si>
    <t>Mass (g)</t>
  </si>
  <si>
    <t>Cost (EUR)</t>
  </si>
  <si>
    <t>Autopilot</t>
  </si>
  <si>
    <t>Pitot tube</t>
  </si>
  <si>
    <t>Servomotors x 3</t>
  </si>
  <si>
    <t>UBLOX</t>
  </si>
  <si>
    <t>https://drotek.com/shop/en/drotek-parts/792-xl-rtk-gps-neo-m8p-rover.html</t>
  </si>
  <si>
    <t>Xbee</t>
  </si>
  <si>
    <t>http://www.mouser.ch/ProductDetail/Digi-International/XB8-DMUS-002/?qs=%2fha2pyFaduhamZ1j%2fTvqvLufopfOt%252bEr7wrfpr46JtwlpBsVij4AWA%3d%3d</t>
  </si>
  <si>
    <t>Battery</t>
  </si>
  <si>
    <t>Cabling</t>
  </si>
  <si>
    <t>Mounting</t>
  </si>
  <si>
    <t>Antenna</t>
  </si>
  <si>
    <t>Wing</t>
  </si>
  <si>
    <t>Hinges + locking mech</t>
  </si>
  <si>
    <t>Camera</t>
  </si>
  <si>
    <t>Total without margin</t>
  </si>
  <si>
    <t>Total with 20% margin</t>
  </si>
  <si>
    <t>Ground Station GPS RTK</t>
  </si>
  <si>
    <t>m8 threaded rod: 87.3g / 283mm</t>
  </si>
  <si>
    <t>g/mm</t>
  </si>
  <si>
    <t>plywood birch (thick)</t>
  </si>
  <si>
    <t>g/mm3</t>
  </si>
  <si>
    <t>weitght [kg]</t>
  </si>
  <si>
    <t>margin</t>
  </si>
  <si>
    <t>weight with margin [kg]</t>
  </si>
  <si>
    <t>Upper body</t>
  </si>
  <si>
    <t>Upper body with threaded rods</t>
  </si>
  <si>
    <t>parachute</t>
  </si>
  <si>
    <t>Recovery bay with batteries &amp; co2</t>
  </si>
  <si>
    <t>Recovery bulkhead screws and parachute eyebolts</t>
  </si>
  <si>
    <t>lower body</t>
  </si>
  <si>
    <t>Lower Body with retainer, threaded rods</t>
  </si>
  <si>
    <t>gopro bulkhead screws</t>
  </si>
  <si>
    <t>eybolts for recovery</t>
  </si>
  <si>
    <t>railguides</t>
  </si>
  <si>
    <t>Color</t>
  </si>
  <si>
    <t>Total</t>
  </si>
  <si>
    <t>total with margin</t>
  </si>
  <si>
    <t>system margin</t>
  </si>
  <si>
    <t>total with system margin</t>
  </si>
  <si>
    <t>estimated trim weight</t>
  </si>
  <si>
    <t>M2400T</t>
  </si>
  <si>
    <t>ideal weight</t>
  </si>
  <si>
    <t>trim weight</t>
  </si>
  <si>
    <t>trim weight plus margin</t>
  </si>
  <si>
    <t>Motor weight</t>
  </si>
  <si>
    <t>RockSim</t>
  </si>
  <si>
    <t>Thurstcurve.org</t>
  </si>
  <si>
    <t>propellant weight</t>
  </si>
  <si>
    <t>case (difference)</t>
  </si>
  <si>
    <t>Lift off weight</t>
  </si>
  <si>
    <t>After burnout</t>
  </si>
  <si>
    <t>payload glider</t>
  </si>
  <si>
    <t>Total weight without payload &amp; motor</t>
  </si>
  <si>
    <t>gopro bulkhead with gopro and backup battery</t>
  </si>
  <si>
    <t>nosecone</t>
  </si>
  <si>
    <t>electronics</t>
  </si>
  <si>
    <t>cable with connector</t>
  </si>
  <si>
    <t>rail</t>
  </si>
  <si>
    <t>slider</t>
  </si>
  <si>
    <t>payload box</t>
  </si>
  <si>
    <t>central M8 bolt with nuts</t>
  </si>
  <si>
    <t>payload nuts</t>
  </si>
  <si>
    <t>small camera</t>
  </si>
  <si>
    <t>payload tungsten block</t>
  </si>
  <si>
    <t>payload battery &amp; imu</t>
  </si>
  <si>
    <t>1U payload total</t>
  </si>
  <si>
    <t>lower</t>
  </si>
  <si>
    <t>upper</t>
  </si>
  <si>
    <t>nose</t>
  </si>
  <si>
    <t>M2100G</t>
  </si>
  <si>
    <t>Propellant weight</t>
  </si>
  <si>
    <t>burnout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</si>
</sst>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7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2"/>
      <color rgb="FF00000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1"/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  <xf numFmtId="0" fontId="8" fillId="3" borderId="0" xfId="0" applyFont="1" applyFill="1" applyAlignment="1"/>
    <xf numFmtId="0" fontId="5" fillId="0" borderId="0" xfId="1" applyAlignment="1"/>
    <xf numFmtId="0" fontId="9" fillId="3" borderId="0" xfId="0" applyFont="1" applyFill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erotech-rocketry.com/images/09-10_aerotech_catalog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h/ProductDetail/Digi-International/XB8-DMUS-002/?qs=%2fha2pyFaduhamZ1j%2fTvqvLufopfOt%252bEr7wrfpr46JtwlpBsVij4AWA%3d%3d" TargetMode="External"/><Relationship Id="rId2" Type="http://schemas.openxmlformats.org/officeDocument/2006/relationships/hyperlink" Target="https://drotek.com/shop/en/drotek-parts/792-xl-rtk-gps-neo-m8p-rov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C3" workbookViewId="0">
      <selection activeCell="K17" sqref="K17"/>
    </sheetView>
  </sheetViews>
  <sheetFormatPr baseColWidth="10" defaultRowHeight="16" x14ac:dyDescent="0.2"/>
  <cols>
    <col min="2" max="2" width="41.83203125" customWidth="1"/>
    <col min="9" max="9" width="26.83203125" customWidth="1"/>
  </cols>
  <sheetData>
    <row r="1" spans="1:9" x14ac:dyDescent="0.2">
      <c r="A1" s="1"/>
      <c r="C1" t="s">
        <v>108</v>
      </c>
      <c r="E1" t="s">
        <v>109</v>
      </c>
      <c r="F1" t="s">
        <v>110</v>
      </c>
    </row>
    <row r="2" spans="1:9" x14ac:dyDescent="0.2">
      <c r="A2" s="1" t="s">
        <v>3</v>
      </c>
      <c r="B2" t="s">
        <v>141</v>
      </c>
      <c r="C2">
        <v>0.91500000000000004</v>
      </c>
      <c r="D2" t="s">
        <v>5</v>
      </c>
      <c r="E2">
        <v>1</v>
      </c>
      <c r="F2">
        <f>E2*C2</f>
        <v>0.91500000000000004</v>
      </c>
      <c r="H2">
        <f>SUM(C2:C7)</f>
        <v>3.3409999999999997</v>
      </c>
      <c r="I2" t="s">
        <v>155</v>
      </c>
    </row>
    <row r="3" spans="1:9" x14ac:dyDescent="0.2">
      <c r="B3" t="s">
        <v>142</v>
      </c>
      <c r="C3">
        <v>1.611</v>
      </c>
      <c r="D3" t="s">
        <v>5</v>
      </c>
      <c r="E3">
        <v>1</v>
      </c>
      <c r="F3">
        <f t="shared" ref="F3:F7" si="0">E3*C3</f>
        <v>1.611</v>
      </c>
    </row>
    <row r="4" spans="1:9" x14ac:dyDescent="0.2">
      <c r="B4" t="s">
        <v>143</v>
      </c>
      <c r="C4">
        <v>0.15</v>
      </c>
      <c r="D4" t="s">
        <v>5</v>
      </c>
      <c r="E4">
        <v>1</v>
      </c>
      <c r="F4">
        <f t="shared" si="0"/>
        <v>0.15</v>
      </c>
    </row>
    <row r="5" spans="1:9" x14ac:dyDescent="0.2">
      <c r="B5" t="s">
        <v>144</v>
      </c>
      <c r="C5">
        <v>0.442</v>
      </c>
      <c r="D5" t="s">
        <v>5</v>
      </c>
      <c r="E5">
        <v>1</v>
      </c>
      <c r="F5">
        <f t="shared" si="0"/>
        <v>0.442</v>
      </c>
    </row>
    <row r="6" spans="1:9" x14ac:dyDescent="0.2">
      <c r="B6" t="s">
        <v>145</v>
      </c>
      <c r="C6">
        <v>0.16900000000000001</v>
      </c>
      <c r="D6" t="s">
        <v>5</v>
      </c>
      <c r="E6">
        <v>1</v>
      </c>
      <c r="F6">
        <f t="shared" si="0"/>
        <v>0.16900000000000001</v>
      </c>
    </row>
    <row r="7" spans="1:9" x14ac:dyDescent="0.2">
      <c r="B7" t="s">
        <v>147</v>
      </c>
      <c r="C7">
        <v>5.3999999999999999E-2</v>
      </c>
      <c r="D7" t="s">
        <v>5</v>
      </c>
      <c r="E7">
        <v>1</v>
      </c>
      <c r="F7">
        <f t="shared" si="0"/>
        <v>5.3999999999999999E-2</v>
      </c>
    </row>
    <row r="8" spans="1:9" x14ac:dyDescent="0.2">
      <c r="A8" s="1" t="s">
        <v>111</v>
      </c>
      <c r="B8" t="s">
        <v>112</v>
      </c>
      <c r="C8">
        <v>2.4550000000000001</v>
      </c>
      <c r="D8" t="s">
        <v>5</v>
      </c>
      <c r="E8">
        <v>1</v>
      </c>
      <c r="F8">
        <f>E8*C8</f>
        <v>2.4550000000000001</v>
      </c>
      <c r="H8">
        <f>SUM(C8:C13)</f>
        <v>6.2579999999999991</v>
      </c>
      <c r="I8" t="s">
        <v>154</v>
      </c>
    </row>
    <row r="9" spans="1:9" x14ac:dyDescent="0.2">
      <c r="A9" s="1"/>
      <c r="B9" t="s">
        <v>113</v>
      </c>
      <c r="C9">
        <v>1.6</v>
      </c>
      <c r="D9" t="s">
        <v>5</v>
      </c>
      <c r="E9">
        <v>1</v>
      </c>
      <c r="F9">
        <f>E9*C9</f>
        <v>1.6</v>
      </c>
    </row>
    <row r="10" spans="1:9" x14ac:dyDescent="0.2">
      <c r="A10" s="1"/>
      <c r="B10" t="s">
        <v>146</v>
      </c>
      <c r="C10">
        <v>0.61099999999999999</v>
      </c>
      <c r="D10" t="s">
        <v>5</v>
      </c>
      <c r="E10">
        <v>1</v>
      </c>
      <c r="F10">
        <f>E10*C10</f>
        <v>0.61099999999999999</v>
      </c>
      <c r="H10">
        <f>SUM(C10:C11)</f>
        <v>1.0169999999999999</v>
      </c>
      <c r="I10" t="s">
        <v>138</v>
      </c>
    </row>
    <row r="11" spans="1:9" x14ac:dyDescent="0.2">
      <c r="B11" t="s">
        <v>138</v>
      </c>
      <c r="C11">
        <v>0.40600000000000003</v>
      </c>
      <c r="D11" t="s">
        <v>5</v>
      </c>
      <c r="E11">
        <v>1</v>
      </c>
      <c r="F11">
        <f>E11*C11</f>
        <v>0.40600000000000003</v>
      </c>
    </row>
    <row r="12" spans="1:9" x14ac:dyDescent="0.2">
      <c r="A12" s="1"/>
      <c r="B12" t="s">
        <v>114</v>
      </c>
      <c r="C12">
        <v>0.99399999999999999</v>
      </c>
      <c r="D12" t="s">
        <v>5</v>
      </c>
      <c r="E12">
        <v>1</v>
      </c>
      <c r="F12">
        <f t="shared" ref="F12:F23" si="1">E12*C12</f>
        <v>0.99399999999999999</v>
      </c>
    </row>
    <row r="13" spans="1:9" x14ac:dyDescent="0.2">
      <c r="A13" s="1"/>
      <c r="B13" t="s">
        <v>115</v>
      </c>
      <c r="C13">
        <f>0.04+0.152</f>
        <v>0.192</v>
      </c>
      <c r="D13" t="s">
        <v>5</v>
      </c>
      <c r="E13">
        <v>1</v>
      </c>
      <c r="F13">
        <f t="shared" si="1"/>
        <v>0.192</v>
      </c>
    </row>
    <row r="14" spans="1:9" x14ac:dyDescent="0.2">
      <c r="A14" s="1" t="s">
        <v>116</v>
      </c>
      <c r="B14" t="s">
        <v>117</v>
      </c>
      <c r="C14">
        <v>4.2919999999999998</v>
      </c>
      <c r="D14" t="s">
        <v>5</v>
      </c>
      <c r="E14">
        <v>1</v>
      </c>
      <c r="F14">
        <f t="shared" si="1"/>
        <v>4.2919999999999998</v>
      </c>
      <c r="H14">
        <f>SUM(C14:C23)</f>
        <v>8.3160000000000007</v>
      </c>
      <c r="I14" t="s">
        <v>153</v>
      </c>
    </row>
    <row r="15" spans="1:9" x14ac:dyDescent="0.2">
      <c r="A15" s="1"/>
      <c r="B15" t="s">
        <v>140</v>
      </c>
      <c r="C15">
        <v>0.35399999999999998</v>
      </c>
      <c r="D15" t="s">
        <v>5</v>
      </c>
      <c r="E15">
        <v>1</v>
      </c>
      <c r="F15">
        <f t="shared" si="1"/>
        <v>0.35399999999999998</v>
      </c>
    </row>
    <row r="16" spans="1:9" x14ac:dyDescent="0.2">
      <c r="A16" s="1"/>
      <c r="B16" t="s">
        <v>118</v>
      </c>
      <c r="C16">
        <v>0.04</v>
      </c>
      <c r="D16" t="s">
        <v>5</v>
      </c>
      <c r="E16">
        <v>1</v>
      </c>
      <c r="F16">
        <f>E16*C16</f>
        <v>0.04</v>
      </c>
    </row>
    <row r="17" spans="1:11" x14ac:dyDescent="0.2">
      <c r="A17" s="1"/>
      <c r="B17" t="s">
        <v>119</v>
      </c>
      <c r="C17">
        <v>0.152</v>
      </c>
      <c r="D17" t="s">
        <v>5</v>
      </c>
      <c r="E17">
        <v>1</v>
      </c>
      <c r="F17">
        <f>E17*C17</f>
        <v>0.152</v>
      </c>
    </row>
    <row r="18" spans="1:11" x14ac:dyDescent="0.2">
      <c r="A18" s="1"/>
      <c r="B18" t="s">
        <v>150</v>
      </c>
      <c r="C18">
        <f>4.089-1</f>
        <v>3.0890000000000004</v>
      </c>
      <c r="D18" t="s">
        <v>5</v>
      </c>
      <c r="E18">
        <v>1</v>
      </c>
      <c r="F18">
        <f>E18*C18</f>
        <v>3.0890000000000004</v>
      </c>
      <c r="H18">
        <f>SUM(C18:C21)</f>
        <v>3.3330000000000006</v>
      </c>
      <c r="I18" t="s">
        <v>152</v>
      </c>
    </row>
    <row r="19" spans="1:11" x14ac:dyDescent="0.2">
      <c r="A19" s="1"/>
      <c r="B19" t="s">
        <v>151</v>
      </c>
      <c r="C19">
        <f>0.417-0.2</f>
        <v>0.21699999999999997</v>
      </c>
      <c r="D19" t="s">
        <v>5</v>
      </c>
      <c r="E19">
        <v>1</v>
      </c>
      <c r="F19">
        <f t="shared" ref="F19:F22" si="2">E19*C19</f>
        <v>0.21699999999999997</v>
      </c>
    </row>
    <row r="20" spans="1:11" x14ac:dyDescent="0.2">
      <c r="A20" s="1"/>
      <c r="B20" t="s">
        <v>148</v>
      </c>
      <c r="C20">
        <v>1.4999999999999999E-2</v>
      </c>
      <c r="D20" t="s">
        <v>5</v>
      </c>
      <c r="E20">
        <v>1</v>
      </c>
      <c r="F20">
        <f t="shared" si="2"/>
        <v>1.4999999999999999E-2</v>
      </c>
    </row>
    <row r="21" spans="1:11" x14ac:dyDescent="0.2">
      <c r="A21" s="1"/>
      <c r="B21" t="s">
        <v>149</v>
      </c>
      <c r="C21">
        <v>1.2E-2</v>
      </c>
      <c r="D21" t="s">
        <v>5</v>
      </c>
      <c r="E21">
        <v>1</v>
      </c>
      <c r="F21">
        <f t="shared" si="2"/>
        <v>1.2E-2</v>
      </c>
    </row>
    <row r="22" spans="1:11" x14ac:dyDescent="0.2">
      <c r="A22" s="1"/>
      <c r="B22" t="s">
        <v>120</v>
      </c>
      <c r="C22">
        <f>2*0.02</f>
        <v>0.04</v>
      </c>
      <c r="D22" t="s">
        <v>5</v>
      </c>
      <c r="E22">
        <v>1</v>
      </c>
      <c r="F22">
        <f t="shared" si="2"/>
        <v>0.04</v>
      </c>
    </row>
    <row r="23" spans="1:11" x14ac:dyDescent="0.2">
      <c r="A23" s="1" t="s">
        <v>121</v>
      </c>
      <c r="C23">
        <v>0.105</v>
      </c>
      <c r="D23" t="s">
        <v>5</v>
      </c>
      <c r="E23">
        <v>1</v>
      </c>
      <c r="F23">
        <f t="shared" si="1"/>
        <v>0.105</v>
      </c>
    </row>
    <row r="24" spans="1:11" x14ac:dyDescent="0.2">
      <c r="A24" s="1"/>
    </row>
    <row r="25" spans="1:11" x14ac:dyDescent="0.2">
      <c r="A25" s="1"/>
      <c r="B25" t="s">
        <v>122</v>
      </c>
      <c r="C25" s="1">
        <f>SUM(C2:C24)</f>
        <v>17.914999999999996</v>
      </c>
      <c r="F25" s="23">
        <f>SUM(F2:F24)</f>
        <v>17.914999999999996</v>
      </c>
      <c r="G25" t="s">
        <v>123</v>
      </c>
    </row>
    <row r="26" spans="1:11" x14ac:dyDescent="0.2">
      <c r="A26" s="1"/>
      <c r="F26" s="24">
        <v>1.05</v>
      </c>
      <c r="G26" t="s">
        <v>124</v>
      </c>
    </row>
    <row r="27" spans="1:11" x14ac:dyDescent="0.2">
      <c r="A27" s="1"/>
      <c r="F27" s="25">
        <f>F25*F26</f>
        <v>18.810749999999995</v>
      </c>
      <c r="G27" s="1" t="s">
        <v>125</v>
      </c>
    </row>
    <row r="28" spans="1:11" x14ac:dyDescent="0.2">
      <c r="A28" s="1"/>
      <c r="F28" s="23">
        <f>F27-C25</f>
        <v>0.8957499999999996</v>
      </c>
      <c r="G28" t="s">
        <v>126</v>
      </c>
    </row>
    <row r="29" spans="1:11" x14ac:dyDescent="0.2">
      <c r="A29" s="1"/>
      <c r="J29" t="s">
        <v>132</v>
      </c>
      <c r="K29" t="s">
        <v>133</v>
      </c>
    </row>
    <row r="30" spans="1:11" x14ac:dyDescent="0.2">
      <c r="A30" s="1"/>
      <c r="E30" t="s">
        <v>127</v>
      </c>
      <c r="F30">
        <v>20</v>
      </c>
      <c r="G30" t="s">
        <v>128</v>
      </c>
      <c r="I30" t="s">
        <v>131</v>
      </c>
      <c r="J30">
        <f>27.033-20.55</f>
        <v>6.4830000000000005</v>
      </c>
      <c r="K30">
        <v>6.4509999999999996</v>
      </c>
    </row>
    <row r="31" spans="1:11" x14ac:dyDescent="0.2">
      <c r="A31" s="1"/>
      <c r="F31" s="24">
        <f>F30-F27</f>
        <v>1.1892500000000048</v>
      </c>
      <c r="G31" t="s">
        <v>129</v>
      </c>
      <c r="I31" t="s">
        <v>134</v>
      </c>
      <c r="J31">
        <f>27.033-23.34</f>
        <v>3.6930000000000014</v>
      </c>
      <c r="K31">
        <v>3.6930000000000001</v>
      </c>
    </row>
    <row r="32" spans="1:11" x14ac:dyDescent="0.2">
      <c r="A32" s="1"/>
      <c r="F32" s="24">
        <f>F30-C25</f>
        <v>2.0850000000000044</v>
      </c>
      <c r="G32" t="s">
        <v>130</v>
      </c>
      <c r="I32" t="s">
        <v>135</v>
      </c>
      <c r="J32">
        <f>J30-J31</f>
        <v>2.7899999999999991</v>
      </c>
      <c r="K32">
        <f>K30-K31</f>
        <v>2.7579999999999996</v>
      </c>
    </row>
    <row r="33" spans="1:11" x14ac:dyDescent="0.2">
      <c r="A33" s="1"/>
      <c r="F33" s="26">
        <f>F30+J30</f>
        <v>26.483000000000001</v>
      </c>
      <c r="G33" t="s">
        <v>136</v>
      </c>
    </row>
    <row r="34" spans="1:11" x14ac:dyDescent="0.2">
      <c r="A34" s="1"/>
      <c r="F34" s="24">
        <f>F33-J31</f>
        <v>22.79</v>
      </c>
      <c r="G34" t="s">
        <v>137</v>
      </c>
    </row>
    <row r="35" spans="1:11" x14ac:dyDescent="0.2">
      <c r="A35" s="1"/>
    </row>
    <row r="36" spans="1:11" x14ac:dyDescent="0.2">
      <c r="A36" s="1"/>
    </row>
    <row r="37" spans="1:11" x14ac:dyDescent="0.2">
      <c r="A37" s="1"/>
    </row>
    <row r="38" spans="1:11" x14ac:dyDescent="0.2">
      <c r="A38" s="1"/>
      <c r="J38" t="s">
        <v>132</v>
      </c>
      <c r="K38" t="s">
        <v>133</v>
      </c>
    </row>
    <row r="39" spans="1:11" x14ac:dyDescent="0.2">
      <c r="A39" s="1"/>
      <c r="B39" t="s">
        <v>139</v>
      </c>
      <c r="C39">
        <f>F30-C10-C11</f>
        <v>18.983000000000001</v>
      </c>
      <c r="E39" t="s">
        <v>156</v>
      </c>
      <c r="I39" t="s">
        <v>131</v>
      </c>
      <c r="J39" s="27">
        <v>7.03</v>
      </c>
      <c r="K39">
        <v>6.9180000000000001</v>
      </c>
    </row>
    <row r="40" spans="1:11" x14ac:dyDescent="0.2">
      <c r="A40" s="1"/>
      <c r="I40" t="s">
        <v>157</v>
      </c>
      <c r="J40" s="27">
        <f>J39-J41</f>
        <v>3</v>
      </c>
      <c r="K40">
        <v>3.948</v>
      </c>
    </row>
    <row r="41" spans="1:11" x14ac:dyDescent="0.2">
      <c r="I41" t="s">
        <v>158</v>
      </c>
      <c r="J41" s="27">
        <v>4.03</v>
      </c>
      <c r="K41" s="5">
        <f>K39-K40</f>
        <v>2.97</v>
      </c>
    </row>
    <row r="42" spans="1:11" x14ac:dyDescent="0.2">
      <c r="J4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topLeftCell="A27" zoomScale="113" zoomScaleNormal="161" zoomScalePageLayoutView="161" workbookViewId="0">
      <selection activeCell="D42" sqref="D42"/>
    </sheetView>
  </sheetViews>
  <sheetFormatPr baseColWidth="10" defaultRowHeight="16" x14ac:dyDescent="0.2"/>
  <cols>
    <col min="1" max="1" width="42.5" customWidth="1"/>
  </cols>
  <sheetData>
    <row r="2" spans="1:3" x14ac:dyDescent="0.2">
      <c r="A2" t="s">
        <v>0</v>
      </c>
      <c r="B2" t="s">
        <v>1</v>
      </c>
      <c r="C2" t="s">
        <v>15</v>
      </c>
    </row>
    <row r="4" spans="1:3" ht="21" x14ac:dyDescent="0.25">
      <c r="A4" s="3" t="s">
        <v>9</v>
      </c>
      <c r="B4" s="7">
        <f>B5+B8</f>
        <v>1.994</v>
      </c>
    </row>
    <row r="5" spans="1:3" x14ac:dyDescent="0.2">
      <c r="A5" s="1" t="s">
        <v>7</v>
      </c>
      <c r="B5" s="1">
        <f>SUM(B6:B7)</f>
        <v>0.99399999999999999</v>
      </c>
    </row>
    <row r="6" spans="1:3" x14ac:dyDescent="0.2">
      <c r="A6" t="s">
        <v>3</v>
      </c>
      <c r="B6" s="2">
        <v>0.59399999999999997</v>
      </c>
      <c r="C6" t="s">
        <v>5</v>
      </c>
    </row>
    <row r="7" spans="1:3" x14ac:dyDescent="0.2">
      <c r="A7" t="s">
        <v>4</v>
      </c>
      <c r="B7">
        <v>0.4</v>
      </c>
      <c r="C7" t="s">
        <v>6</v>
      </c>
    </row>
    <row r="8" spans="1:3" x14ac:dyDescent="0.2">
      <c r="A8" s="1" t="s">
        <v>8</v>
      </c>
      <c r="B8" s="1">
        <f>SUM(B9)</f>
        <v>1</v>
      </c>
    </row>
    <row r="9" spans="1:3" x14ac:dyDescent="0.2">
      <c r="A9" s="4" t="s">
        <v>11</v>
      </c>
      <c r="B9">
        <v>1</v>
      </c>
      <c r="C9" t="s">
        <v>10</v>
      </c>
    </row>
    <row r="12" spans="1:3" s="8" customFormat="1" ht="19" x14ac:dyDescent="0.25">
      <c r="A12" s="7" t="s">
        <v>12</v>
      </c>
      <c r="B12" s="9">
        <f>B13+B17+B24+B25</f>
        <v>9.5630000000000006</v>
      </c>
    </row>
    <row r="13" spans="1:3" x14ac:dyDescent="0.2">
      <c r="A13" s="1" t="s">
        <v>2</v>
      </c>
      <c r="B13" s="6">
        <f>SUM(B14:B16)</f>
        <v>2.1430000000000002</v>
      </c>
    </row>
    <row r="14" spans="1:3" x14ac:dyDescent="0.2">
      <c r="A14" t="s">
        <v>76</v>
      </c>
      <c r="B14" s="5">
        <v>1.5629999999999999</v>
      </c>
      <c r="C14" t="s">
        <v>5</v>
      </c>
    </row>
    <row r="15" spans="1:3" x14ac:dyDescent="0.2">
      <c r="A15" t="s">
        <v>79</v>
      </c>
      <c r="B15">
        <v>0.48</v>
      </c>
      <c r="C15" t="s">
        <v>14</v>
      </c>
    </row>
    <row r="16" spans="1:3" x14ac:dyDescent="0.2">
      <c r="A16" t="s">
        <v>80</v>
      </c>
      <c r="B16">
        <v>0.1</v>
      </c>
      <c r="C16" t="s">
        <v>14</v>
      </c>
    </row>
    <row r="17" spans="1:3" x14ac:dyDescent="0.2">
      <c r="A17" s="1" t="s">
        <v>16</v>
      </c>
      <c r="B17" s="1">
        <f>SUM(B18:B23)</f>
        <v>1.42</v>
      </c>
    </row>
    <row r="18" spans="1:3" x14ac:dyDescent="0.2">
      <c r="A18" t="s">
        <v>78</v>
      </c>
      <c r="B18">
        <v>0.3</v>
      </c>
      <c r="C18" t="s">
        <v>6</v>
      </c>
    </row>
    <row r="19" spans="1:3" x14ac:dyDescent="0.2">
      <c r="A19" t="s">
        <v>17</v>
      </c>
      <c r="B19">
        <v>0.1</v>
      </c>
      <c r="C19" t="s">
        <v>18</v>
      </c>
    </row>
    <row r="20" spans="1:3" x14ac:dyDescent="0.2">
      <c r="A20" t="s">
        <v>19</v>
      </c>
      <c r="B20">
        <v>0.02</v>
      </c>
      <c r="C20" t="s">
        <v>20</v>
      </c>
    </row>
    <row r="21" spans="1:3" x14ac:dyDescent="0.2">
      <c r="A21" t="s">
        <v>24</v>
      </c>
      <c r="B21">
        <v>0.1</v>
      </c>
      <c r="C21" t="s">
        <v>6</v>
      </c>
    </row>
    <row r="22" spans="1:3" x14ac:dyDescent="0.2">
      <c r="A22" t="s">
        <v>23</v>
      </c>
      <c r="B22">
        <v>0.2</v>
      </c>
      <c r="C22" t="s">
        <v>22</v>
      </c>
    </row>
    <row r="23" spans="1:3" x14ac:dyDescent="0.2">
      <c r="A23" t="s">
        <v>21</v>
      </c>
      <c r="B23">
        <v>0.7</v>
      </c>
      <c r="C23" t="s">
        <v>5</v>
      </c>
    </row>
    <row r="24" spans="1:3" x14ac:dyDescent="0.2">
      <c r="A24" s="1" t="s">
        <v>25</v>
      </c>
      <c r="B24" s="1">
        <v>4</v>
      </c>
      <c r="C24" t="s">
        <v>29</v>
      </c>
    </row>
    <row r="25" spans="1:3" x14ac:dyDescent="0.2">
      <c r="A25" s="1" t="s">
        <v>28</v>
      </c>
      <c r="B25" s="1">
        <v>2</v>
      </c>
    </row>
    <row r="27" spans="1:3" s="8" customFormat="1" ht="19" x14ac:dyDescent="0.25">
      <c r="A27" s="7" t="s">
        <v>26</v>
      </c>
      <c r="B27" s="9"/>
    </row>
    <row r="28" spans="1:3" x14ac:dyDescent="0.2">
      <c r="A28" s="1" t="s">
        <v>2</v>
      </c>
      <c r="B28" s="6">
        <f>SUM(B29:B38)</f>
        <v>3.3233661202185796</v>
      </c>
    </row>
    <row r="29" spans="1:3" x14ac:dyDescent="0.2">
      <c r="A29" t="s">
        <v>75</v>
      </c>
      <c r="B29" s="5">
        <v>1.1539999999999999</v>
      </c>
      <c r="C29" t="s">
        <v>5</v>
      </c>
    </row>
    <row r="30" spans="1:3" x14ac:dyDescent="0.2">
      <c r="A30" t="s">
        <v>27</v>
      </c>
      <c r="B30">
        <v>0.441</v>
      </c>
      <c r="C30" t="s">
        <v>5</v>
      </c>
    </row>
    <row r="31" spans="1:3" x14ac:dyDescent="0.2">
      <c r="A31" t="s">
        <v>74</v>
      </c>
      <c r="B31">
        <v>0.46</v>
      </c>
      <c r="C31" t="s">
        <v>5</v>
      </c>
    </row>
    <row r="32" spans="1:3" x14ac:dyDescent="0.2">
      <c r="A32" s="4" t="s">
        <v>30</v>
      </c>
      <c r="B32" s="5">
        <f>0.407*70/91.5</f>
        <v>0.31136612021857923</v>
      </c>
      <c r="C32" t="s">
        <v>13</v>
      </c>
    </row>
    <row r="33" spans="1:4" x14ac:dyDescent="0.2">
      <c r="A33" s="4" t="s">
        <v>73</v>
      </c>
      <c r="B33">
        <v>7.0000000000000007E-2</v>
      </c>
      <c r="C33" t="s">
        <v>5</v>
      </c>
    </row>
    <row r="34" spans="1:4" x14ac:dyDescent="0.2">
      <c r="A34" s="4" t="s">
        <v>83</v>
      </c>
      <c r="B34">
        <v>0.11600000000000001</v>
      </c>
      <c r="C34" t="s">
        <v>5</v>
      </c>
    </row>
    <row r="35" spans="1:4" x14ac:dyDescent="0.2">
      <c r="A35" s="4" t="s">
        <v>31</v>
      </c>
      <c r="B35">
        <v>0.08</v>
      </c>
      <c r="C35" t="s">
        <v>5</v>
      </c>
    </row>
    <row r="36" spans="1:4" x14ac:dyDescent="0.2">
      <c r="A36" s="4" t="s">
        <v>81</v>
      </c>
      <c r="B36">
        <f>0.125+0.124+0.122</f>
        <v>0.371</v>
      </c>
      <c r="C36" t="s">
        <v>5</v>
      </c>
      <c r="D36" t="s">
        <v>82</v>
      </c>
    </row>
    <row r="37" spans="1:4" x14ac:dyDescent="0.2">
      <c r="A37" s="4" t="s">
        <v>32</v>
      </c>
      <c r="B37">
        <v>0.2</v>
      </c>
      <c r="C37" t="s">
        <v>14</v>
      </c>
    </row>
    <row r="38" spans="1:4" x14ac:dyDescent="0.2">
      <c r="A38" s="4" t="s">
        <v>33</v>
      </c>
      <c r="B38">
        <v>0.12</v>
      </c>
      <c r="C38" t="s">
        <v>77</v>
      </c>
    </row>
    <row r="41" spans="1:4" s="8" customFormat="1" ht="19" x14ac:dyDescent="0.25">
      <c r="A41" s="7" t="s">
        <v>34</v>
      </c>
      <c r="B41" s="9">
        <f>B4+B12+B28</f>
        <v>14.88036612021858</v>
      </c>
    </row>
    <row r="45" spans="1:4" x14ac:dyDescent="0.2">
      <c r="A45" t="s">
        <v>65</v>
      </c>
      <c r="C45" s="10" t="s">
        <v>69</v>
      </c>
    </row>
    <row r="46" spans="1:4" x14ac:dyDescent="0.2">
      <c r="A46" s="1" t="s">
        <v>62</v>
      </c>
      <c r="B46" s="1">
        <v>2.9889999999999999</v>
      </c>
    </row>
    <row r="47" spans="1:4" x14ac:dyDescent="0.2">
      <c r="A47" t="s">
        <v>70</v>
      </c>
      <c r="B47">
        <v>1.1950000000000001</v>
      </c>
    </row>
    <row r="48" spans="1:4" x14ac:dyDescent="0.2">
      <c r="A48" t="s">
        <v>66</v>
      </c>
      <c r="B48">
        <f>B46-B47</f>
        <v>1.7939999999999998</v>
      </c>
      <c r="C48">
        <v>1.1399999999999999</v>
      </c>
      <c r="D48">
        <f>B48-C48</f>
        <v>0.65399999999999991</v>
      </c>
    </row>
    <row r="50" spans="1:4" x14ac:dyDescent="0.2">
      <c r="A50" s="1" t="s">
        <v>63</v>
      </c>
      <c r="B50" s="1">
        <v>4.8840000000000003</v>
      </c>
    </row>
    <row r="51" spans="1:4" x14ac:dyDescent="0.2">
      <c r="A51" t="s">
        <v>70</v>
      </c>
      <c r="B51">
        <v>2.508</v>
      </c>
    </row>
    <row r="52" spans="1:4" x14ac:dyDescent="0.2">
      <c r="A52" t="s">
        <v>67</v>
      </c>
      <c r="B52">
        <f>B50-B51</f>
        <v>2.3760000000000003</v>
      </c>
      <c r="C52">
        <v>1.53</v>
      </c>
      <c r="D52">
        <f>B52-C52</f>
        <v>0.84600000000000031</v>
      </c>
    </row>
    <row r="54" spans="1:4" x14ac:dyDescent="0.2">
      <c r="A54" s="1" t="s">
        <v>64</v>
      </c>
      <c r="B54" s="1">
        <v>6.9119999999999999</v>
      </c>
    </row>
    <row r="55" spans="1:4" x14ac:dyDescent="0.2">
      <c r="A55" t="s">
        <v>70</v>
      </c>
      <c r="B55">
        <v>3.948</v>
      </c>
    </row>
    <row r="56" spans="1:4" x14ac:dyDescent="0.2">
      <c r="A56" t="s">
        <v>68</v>
      </c>
      <c r="B56">
        <f>B54-B55</f>
        <v>2.964</v>
      </c>
      <c r="C56">
        <v>1.9259999999999999</v>
      </c>
      <c r="D56">
        <f>B56-C56</f>
        <v>1.038</v>
      </c>
    </row>
    <row r="57" spans="1:4" x14ac:dyDescent="0.2">
      <c r="C57" t="s">
        <v>71</v>
      </c>
      <c r="D57" t="s">
        <v>72</v>
      </c>
    </row>
  </sheetData>
  <hyperlinks>
    <hyperlink ref="C45" r:id="rId1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7" sqref="D17"/>
    </sheetView>
  </sheetViews>
  <sheetFormatPr baseColWidth="10" defaultRowHeight="16" x14ac:dyDescent="0.2"/>
  <cols>
    <col min="1" max="1" width="25.6640625" customWidth="1"/>
  </cols>
  <sheetData>
    <row r="1" spans="1:4" x14ac:dyDescent="0.2">
      <c r="A1" s="11"/>
      <c r="B1" s="12"/>
      <c r="C1" s="12"/>
      <c r="D1" s="12"/>
    </row>
    <row r="2" spans="1:4" x14ac:dyDescent="0.2">
      <c r="A2" s="13" t="s">
        <v>84</v>
      </c>
      <c r="B2" s="13" t="s">
        <v>85</v>
      </c>
      <c r="C2" s="13" t="s">
        <v>86</v>
      </c>
      <c r="D2" s="12"/>
    </row>
    <row r="3" spans="1:4" x14ac:dyDescent="0.2">
      <c r="A3" s="14" t="s">
        <v>87</v>
      </c>
      <c r="B3" s="14">
        <v>10.54</v>
      </c>
      <c r="C3" s="14">
        <v>100</v>
      </c>
      <c r="D3" s="12"/>
    </row>
    <row r="4" spans="1:4" x14ac:dyDescent="0.2">
      <c r="A4" s="15" t="s">
        <v>88</v>
      </c>
      <c r="B4" s="14">
        <v>6</v>
      </c>
      <c r="C4" s="14">
        <v>20</v>
      </c>
      <c r="D4" s="12"/>
    </row>
    <row r="5" spans="1:4" x14ac:dyDescent="0.2">
      <c r="A5" s="14" t="s">
        <v>89</v>
      </c>
      <c r="B5" s="16">
        <f>4.5*3</f>
        <v>13.5</v>
      </c>
      <c r="C5" s="14">
        <v>90</v>
      </c>
      <c r="D5" s="12"/>
    </row>
    <row r="6" spans="1:4" x14ac:dyDescent="0.2">
      <c r="A6" s="17" t="s">
        <v>90</v>
      </c>
      <c r="B6" s="17">
        <v>23</v>
      </c>
      <c r="C6" s="17">
        <v>350</v>
      </c>
      <c r="D6" s="18" t="s">
        <v>91</v>
      </c>
    </row>
    <row r="7" spans="1:4" x14ac:dyDescent="0.2">
      <c r="A7" s="19" t="s">
        <v>92</v>
      </c>
      <c r="B7" s="19">
        <v>4</v>
      </c>
      <c r="C7" s="19">
        <v>50</v>
      </c>
      <c r="D7" s="20" t="s">
        <v>93</v>
      </c>
    </row>
    <row r="8" spans="1:4" x14ac:dyDescent="0.2">
      <c r="A8" s="14" t="s">
        <v>94</v>
      </c>
      <c r="B8" s="14">
        <v>36</v>
      </c>
      <c r="C8" s="14">
        <v>5</v>
      </c>
      <c r="D8" s="12"/>
    </row>
    <row r="9" spans="1:4" x14ac:dyDescent="0.2">
      <c r="A9" s="14" t="s">
        <v>95</v>
      </c>
      <c r="B9" s="14">
        <v>2</v>
      </c>
      <c r="C9" s="14">
        <v>2</v>
      </c>
      <c r="D9" s="12"/>
    </row>
    <row r="10" spans="1:4" x14ac:dyDescent="0.2">
      <c r="A10" s="14" t="s">
        <v>96</v>
      </c>
      <c r="B10" s="14">
        <v>10</v>
      </c>
      <c r="C10" s="14">
        <v>3</v>
      </c>
      <c r="D10" s="12"/>
    </row>
    <row r="11" spans="1:4" x14ac:dyDescent="0.2">
      <c r="A11" s="14" t="s">
        <v>97</v>
      </c>
      <c r="B11" s="14">
        <v>1</v>
      </c>
      <c r="C11" s="14">
        <v>10</v>
      </c>
      <c r="D11" s="12"/>
    </row>
    <row r="12" spans="1:4" x14ac:dyDescent="0.2">
      <c r="A12" s="14" t="s">
        <v>98</v>
      </c>
      <c r="B12" s="14">
        <v>100</v>
      </c>
      <c r="C12" s="14">
        <v>30</v>
      </c>
      <c r="D12" s="12"/>
    </row>
    <row r="13" spans="1:4" x14ac:dyDescent="0.2">
      <c r="A13" s="14" t="s">
        <v>99</v>
      </c>
      <c r="B13" s="14">
        <v>10</v>
      </c>
      <c r="C13" s="14">
        <v>4</v>
      </c>
      <c r="D13" s="12"/>
    </row>
    <row r="14" spans="1:4" x14ac:dyDescent="0.2">
      <c r="A14" s="14" t="s">
        <v>100</v>
      </c>
      <c r="B14" s="14">
        <v>20</v>
      </c>
      <c r="C14" s="14">
        <v>30</v>
      </c>
      <c r="D14" s="12"/>
    </row>
    <row r="15" spans="1:4" x14ac:dyDescent="0.2">
      <c r="A15" s="21" t="s">
        <v>101</v>
      </c>
      <c r="B15" s="22">
        <f>SUM(B3:B14)</f>
        <v>236.04</v>
      </c>
      <c r="C15" s="16">
        <f>SUM(C3:C14)</f>
        <v>694</v>
      </c>
      <c r="D15" s="12"/>
    </row>
    <row r="16" spans="1:4" x14ac:dyDescent="0.2">
      <c r="A16" s="21" t="s">
        <v>102</v>
      </c>
      <c r="B16" s="22">
        <f>B15+20/100*B15</f>
        <v>283.24799999999999</v>
      </c>
      <c r="C16" s="16">
        <f>C15+20/100*C15</f>
        <v>832.8</v>
      </c>
      <c r="D16" s="12"/>
    </row>
    <row r="17" spans="1:4" x14ac:dyDescent="0.2">
      <c r="D17" s="12"/>
    </row>
    <row r="18" spans="1:4" x14ac:dyDescent="0.2">
      <c r="A18" s="12"/>
      <c r="B18" s="12"/>
      <c r="C18" s="12"/>
      <c r="D18" s="12"/>
    </row>
    <row r="21" spans="1:4" x14ac:dyDescent="0.2">
      <c r="A21" s="14" t="s">
        <v>103</v>
      </c>
      <c r="B21" s="16"/>
      <c r="C21" s="14">
        <v>350</v>
      </c>
    </row>
  </sheetData>
  <hyperlinks>
    <hyperlink ref="D7" r:id="rId1"/>
    <hyperlink ref="D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6" sqref="B26"/>
    </sheetView>
  </sheetViews>
  <sheetFormatPr baseColWidth="10" defaultRowHeight="16" x14ac:dyDescent="0.2"/>
  <cols>
    <col min="1" max="1" width="28.83203125" customWidth="1"/>
    <col min="4" max="4" width="19" customWidth="1"/>
  </cols>
  <sheetData>
    <row r="1" spans="1:4" x14ac:dyDescent="0.2">
      <c r="A1" t="s">
        <v>0</v>
      </c>
      <c r="B1" t="s">
        <v>35</v>
      </c>
      <c r="C1" t="s">
        <v>36</v>
      </c>
      <c r="D1" t="s">
        <v>37</v>
      </c>
    </row>
    <row r="2" spans="1:4" x14ac:dyDescent="0.2">
      <c r="A2" s="1" t="s">
        <v>2</v>
      </c>
    </row>
    <row r="3" spans="1:4" x14ac:dyDescent="0.2">
      <c r="A3" t="s">
        <v>38</v>
      </c>
      <c r="B3">
        <v>0.40699999999999997</v>
      </c>
      <c r="C3" t="s">
        <v>5</v>
      </c>
      <c r="D3" t="s">
        <v>39</v>
      </c>
    </row>
    <row r="4" spans="1:4" x14ac:dyDescent="0.2">
      <c r="A4" t="s">
        <v>40</v>
      </c>
      <c r="B4">
        <v>0.8</v>
      </c>
      <c r="C4" t="s">
        <v>5</v>
      </c>
      <c r="D4" t="s">
        <v>39</v>
      </c>
    </row>
    <row r="5" spans="1:4" x14ac:dyDescent="0.2">
      <c r="A5" t="s">
        <v>41</v>
      </c>
      <c r="B5">
        <v>1.022</v>
      </c>
      <c r="C5" t="s">
        <v>5</v>
      </c>
      <c r="D5" t="s">
        <v>42</v>
      </c>
    </row>
    <row r="6" spans="1:4" x14ac:dyDescent="0.2">
      <c r="A6" t="s">
        <v>43</v>
      </c>
      <c r="B6">
        <v>0.59399999999999997</v>
      </c>
      <c r="C6" t="s">
        <v>5</v>
      </c>
    </row>
    <row r="7" spans="1:4" x14ac:dyDescent="0.2">
      <c r="A7" t="s">
        <v>44</v>
      </c>
      <c r="B7">
        <v>0.23200000000000001</v>
      </c>
      <c r="C7" t="s">
        <v>5</v>
      </c>
    </row>
    <row r="8" spans="1:4" x14ac:dyDescent="0.2">
      <c r="A8" t="s">
        <v>45</v>
      </c>
      <c r="B8">
        <v>0.30099999999999999</v>
      </c>
      <c r="C8" t="s">
        <v>5</v>
      </c>
      <c r="D8" t="s">
        <v>46</v>
      </c>
    </row>
    <row r="9" spans="1:4" x14ac:dyDescent="0.2">
      <c r="A9" t="s">
        <v>47</v>
      </c>
      <c r="B9">
        <v>7.1999999999999995E-2</v>
      </c>
      <c r="C9" t="s">
        <v>5</v>
      </c>
      <c r="D9" t="s">
        <v>48</v>
      </c>
    </row>
    <row r="10" spans="1:4" x14ac:dyDescent="0.2">
      <c r="A10" t="s">
        <v>49</v>
      </c>
      <c r="B10">
        <v>0.29499999999999998</v>
      </c>
      <c r="C10" t="s">
        <v>5</v>
      </c>
    </row>
    <row r="12" spans="1:4" x14ac:dyDescent="0.2">
      <c r="A12" t="s">
        <v>50</v>
      </c>
      <c r="B12">
        <v>0.13</v>
      </c>
      <c r="C12" t="s">
        <v>5</v>
      </c>
      <c r="D12" t="s">
        <v>51</v>
      </c>
    </row>
    <row r="13" spans="1:4" x14ac:dyDescent="0.2">
      <c r="A13" t="s">
        <v>52</v>
      </c>
      <c r="B13">
        <v>0.09</v>
      </c>
      <c r="C13" t="s">
        <v>53</v>
      </c>
    </row>
    <row r="15" spans="1:4" x14ac:dyDescent="0.2">
      <c r="A15" s="1" t="s">
        <v>16</v>
      </c>
    </row>
    <row r="16" spans="1:4" x14ac:dyDescent="0.2">
      <c r="A16" t="s">
        <v>54</v>
      </c>
      <c r="B16">
        <v>0.72099999999999997</v>
      </c>
      <c r="C16" t="s">
        <v>5</v>
      </c>
      <c r="D16" t="s">
        <v>55</v>
      </c>
    </row>
    <row r="17" spans="1:3" x14ac:dyDescent="0.2">
      <c r="A17" t="s">
        <v>56</v>
      </c>
    </row>
    <row r="18" spans="1:3" x14ac:dyDescent="0.2">
      <c r="A18" t="s">
        <v>57</v>
      </c>
      <c r="B18">
        <v>1.2999999999999999E-2</v>
      </c>
      <c r="C18" t="s">
        <v>20</v>
      </c>
    </row>
    <row r="19" spans="1:3" x14ac:dyDescent="0.2">
      <c r="A19" t="s">
        <v>58</v>
      </c>
      <c r="B19">
        <v>6.6E-3</v>
      </c>
      <c r="C19" t="s">
        <v>20</v>
      </c>
    </row>
    <row r="21" spans="1:3" x14ac:dyDescent="0.2">
      <c r="A21" t="s">
        <v>59</v>
      </c>
      <c r="B21">
        <v>3.7999999999999999E-2</v>
      </c>
      <c r="C21" t="s">
        <v>5</v>
      </c>
    </row>
    <row r="22" spans="1:3" x14ac:dyDescent="0.2">
      <c r="A22" t="s">
        <v>60</v>
      </c>
      <c r="B22">
        <v>6.2E-2</v>
      </c>
      <c r="C22" t="s">
        <v>5</v>
      </c>
    </row>
    <row r="23" spans="1:3" x14ac:dyDescent="0.2">
      <c r="A23" t="s">
        <v>61</v>
      </c>
      <c r="B23">
        <v>5.8999999999999997E-2</v>
      </c>
      <c r="C23" t="s">
        <v>5</v>
      </c>
    </row>
    <row r="26" spans="1:3" x14ac:dyDescent="0.2">
      <c r="A26" t="s">
        <v>104</v>
      </c>
      <c r="B26">
        <f>87.3/283</f>
        <v>0.30848056537102475</v>
      </c>
      <c r="C26" t="s">
        <v>105</v>
      </c>
    </row>
    <row r="27" spans="1:3" x14ac:dyDescent="0.2">
      <c r="A27" t="s">
        <v>106</v>
      </c>
      <c r="B27">
        <f>708/((200*400-79*49)*14.2)</f>
        <v>6.5492985497743916E-4</v>
      </c>
      <c r="C27" t="s">
        <v>107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Measured Mass budget RORO1</vt:lpstr>
      <vt:lpstr>Initial Mass budget RORO1</vt:lpstr>
      <vt:lpstr>Payload Budget</vt:lpstr>
      <vt:lpstr>Component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2017-02-19T10:43:15Z</dcterms:created>
  <dcterms:modified xsi:type="dcterms:W3CDTF">2017-06-28T00:12:54Z</dcterms:modified>
</cp:coreProperties>
</file>