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.marder/Documents/Учёба/ТВиМС/"/>
    </mc:Choice>
  </mc:AlternateContent>
  <xr:revisionPtr revIDLastSave="0" documentId="13_ncr:1_{865A8FA5-07FB-584F-8373-ED599707D148}" xr6:coauthVersionLast="45" xr6:coauthVersionMax="45" xr10:uidLastSave="{00000000-0000-0000-0000-000000000000}"/>
  <bookViews>
    <workbookView xWindow="2240" yWindow="2060" windowWidth="28780" windowHeight="18020" activeTab="1" xr2:uid="{2E4558AF-1F05-8C46-A1DE-900E17A2EC5A}"/>
  </bookViews>
  <sheets>
    <sheet name="регрессия" sheetId="1" r:id="rId1"/>
    <sheet name="хи2" sheetId="2" r:id="rId2"/>
    <sheet name="сводная таблица 1" sheetId="5" r:id="rId3"/>
    <sheet name="сводная таблица 2" sheetId="9" r:id="rId4"/>
  </sheets>
  <definedNames>
    <definedName name="X">регрессия!$B$2:$B$51</definedName>
    <definedName name="Y">регрессия!$C$2:$C$51</definedName>
  </definedNames>
  <calcPr calcId="181029"/>
  <pivotCaches>
    <pivotCache cacheId="23" r:id="rId5"/>
    <pivotCache cacheId="2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" i="2" l="1"/>
  <c r="Q27" i="2"/>
  <c r="P3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Q26" i="2"/>
  <c r="Q25" i="2"/>
  <c r="Q24" i="2"/>
  <c r="J29" i="2"/>
  <c r="K29" i="2"/>
  <c r="L29" i="2"/>
  <c r="M29" i="2"/>
  <c r="N29" i="2"/>
  <c r="J30" i="2"/>
  <c r="K30" i="2"/>
  <c r="L30" i="2"/>
  <c r="M30" i="2"/>
  <c r="N30" i="2"/>
  <c r="J31" i="2"/>
  <c r="K31" i="2"/>
  <c r="L31" i="2"/>
  <c r="M31" i="2"/>
  <c r="N31" i="2"/>
  <c r="J32" i="2"/>
  <c r="K32" i="2"/>
  <c r="L32" i="2"/>
  <c r="M32" i="2"/>
  <c r="N32" i="2"/>
  <c r="K28" i="2"/>
  <c r="L28" i="2"/>
  <c r="M28" i="2"/>
  <c r="N28" i="2"/>
  <c r="J28" i="2"/>
  <c r="N24" i="2"/>
  <c r="J23" i="2"/>
  <c r="K23" i="2"/>
  <c r="L23" i="2"/>
  <c r="M23" i="2"/>
  <c r="N23" i="2"/>
  <c r="J24" i="2"/>
  <c r="K24" i="2"/>
  <c r="L24" i="2"/>
  <c r="M24" i="2"/>
  <c r="J25" i="2"/>
  <c r="K25" i="2"/>
  <c r="L25" i="2"/>
  <c r="M25" i="2"/>
  <c r="N25" i="2"/>
  <c r="J26" i="2"/>
  <c r="K26" i="2"/>
  <c r="L26" i="2"/>
  <c r="M26" i="2"/>
  <c r="N26" i="2"/>
  <c r="K22" i="2"/>
  <c r="L22" i="2"/>
  <c r="M22" i="2"/>
  <c r="N22" i="2"/>
  <c r="J22" i="2"/>
  <c r="M10" i="2"/>
  <c r="J4" i="2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46" i="1"/>
  <c r="L41" i="1"/>
  <c r="K41" i="1"/>
  <c r="M41" i="1"/>
  <c r="L40" i="1"/>
  <c r="K40" i="1"/>
  <c r="M40" i="1"/>
  <c r="L30" i="1"/>
  <c r="K30" i="1"/>
  <c r="M35" i="1"/>
  <c r="L35" i="1"/>
  <c r="G40" i="1"/>
  <c r="C54" i="1"/>
  <c r="C55" i="1" s="1"/>
  <c r="C53" i="1"/>
  <c r="X51" i="1" s="1"/>
  <c r="B54" i="1"/>
  <c r="B55" i="1" s="1"/>
  <c r="B53" i="1"/>
  <c r="W3" i="1" s="1"/>
  <c r="C54" i="2"/>
  <c r="B54" i="2"/>
  <c r="C53" i="2"/>
  <c r="M4" i="2" s="1"/>
  <c r="B53" i="2"/>
  <c r="J10" i="2" s="1"/>
  <c r="G21" i="1"/>
  <c r="F25" i="1" s="1"/>
  <c r="F26" i="1" s="1"/>
  <c r="F21" i="1"/>
  <c r="F22" i="1" s="1"/>
  <c r="Y49" i="1" l="1"/>
  <c r="Z49" i="1" s="1"/>
  <c r="Y45" i="1"/>
  <c r="Z45" i="1" s="1"/>
  <c r="Y41" i="1"/>
  <c r="Z41" i="1" s="1"/>
  <c r="Y37" i="1"/>
  <c r="Z37" i="1" s="1"/>
  <c r="Y33" i="1"/>
  <c r="Z33" i="1" s="1"/>
  <c r="Y29" i="1"/>
  <c r="Z29" i="1" s="1"/>
  <c r="Y25" i="1"/>
  <c r="Z25" i="1" s="1"/>
  <c r="Y21" i="1"/>
  <c r="Z21" i="1" s="1"/>
  <c r="Y17" i="1"/>
  <c r="Z17" i="1" s="1"/>
  <c r="Y13" i="1"/>
  <c r="Z13" i="1" s="1"/>
  <c r="Y9" i="1"/>
  <c r="Z9" i="1" s="1"/>
  <c r="Y5" i="1"/>
  <c r="Z5" i="1" s="1"/>
  <c r="Y2" i="1"/>
  <c r="Z2" i="1" s="1"/>
  <c r="Y48" i="1"/>
  <c r="Z48" i="1" s="1"/>
  <c r="Y44" i="1"/>
  <c r="Z44" i="1" s="1"/>
  <c r="Y40" i="1"/>
  <c r="Z40" i="1" s="1"/>
  <c r="Y36" i="1"/>
  <c r="Z36" i="1" s="1"/>
  <c r="Y32" i="1"/>
  <c r="Z32" i="1" s="1"/>
  <c r="Y28" i="1"/>
  <c r="Z28" i="1" s="1"/>
  <c r="Y24" i="1"/>
  <c r="Z24" i="1" s="1"/>
  <c r="Y20" i="1"/>
  <c r="Z20" i="1" s="1"/>
  <c r="Y16" i="1"/>
  <c r="Z16" i="1" s="1"/>
  <c r="Y12" i="1"/>
  <c r="Z12" i="1" s="1"/>
  <c r="Y8" i="1"/>
  <c r="Z8" i="1" s="1"/>
  <c r="Y4" i="1"/>
  <c r="Z4" i="1" s="1"/>
  <c r="Y50" i="1"/>
  <c r="Z50" i="1" s="1"/>
  <c r="Y46" i="1"/>
  <c r="Z46" i="1" s="1"/>
  <c r="Y42" i="1"/>
  <c r="Z42" i="1" s="1"/>
  <c r="Y38" i="1"/>
  <c r="Z38" i="1" s="1"/>
  <c r="Y34" i="1"/>
  <c r="Z34" i="1" s="1"/>
  <c r="Y30" i="1"/>
  <c r="Z30" i="1" s="1"/>
  <c r="Y26" i="1"/>
  <c r="Z26" i="1" s="1"/>
  <c r="Y22" i="1"/>
  <c r="Z22" i="1" s="1"/>
  <c r="Y18" i="1"/>
  <c r="Z18" i="1" s="1"/>
  <c r="Y14" i="1"/>
  <c r="Z14" i="1" s="1"/>
  <c r="Y10" i="1"/>
  <c r="Z10" i="1" s="1"/>
  <c r="Y6" i="1"/>
  <c r="Z6" i="1" s="1"/>
  <c r="Y51" i="1"/>
  <c r="Z51" i="1" s="1"/>
  <c r="Y47" i="1"/>
  <c r="Z47" i="1" s="1"/>
  <c r="Y43" i="1"/>
  <c r="Z43" i="1" s="1"/>
  <c r="Y39" i="1"/>
  <c r="Z39" i="1" s="1"/>
  <c r="Y35" i="1"/>
  <c r="Z35" i="1" s="1"/>
  <c r="Y31" i="1"/>
  <c r="Z31" i="1" s="1"/>
  <c r="Y27" i="1"/>
  <c r="Z27" i="1" s="1"/>
  <c r="Y23" i="1"/>
  <c r="Z23" i="1" s="1"/>
  <c r="Y19" i="1"/>
  <c r="Z19" i="1" s="1"/>
  <c r="Y15" i="1"/>
  <c r="Z15" i="1" s="1"/>
  <c r="Y11" i="1"/>
  <c r="Z11" i="1" s="1"/>
  <c r="Y7" i="1"/>
  <c r="Z7" i="1" s="1"/>
  <c r="Y3" i="1"/>
  <c r="Z3" i="1" s="1"/>
  <c r="X48" i="1"/>
  <c r="X44" i="1"/>
  <c r="X40" i="1"/>
  <c r="X36" i="1"/>
  <c r="X32" i="1"/>
  <c r="X28" i="1"/>
  <c r="X24" i="1"/>
  <c r="X20" i="1"/>
  <c r="X16" i="1"/>
  <c r="X12" i="1"/>
  <c r="X8" i="1"/>
  <c r="X4" i="1"/>
  <c r="X45" i="1"/>
  <c r="X37" i="1"/>
  <c r="X29" i="1"/>
  <c r="X21" i="1"/>
  <c r="X13" i="1"/>
  <c r="X5" i="1"/>
  <c r="X2" i="1"/>
  <c r="X47" i="1"/>
  <c r="X43" i="1"/>
  <c r="X39" i="1"/>
  <c r="X35" i="1"/>
  <c r="X31" i="1"/>
  <c r="X27" i="1"/>
  <c r="X23" i="1"/>
  <c r="X19" i="1"/>
  <c r="X15" i="1"/>
  <c r="X11" i="1"/>
  <c r="X7" i="1"/>
  <c r="X3" i="1"/>
  <c r="X49" i="1"/>
  <c r="X41" i="1"/>
  <c r="X33" i="1"/>
  <c r="X25" i="1"/>
  <c r="X17" i="1"/>
  <c r="X9" i="1"/>
  <c r="X50" i="1"/>
  <c r="X46" i="1"/>
  <c r="X42" i="1"/>
  <c r="X38" i="1"/>
  <c r="X34" i="1"/>
  <c r="X30" i="1"/>
  <c r="X26" i="1"/>
  <c r="X22" i="1"/>
  <c r="X18" i="1"/>
  <c r="X14" i="1"/>
  <c r="X10" i="1"/>
  <c r="X6" i="1"/>
  <c r="C55" i="2"/>
  <c r="C56" i="2" s="1"/>
  <c r="N4" i="2" s="1"/>
  <c r="W50" i="1"/>
  <c r="W46" i="1"/>
  <c r="W42" i="1"/>
  <c r="W38" i="1"/>
  <c r="W34" i="1"/>
  <c r="W30" i="1"/>
  <c r="W26" i="1"/>
  <c r="W22" i="1"/>
  <c r="W18" i="1"/>
  <c r="W14" i="1"/>
  <c r="W10" i="1"/>
  <c r="W6" i="1"/>
  <c r="W49" i="1"/>
  <c r="W45" i="1"/>
  <c r="W41" i="1"/>
  <c r="W37" i="1"/>
  <c r="W33" i="1"/>
  <c r="W29" i="1"/>
  <c r="W25" i="1"/>
  <c r="W21" i="1"/>
  <c r="W17" i="1"/>
  <c r="W13" i="1"/>
  <c r="W9" i="1"/>
  <c r="W5" i="1"/>
  <c r="G22" i="1"/>
  <c r="W2" i="1"/>
  <c r="W48" i="1"/>
  <c r="W44" i="1"/>
  <c r="W40" i="1"/>
  <c r="W36" i="1"/>
  <c r="W32" i="1"/>
  <c r="W28" i="1"/>
  <c r="W24" i="1"/>
  <c r="W20" i="1"/>
  <c r="W16" i="1"/>
  <c r="W12" i="1"/>
  <c r="W8" i="1"/>
  <c r="W4" i="1"/>
  <c r="B55" i="2"/>
  <c r="B57" i="2" s="1"/>
  <c r="K10" i="2" s="1"/>
  <c r="J11" i="2" s="1"/>
  <c r="K11" i="2" s="1"/>
  <c r="W51" i="1"/>
  <c r="W47" i="1"/>
  <c r="W43" i="1"/>
  <c r="W39" i="1"/>
  <c r="W35" i="1"/>
  <c r="W31" i="1"/>
  <c r="W27" i="1"/>
  <c r="W23" i="1"/>
  <c r="W19" i="1"/>
  <c r="W15" i="1"/>
  <c r="W11" i="1"/>
  <c r="W7" i="1"/>
  <c r="C57" i="2"/>
  <c r="N10" i="2" s="1"/>
  <c r="M11" i="2" s="1"/>
  <c r="N11" i="2" s="1"/>
  <c r="E20" i="2" l="1"/>
  <c r="E8" i="2"/>
  <c r="E14" i="2"/>
  <c r="M5" i="2"/>
  <c r="N5" i="2" s="1"/>
  <c r="M6" i="2" s="1"/>
  <c r="N6" i="2" s="1"/>
  <c r="M7" i="2" s="1"/>
  <c r="N7" i="2" s="1"/>
  <c r="M8" i="2" s="1"/>
  <c r="N8" i="2" s="1"/>
  <c r="E30" i="2" s="1"/>
  <c r="E34" i="2"/>
  <c r="E10" i="2"/>
  <c r="E50" i="2"/>
  <c r="E46" i="2"/>
  <c r="E39" i="2"/>
  <c r="E28" i="2"/>
  <c r="E36" i="2"/>
  <c r="E37" i="2"/>
  <c r="E49" i="2"/>
  <c r="E13" i="2"/>
  <c r="E41" i="2"/>
  <c r="E9" i="2"/>
  <c r="E25" i="2"/>
  <c r="E45" i="2"/>
  <c r="E44" i="2"/>
  <c r="E12" i="2"/>
  <c r="E3" i="2"/>
  <c r="E35" i="2"/>
  <c r="E51" i="2"/>
  <c r="E2" i="2"/>
  <c r="E40" i="2"/>
  <c r="I30" i="1"/>
  <c r="G30" i="1"/>
  <c r="F30" i="1"/>
  <c r="H30" i="1"/>
  <c r="B56" i="2"/>
  <c r="K4" i="2" s="1"/>
  <c r="E18" i="2" l="1"/>
  <c r="E7" i="2"/>
  <c r="E15" i="2"/>
  <c r="E19" i="2"/>
  <c r="E32" i="2"/>
  <c r="E22" i="2"/>
  <c r="E16" i="2"/>
  <c r="E42" i="2"/>
  <c r="E24" i="2"/>
  <c r="E11" i="2"/>
  <c r="E33" i="2"/>
  <c r="E47" i="2"/>
  <c r="E6" i="2"/>
  <c r="E31" i="2"/>
  <c r="E5" i="2"/>
  <c r="D8" i="2"/>
  <c r="J5" i="2"/>
  <c r="K5" i="2" s="1"/>
  <c r="J6" i="2" s="1"/>
  <c r="K6" i="2" s="1"/>
  <c r="J7" i="2" s="1"/>
  <c r="K7" i="2" s="1"/>
  <c r="J8" i="2" s="1"/>
  <c r="K8" i="2" s="1"/>
  <c r="D14" i="2"/>
  <c r="D20" i="2"/>
  <c r="E29" i="2"/>
  <c r="E21" i="2"/>
  <c r="E23" i="2"/>
  <c r="E4" i="2"/>
  <c r="E48" i="2"/>
  <c r="E43" i="2"/>
  <c r="E38" i="2"/>
  <c r="E27" i="2"/>
  <c r="E26" i="2"/>
  <c r="E17" i="2"/>
  <c r="D35" i="2"/>
  <c r="D27" i="2"/>
  <c r="D44" i="2"/>
  <c r="D28" i="2"/>
  <c r="D26" i="2"/>
  <c r="D23" i="2"/>
  <c r="D30" i="2"/>
  <c r="D49" i="2"/>
  <c r="D40" i="2"/>
  <c r="D24" i="2"/>
  <c r="D45" i="2"/>
  <c r="D9" i="2"/>
  <c r="D43" i="2"/>
  <c r="D46" i="2"/>
  <c r="D10" i="2"/>
  <c r="D41" i="2"/>
  <c r="D48" i="2"/>
  <c r="D32" i="2"/>
  <c r="D51" i="2"/>
  <c r="D18" i="2"/>
  <c r="H25" i="1"/>
  <c r="J30" i="1"/>
  <c r="K35" i="1" s="1"/>
  <c r="D2" i="2" l="1"/>
  <c r="D12" i="2"/>
  <c r="D5" i="2"/>
  <c r="D50" i="2"/>
  <c r="D6" i="2"/>
  <c r="D3" i="2"/>
  <c r="D13" i="2"/>
  <c r="D15" i="2"/>
  <c r="D31" i="2"/>
  <c r="D33" i="2"/>
  <c r="D42" i="2"/>
  <c r="D25" i="2"/>
  <c r="D16" i="2"/>
  <c r="D21" i="2"/>
  <c r="D39" i="2"/>
  <c r="D11" i="2"/>
  <c r="D7" i="2"/>
  <c r="D29" i="2"/>
  <c r="D37" i="2"/>
  <c r="D19" i="2"/>
  <c r="D38" i="2"/>
  <c r="D47" i="2"/>
  <c r="D22" i="2"/>
  <c r="D36" i="2"/>
  <c r="D17" i="2"/>
  <c r="D34" i="2"/>
  <c r="D4" i="2"/>
  <c r="G34" i="1"/>
  <c r="G35" i="1" s="1"/>
  <c r="F40" i="1" l="1"/>
  <c r="G36" i="1"/>
</calcChain>
</file>

<file path=xl/sharedStrings.xml><?xml version="1.0" encoding="utf-8"?>
<sst xmlns="http://schemas.openxmlformats.org/spreadsheetml/2006/main" count="118" uniqueCount="102">
  <si>
    <t>X = N(5,2)</t>
  </si>
  <si>
    <t>Y = 7 * X - 2 + 4 * err</t>
  </si>
  <si>
    <t>мин</t>
  </si>
  <si>
    <t>макс</t>
  </si>
  <si>
    <t>размах</t>
  </si>
  <si>
    <t>размах интервала 1</t>
  </si>
  <si>
    <t>размах интервала 2</t>
  </si>
  <si>
    <t>rxy</t>
  </si>
  <si>
    <t>rxy^2</t>
  </si>
  <si>
    <t>функцией</t>
  </si>
  <si>
    <t>формулой</t>
  </si>
  <si>
    <t>коэфф регрессии</t>
  </si>
  <si>
    <t>beta1</t>
  </si>
  <si>
    <t>beta0</t>
  </si>
  <si>
    <t>срзнач</t>
  </si>
  <si>
    <t>диспр</t>
  </si>
  <si>
    <t>сигма</t>
  </si>
  <si>
    <t>анализ данных (для проверки)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</si>
  <si>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</si>
  <si>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</si>
  <si>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</si>
  <si>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</si>
  <si>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</si>
  <si>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</si>
  <si>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</si>
  <si>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</si>
  <si>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</si>
  <si>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</si>
  <si>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</si>
  <si>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</si>
  <si>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</si>
  <si>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</si>
  <si>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</si>
  <si>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</si>
  <si>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</si>
  <si>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</si>
  <si>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</si>
  <si>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</si>
  <si>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</si>
  <si>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</si>
  <si>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</si>
  <si>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</si>
  <si>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</si>
  <si>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дисп анализ</t>
  </si>
  <si>
    <t>суммы</t>
  </si>
  <si>
    <t>Qxy</t>
  </si>
  <si>
    <t>Qx</t>
  </si>
  <si>
    <t>Qy</t>
  </si>
  <si>
    <t>X - Xср</t>
  </si>
  <si>
    <t>Y - Yср</t>
  </si>
  <si>
    <t>~Y</t>
  </si>
  <si>
    <t>Y - ~Y = e</t>
  </si>
  <si>
    <t>Qe</t>
  </si>
  <si>
    <t>Qr</t>
  </si>
  <si>
    <t>Ошибки рассеяны очень случайно и не поддаются какому-то описанию законом</t>
  </si>
  <si>
    <t>Как отдельный фактор учитывать не имеет смысла</t>
  </si>
  <si>
    <t>расчетный коэфф детерминации R^2</t>
  </si>
  <si>
    <t>R^2</t>
  </si>
  <si>
    <t>- оценка rxy</t>
  </si>
  <si>
    <t>R</t>
  </si>
  <si>
    <t>ошибка незначительна</t>
  </si>
  <si>
    <t>оценка значимости R</t>
  </si>
  <si>
    <t>сумма ошибок незначительна в сравнении с суммой по R</t>
  </si>
  <si>
    <t>(R - rxy)^2</t>
  </si>
  <si>
    <t>t-стат</t>
  </si>
  <si>
    <t>практ</t>
  </si>
  <si>
    <t>теор</t>
  </si>
  <si>
    <t>alpha =</t>
  </si>
  <si>
    <t>гипотеза R = 0 отклоняется, тк tпракт &gt; t теор</t>
  </si>
  <si>
    <t>F-стат</t>
  </si>
  <si>
    <t>оценка значимости регрессии</t>
  </si>
  <si>
    <t>Fпракт &gt; F теор - значима, beta1 ≠ 0</t>
  </si>
  <si>
    <t>p-value</t>
  </si>
  <si>
    <t>оценка</t>
  </si>
  <si>
    <t>beta1 t-стат</t>
  </si>
  <si>
    <t>beta0 t-стат</t>
  </si>
  <si>
    <t>Se^2</t>
  </si>
  <si>
    <t>Sr^2</t>
  </si>
  <si>
    <t>станд ошибка</t>
  </si>
  <si>
    <t>коэфф значимый</t>
  </si>
  <si>
    <t>коэфф не значимый, тк p-value &gt; 0.05</t>
  </si>
  <si>
    <t>границы доверительного интервала для ~Y</t>
  </si>
  <si>
    <t>лев</t>
  </si>
  <si>
    <t>прав</t>
  </si>
  <si>
    <t>интервалы X</t>
  </si>
  <si>
    <t>интервалы Y</t>
  </si>
  <si>
    <t>Общий итог</t>
  </si>
  <si>
    <t>X квантизированное 1</t>
  </si>
  <si>
    <t>Y квантизированное 2</t>
  </si>
  <si>
    <t>Y квантизированное 1</t>
  </si>
  <si>
    <t>Количество по полю X квантизированное</t>
  </si>
  <si>
    <t>Результаты ХИ2 теста для 5 интервалов</t>
  </si>
  <si>
    <t>ХИ2ТЕСТ</t>
  </si>
  <si>
    <t>Число степеней свободы =</t>
  </si>
  <si>
    <t>- p-value</t>
  </si>
  <si>
    <t>Практ стат</t>
  </si>
  <si>
    <t>Теор стат</t>
  </si>
  <si>
    <t>Практ &gt; стат - гипотеза о независимости двух величин не принимается</t>
  </si>
  <si>
    <t>X квантизированное 2</t>
  </si>
  <si>
    <t>Количество по полю X квантизированное 2</t>
  </si>
  <si>
    <t>ХИ2 тест для 2 интервалов</t>
  </si>
  <si>
    <t>Практ &gt; стат - гипотеза о равенстве появления события 1 в обоих сериях не отклоняется - выборки не являются однородными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</si>
</sst>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3" borderId="0" xfId="0" applyFill="1" applyBorder="1" applyAlignment="1"/>
    <xf numFmtId="0" fontId="0" fillId="4" borderId="0" xfId="0" applyFill="1" applyBorder="1" applyAlignment="1"/>
    <xf numFmtId="0" fontId="0" fillId="5" borderId="2" xfId="0" applyFill="1" applyBorder="1" applyAlignment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righ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6" borderId="0" xfId="0" applyFill="1"/>
    <xf numFmtId="0" fontId="0" fillId="7" borderId="1" xfId="0" applyFill="1" applyBorder="1"/>
    <xf numFmtId="0" fontId="0" fillId="7" borderId="0" xfId="0" applyFill="1" applyBorder="1" applyAlignment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8" borderId="1" xfId="0" applyFill="1" applyBorder="1"/>
    <xf numFmtId="0" fontId="0" fillId="8" borderId="0" xfId="0" applyFill="1" applyBorder="1" applyAlignment="1"/>
    <xf numFmtId="0" fontId="0" fillId="9" borderId="1" xfId="0" applyFill="1" applyBorder="1"/>
    <xf numFmtId="0" fontId="0" fillId="9" borderId="2" xfId="0" applyFill="1" applyBorder="1" applyAlignment="1"/>
    <xf numFmtId="0" fontId="0" fillId="10" borderId="1" xfId="0" applyFill="1" applyBorder="1"/>
    <xf numFmtId="0" fontId="0" fillId="10" borderId="0" xfId="0" applyFill="1" applyBorder="1" applyAlignment="1"/>
    <xf numFmtId="0" fontId="0" fillId="10" borderId="1" xfId="0" applyNumberFormat="1" applyFill="1" applyBorder="1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NumberFormat="1" applyFont="1" applyFill="1" applyBorder="1"/>
    <xf numFmtId="0" fontId="1" fillId="0" borderId="1" xfId="0" applyFont="1" applyFill="1" applyBorder="1"/>
    <xf numFmtId="0" fontId="0" fillId="0" borderId="1" xfId="0" applyFill="1" applyBorder="1" applyAlignment="1">
      <alignment horizontal="left"/>
    </xf>
    <xf numFmtId="0" fontId="0" fillId="0" borderId="1" xfId="0" applyNumberFormat="1" applyFill="1" applyBorder="1"/>
    <xf numFmtId="0" fontId="1" fillId="0" borderId="1" xfId="0" applyFont="1" applyFill="1" applyBorder="1" applyAlignment="1">
      <alignment horizontal="left"/>
    </xf>
    <xf numFmtId="0" fontId="1" fillId="0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aseline="0"/>
              <a:t>Диаграмма рассеяния </a:t>
            </a:r>
            <a:r>
              <a:rPr lang="en-US" sz="2000" baseline="0"/>
              <a:t>Y - X</a:t>
            </a:r>
            <a:endParaRPr lang="ru-RU" sz="20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265039219912874"/>
                  <c:y val="-1.590432049740180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6,9963x - 0,126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0,9914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регрессия!$B$2:$B$51</c:f>
              <c:numCache>
                <c:formatCode>General</c:formatCode>
                <c:ptCount val="50"/>
                <c:pt idx="0">
                  <c:v>6.3871749615645967</c:v>
                </c:pt>
                <c:pt idx="1">
                  <c:v>5.4455068847164512</c:v>
                </c:pt>
                <c:pt idx="2">
                  <c:v>6.6949934433796443</c:v>
                </c:pt>
                <c:pt idx="3">
                  <c:v>3.1420432959566824</c:v>
                </c:pt>
                <c:pt idx="4">
                  <c:v>5.4822504706680775</c:v>
                </c:pt>
                <c:pt idx="5">
                  <c:v>6.184484972327482</c:v>
                </c:pt>
                <c:pt idx="6">
                  <c:v>2.2269870340824127</c:v>
                </c:pt>
                <c:pt idx="7">
                  <c:v>5.2874730853363872</c:v>
                </c:pt>
                <c:pt idx="8">
                  <c:v>8.277864379924722</c:v>
                </c:pt>
                <c:pt idx="9">
                  <c:v>4.1498339113604743</c:v>
                </c:pt>
                <c:pt idx="10">
                  <c:v>7.2281165001913905</c:v>
                </c:pt>
                <c:pt idx="11">
                  <c:v>8.0533010431099683</c:v>
                </c:pt>
                <c:pt idx="12">
                  <c:v>1.3369555189274251</c:v>
                </c:pt>
                <c:pt idx="13">
                  <c:v>3.5123986334656365</c:v>
                </c:pt>
                <c:pt idx="14">
                  <c:v>4.3745200299599674</c:v>
                </c:pt>
                <c:pt idx="15">
                  <c:v>3.7032651915797032</c:v>
                </c:pt>
                <c:pt idx="16">
                  <c:v>4.9119177118700463</c:v>
                </c:pt>
                <c:pt idx="17">
                  <c:v>3.9299317348923068</c:v>
                </c:pt>
                <c:pt idx="18">
                  <c:v>2.7855850374908186</c:v>
                </c:pt>
                <c:pt idx="19">
                  <c:v>7.1404184735729359</c:v>
                </c:pt>
                <c:pt idx="20">
                  <c:v>9.92902472615242</c:v>
                </c:pt>
                <c:pt idx="21">
                  <c:v>6.0561166163824964</c:v>
                </c:pt>
                <c:pt idx="22">
                  <c:v>3.6879311109078117</c:v>
                </c:pt>
                <c:pt idx="23">
                  <c:v>7.8452268452383578</c:v>
                </c:pt>
                <c:pt idx="24">
                  <c:v>6.2249756764504127</c:v>
                </c:pt>
                <c:pt idx="25">
                  <c:v>3.9855359672219492</c:v>
                </c:pt>
                <c:pt idx="26">
                  <c:v>7.2952963263378479</c:v>
                </c:pt>
                <c:pt idx="27">
                  <c:v>6.4266674952523317</c:v>
                </c:pt>
                <c:pt idx="28">
                  <c:v>8.6622623156290501</c:v>
                </c:pt>
                <c:pt idx="29">
                  <c:v>3.8833837960555684</c:v>
                </c:pt>
                <c:pt idx="30">
                  <c:v>6.3039812074566726</c:v>
                </c:pt>
                <c:pt idx="31">
                  <c:v>3.1711334839928895</c:v>
                </c:pt>
                <c:pt idx="32">
                  <c:v>4.3665142028476112</c:v>
                </c:pt>
                <c:pt idx="33">
                  <c:v>6.1655856724246405</c:v>
                </c:pt>
                <c:pt idx="34">
                  <c:v>6.436198999726912</c:v>
                </c:pt>
                <c:pt idx="35">
                  <c:v>6.0588610166450962</c:v>
                </c:pt>
                <c:pt idx="36">
                  <c:v>3.694570422230754</c:v>
                </c:pt>
                <c:pt idx="37">
                  <c:v>7.531805876060389</c:v>
                </c:pt>
                <c:pt idx="38">
                  <c:v>5.9024688552017324</c:v>
                </c:pt>
                <c:pt idx="39">
                  <c:v>4.6277028913027607</c:v>
                </c:pt>
                <c:pt idx="40">
                  <c:v>5.2115939423674718</c:v>
                </c:pt>
                <c:pt idx="41">
                  <c:v>5.2789647624013014</c:v>
                </c:pt>
                <c:pt idx="42">
                  <c:v>6.1219754014746286</c:v>
                </c:pt>
                <c:pt idx="43">
                  <c:v>5.6288200893322937</c:v>
                </c:pt>
                <c:pt idx="44">
                  <c:v>4.5088410287280567</c:v>
                </c:pt>
                <c:pt idx="45">
                  <c:v>3.8991203281329945</c:v>
                </c:pt>
                <c:pt idx="46">
                  <c:v>9.4278567656874657</c:v>
                </c:pt>
                <c:pt idx="47">
                  <c:v>5.021600499167107</c:v>
                </c:pt>
                <c:pt idx="48">
                  <c:v>7.7864007279276848</c:v>
                </c:pt>
                <c:pt idx="49">
                  <c:v>5.1551916284370236</c:v>
                </c:pt>
              </c:numCache>
            </c:numRef>
          </c:xVal>
          <c:yVal>
            <c:numRef>
              <c:f>регрессия!$C$2:$C$51</c:f>
              <c:numCache>
                <c:formatCode>General</c:formatCode>
                <c:ptCount val="50"/>
                <c:pt idx="0">
                  <c:v>43.376585426780373</c:v>
                </c:pt>
                <c:pt idx="1">
                  <c:v>38.993953911204358</c:v>
                </c:pt>
                <c:pt idx="2">
                  <c:v>46.465134105434423</c:v>
                </c:pt>
                <c:pt idx="3">
                  <c:v>20.943176921352283</c:v>
                </c:pt>
                <c:pt idx="4">
                  <c:v>37.023559293211314</c:v>
                </c:pt>
                <c:pt idx="5">
                  <c:v>42.615298626196527</c:v>
                </c:pt>
                <c:pt idx="6">
                  <c:v>14.728649169707193</c:v>
                </c:pt>
                <c:pt idx="7">
                  <c:v>37.147366371022144</c:v>
                </c:pt>
                <c:pt idx="8">
                  <c:v>55.950120555546768</c:v>
                </c:pt>
                <c:pt idx="9">
                  <c:v>27.688359216612433</c:v>
                </c:pt>
                <c:pt idx="10">
                  <c:v>50.181457710327393</c:v>
                </c:pt>
                <c:pt idx="11">
                  <c:v>55.795242446757484</c:v>
                </c:pt>
                <c:pt idx="12">
                  <c:v>7.5504507884379901</c:v>
                </c:pt>
                <c:pt idx="13">
                  <c:v>24.606045475826157</c:v>
                </c:pt>
                <c:pt idx="14">
                  <c:v>32.443967753075839</c:v>
                </c:pt>
                <c:pt idx="15">
                  <c:v>24.376570295528069</c:v>
                </c:pt>
                <c:pt idx="16">
                  <c:v>36.315727846862636</c:v>
                </c:pt>
                <c:pt idx="17">
                  <c:v>29.105007907079795</c:v>
                </c:pt>
                <c:pt idx="18">
                  <c:v>18.380457204477505</c:v>
                </c:pt>
                <c:pt idx="19">
                  <c:v>47.998465743558114</c:v>
                </c:pt>
                <c:pt idx="20">
                  <c:v>69.956543953152192</c:v>
                </c:pt>
                <c:pt idx="21">
                  <c:v>42.043376357545895</c:v>
                </c:pt>
                <c:pt idx="22">
                  <c:v>27.265055693322598</c:v>
                </c:pt>
                <c:pt idx="23">
                  <c:v>54.023381362993995</c:v>
                </c:pt>
                <c:pt idx="24">
                  <c:v>42.604327362068517</c:v>
                </c:pt>
                <c:pt idx="25">
                  <c:v>26.360370190096702</c:v>
                </c:pt>
                <c:pt idx="26">
                  <c:v>49.290849062546606</c:v>
                </c:pt>
                <c:pt idx="27">
                  <c:v>46.116936094417419</c:v>
                </c:pt>
                <c:pt idx="28">
                  <c:v>61.21432499678663</c:v>
                </c:pt>
                <c:pt idx="29">
                  <c:v>26.477410556969605</c:v>
                </c:pt>
                <c:pt idx="30">
                  <c:v>43.090199153803752</c:v>
                </c:pt>
                <c:pt idx="31">
                  <c:v>22.922305531344243</c:v>
                </c:pt>
                <c:pt idx="32">
                  <c:v>31.084533957744661</c:v>
                </c:pt>
                <c:pt idx="33">
                  <c:v>44.665320402843861</c:v>
                </c:pt>
                <c:pt idx="34">
                  <c:v>44.515841349964219</c:v>
                </c:pt>
                <c:pt idx="35">
                  <c:v>40.460543831774359</c:v>
                </c:pt>
                <c:pt idx="36">
                  <c:v>24.936624775711081</c:v>
                </c:pt>
                <c:pt idx="37">
                  <c:v>53.65123615847623</c:v>
                </c:pt>
                <c:pt idx="38">
                  <c:v>40.280539735831354</c:v>
                </c:pt>
                <c:pt idx="39">
                  <c:v>33.397850330412282</c:v>
                </c:pt>
                <c:pt idx="40">
                  <c:v>37.59745371708199</c:v>
                </c:pt>
                <c:pt idx="41">
                  <c:v>35.478129495329384</c:v>
                </c:pt>
                <c:pt idx="42">
                  <c:v>42.942101826451349</c:v>
                </c:pt>
                <c:pt idx="43">
                  <c:v>38.577387627948958</c:v>
                </c:pt>
                <c:pt idx="44">
                  <c:v>33.077179014357334</c:v>
                </c:pt>
                <c:pt idx="45">
                  <c:v>28.088870438547726</c:v>
                </c:pt>
                <c:pt idx="46">
                  <c:v>66.270950739188891</c:v>
                </c:pt>
                <c:pt idx="47">
                  <c:v>36.732816438686051</c:v>
                </c:pt>
                <c:pt idx="48">
                  <c:v>55.657087438333654</c:v>
                </c:pt>
                <c:pt idx="49">
                  <c:v>38.056283600035428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D-544C-8966-B15CEC291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361184"/>
        <c:axId val="1055725856"/>
      </c:scatterChart>
      <c:valAx>
        <c:axId val="108636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5725856"/>
        <c:crosses val="autoZero"/>
        <c:crossBetween val="midCat"/>
      </c:valAx>
      <c:valAx>
        <c:axId val="10557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36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ошибок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регрессия!$Z$2:$Z$51</c:f>
              <c:numCache>
                <c:formatCode>General</c:formatCode>
                <c:ptCount val="50"/>
                <c:pt idx="0">
                  <c:v>-1.1837868908430735</c:v>
                </c:pt>
                <c:pt idx="1">
                  <c:v>1.0217466464258749</c:v>
                </c:pt>
                <c:pt idx="2">
                  <c:v>-0.24881972819567011</c:v>
                </c:pt>
                <c:pt idx="3">
                  <c:v>-0.91337484965374927</c:v>
                </c:pt>
                <c:pt idx="4">
                  <c:v>-1.2057160562079403</c:v>
                </c:pt>
                <c:pt idx="5">
                  <c:v>-0.52699959877736546</c:v>
                </c:pt>
                <c:pt idx="6">
                  <c:v>-0.72592101767637196</c:v>
                </c:pt>
                <c:pt idx="7">
                  <c:v>0.28080639305505173</c:v>
                </c:pt>
                <c:pt idx="8">
                  <c:v>-1.8380273000517704</c:v>
                </c:pt>
                <c:pt idx="9">
                  <c:v>-1.2189688058424153</c:v>
                </c:pt>
                <c:pt idx="10">
                  <c:v>-0.26236950236960155</c:v>
                </c:pt>
                <c:pt idx="11">
                  <c:v>-0.42179944897342381</c:v>
                </c:pt>
                <c:pt idx="12">
                  <c:v>-1.6772177249491165</c:v>
                </c:pt>
                <c:pt idx="13">
                  <c:v>0.15838739921201395</c:v>
                </c:pt>
                <c:pt idx="14">
                  <c:v>1.9646747561140891</c:v>
                </c:pt>
                <c:pt idx="15">
                  <c:v>-1.4064419455096342</c:v>
                </c:pt>
                <c:pt idx="16">
                  <c:v>2.0766550352445847</c:v>
                </c:pt>
                <c:pt idx="17">
                  <c:v>1.7361751035573363</c:v>
                </c:pt>
                <c:pt idx="18">
                  <c:v>-0.98221599194296516</c:v>
                </c:pt>
                <c:pt idx="19">
                  <c:v>-1.8318023092011018</c:v>
                </c:pt>
                <c:pt idx="20">
                  <c:v>0.61643085936609054</c:v>
                </c:pt>
                <c:pt idx="21">
                  <c:v>-0.20082206207132458</c:v>
                </c:pt>
                <c:pt idx="22">
                  <c:v>1.5893248361226</c:v>
                </c:pt>
                <c:pt idx="23">
                  <c:v>-0.73791705738752711</c:v>
                </c:pt>
                <c:pt idx="24">
                  <c:v>-0.82125480172238241</c:v>
                </c:pt>
                <c:pt idx="25">
                  <c:v>-1.3974848912654849</c:v>
                </c:pt>
                <c:pt idx="26">
                  <c:v>-1.622986419259064</c:v>
                </c:pt>
                <c:pt idx="27">
                  <c:v>1.2802633088406594</c:v>
                </c:pt>
                <c:pt idx="28">
                  <c:v>0.73682501313311377</c:v>
                </c:pt>
                <c:pt idx="29">
                  <c:v>-0.56576025219853321</c:v>
                </c:pt>
                <c:pt idx="30">
                  <c:v>-0.88812711500031583</c:v>
                </c:pt>
                <c:pt idx="31">
                  <c:v>0.86223092154526526</c:v>
                </c:pt>
                <c:pt idx="32">
                  <c:v>0.66125189679900842</c:v>
                </c:pt>
                <c:pt idx="33">
                  <c:v>1.6552468016035107</c:v>
                </c:pt>
                <c:pt idx="34">
                  <c:v>-0.38751642390548824</c:v>
                </c:pt>
                <c:pt idx="35">
                  <c:v>-1.8028551557983903</c:v>
                </c:pt>
                <c:pt idx="36">
                  <c:v>-0.78555650272350874</c:v>
                </c:pt>
                <c:pt idx="37">
                  <c:v>1.0827157739376716</c:v>
                </c:pt>
                <c:pt idx="38">
                  <c:v>-0.88869730881061315</c:v>
                </c:pt>
                <c:pt idx="39">
                  <c:v>1.1472214242404917</c:v>
                </c:pt>
                <c:pt idx="40">
                  <c:v>1.2617647861836971</c:v>
                </c:pt>
                <c:pt idx="41">
                  <c:v>-1.3289039496720036</c:v>
                </c:pt>
                <c:pt idx="42">
                  <c:v>0.23713749893686042</c:v>
                </c:pt>
                <c:pt idx="43">
                  <c:v>-0.67732849325948052</c:v>
                </c:pt>
                <c:pt idx="44">
                  <c:v>1.6581399097128227</c:v>
                </c:pt>
                <c:pt idx="45">
                  <c:v>0.93560258644649608</c:v>
                </c:pt>
                <c:pt idx="46">
                  <c:v>0.43714451076044725</c:v>
                </c:pt>
                <c:pt idx="47">
                  <c:v>1.7263731236653967</c:v>
                </c:pt>
                <c:pt idx="48">
                  <c:v>1.3073524762334472</c:v>
                </c:pt>
                <c:pt idx="49">
                  <c:v>2.1152005421321149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1-E347-BA82-2A6007422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49696"/>
        <c:axId val="1086126752"/>
      </c:scatterChart>
      <c:valAx>
        <c:axId val="10870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126752"/>
        <c:crosses val="autoZero"/>
        <c:crossBetween val="midCat"/>
      </c:valAx>
      <c:valAx>
        <c:axId val="10861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704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регрессии с модельным интервалом для </a:t>
            </a:r>
            <a:r>
              <a:rPr lang="en-US" baseline="0"/>
              <a:t>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регрессия!$B$2:$B$51</c:f>
              <c:numCache>
                <c:formatCode>General</c:formatCode>
                <c:ptCount val="50"/>
                <c:pt idx="0">
                  <c:v>6.3871749615645967</c:v>
                </c:pt>
                <c:pt idx="1">
                  <c:v>5.4455068847164512</c:v>
                </c:pt>
                <c:pt idx="2">
                  <c:v>6.6949934433796443</c:v>
                </c:pt>
                <c:pt idx="3">
                  <c:v>3.1420432959566824</c:v>
                </c:pt>
                <c:pt idx="4">
                  <c:v>5.4822504706680775</c:v>
                </c:pt>
                <c:pt idx="5">
                  <c:v>6.184484972327482</c:v>
                </c:pt>
                <c:pt idx="6">
                  <c:v>2.2269870340824127</c:v>
                </c:pt>
                <c:pt idx="7">
                  <c:v>5.2874730853363872</c:v>
                </c:pt>
                <c:pt idx="8">
                  <c:v>8.277864379924722</c:v>
                </c:pt>
                <c:pt idx="9">
                  <c:v>4.1498339113604743</c:v>
                </c:pt>
                <c:pt idx="10">
                  <c:v>7.2281165001913905</c:v>
                </c:pt>
                <c:pt idx="11">
                  <c:v>8.0533010431099683</c:v>
                </c:pt>
                <c:pt idx="12">
                  <c:v>1.3369555189274251</c:v>
                </c:pt>
                <c:pt idx="13">
                  <c:v>3.5123986334656365</c:v>
                </c:pt>
                <c:pt idx="14">
                  <c:v>4.3745200299599674</c:v>
                </c:pt>
                <c:pt idx="15">
                  <c:v>3.7032651915797032</c:v>
                </c:pt>
                <c:pt idx="16">
                  <c:v>4.9119177118700463</c:v>
                </c:pt>
                <c:pt idx="17">
                  <c:v>3.9299317348923068</c:v>
                </c:pt>
                <c:pt idx="18">
                  <c:v>2.7855850374908186</c:v>
                </c:pt>
                <c:pt idx="19">
                  <c:v>7.1404184735729359</c:v>
                </c:pt>
                <c:pt idx="20">
                  <c:v>9.92902472615242</c:v>
                </c:pt>
                <c:pt idx="21">
                  <c:v>6.0561166163824964</c:v>
                </c:pt>
                <c:pt idx="22">
                  <c:v>3.6879311109078117</c:v>
                </c:pt>
                <c:pt idx="23">
                  <c:v>7.8452268452383578</c:v>
                </c:pt>
                <c:pt idx="24">
                  <c:v>6.2249756764504127</c:v>
                </c:pt>
                <c:pt idx="25">
                  <c:v>3.9855359672219492</c:v>
                </c:pt>
                <c:pt idx="26">
                  <c:v>7.2952963263378479</c:v>
                </c:pt>
                <c:pt idx="27">
                  <c:v>6.4266674952523317</c:v>
                </c:pt>
                <c:pt idx="28">
                  <c:v>8.6622623156290501</c:v>
                </c:pt>
                <c:pt idx="29">
                  <c:v>3.8833837960555684</c:v>
                </c:pt>
                <c:pt idx="30">
                  <c:v>6.3039812074566726</c:v>
                </c:pt>
                <c:pt idx="31">
                  <c:v>3.1711334839928895</c:v>
                </c:pt>
                <c:pt idx="32">
                  <c:v>4.3665142028476112</c:v>
                </c:pt>
                <c:pt idx="33">
                  <c:v>6.1655856724246405</c:v>
                </c:pt>
                <c:pt idx="34">
                  <c:v>6.436198999726912</c:v>
                </c:pt>
                <c:pt idx="35">
                  <c:v>6.0588610166450962</c:v>
                </c:pt>
                <c:pt idx="36">
                  <c:v>3.694570422230754</c:v>
                </c:pt>
                <c:pt idx="37">
                  <c:v>7.531805876060389</c:v>
                </c:pt>
                <c:pt idx="38">
                  <c:v>5.9024688552017324</c:v>
                </c:pt>
                <c:pt idx="39">
                  <c:v>4.6277028913027607</c:v>
                </c:pt>
                <c:pt idx="40">
                  <c:v>5.2115939423674718</c:v>
                </c:pt>
                <c:pt idx="41">
                  <c:v>5.2789647624013014</c:v>
                </c:pt>
                <c:pt idx="42">
                  <c:v>6.1219754014746286</c:v>
                </c:pt>
                <c:pt idx="43">
                  <c:v>5.6288200893322937</c:v>
                </c:pt>
                <c:pt idx="44">
                  <c:v>4.5088410287280567</c:v>
                </c:pt>
                <c:pt idx="45">
                  <c:v>3.8991203281329945</c:v>
                </c:pt>
                <c:pt idx="46">
                  <c:v>9.4278567656874657</c:v>
                </c:pt>
                <c:pt idx="47">
                  <c:v>5.021600499167107</c:v>
                </c:pt>
                <c:pt idx="48">
                  <c:v>7.7864007279276848</c:v>
                </c:pt>
                <c:pt idx="49">
                  <c:v>5.1551916284370236</c:v>
                </c:pt>
              </c:numCache>
            </c:numRef>
          </c:xVal>
          <c:yVal>
            <c:numRef>
              <c:f>регрессия!$C$2:$C$51</c:f>
              <c:numCache>
                <c:formatCode>General</c:formatCode>
                <c:ptCount val="50"/>
                <c:pt idx="0">
                  <c:v>43.376585426780373</c:v>
                </c:pt>
                <c:pt idx="1">
                  <c:v>38.993953911204358</c:v>
                </c:pt>
                <c:pt idx="2">
                  <c:v>46.465134105434423</c:v>
                </c:pt>
                <c:pt idx="3">
                  <c:v>20.943176921352283</c:v>
                </c:pt>
                <c:pt idx="4">
                  <c:v>37.023559293211314</c:v>
                </c:pt>
                <c:pt idx="5">
                  <c:v>42.615298626196527</c:v>
                </c:pt>
                <c:pt idx="6">
                  <c:v>14.728649169707193</c:v>
                </c:pt>
                <c:pt idx="7">
                  <c:v>37.147366371022144</c:v>
                </c:pt>
                <c:pt idx="8">
                  <c:v>55.950120555546768</c:v>
                </c:pt>
                <c:pt idx="9">
                  <c:v>27.688359216612433</c:v>
                </c:pt>
                <c:pt idx="10">
                  <c:v>50.181457710327393</c:v>
                </c:pt>
                <c:pt idx="11">
                  <c:v>55.795242446757484</c:v>
                </c:pt>
                <c:pt idx="12">
                  <c:v>7.5504507884379901</c:v>
                </c:pt>
                <c:pt idx="13">
                  <c:v>24.606045475826157</c:v>
                </c:pt>
                <c:pt idx="14">
                  <c:v>32.443967753075839</c:v>
                </c:pt>
                <c:pt idx="15">
                  <c:v>24.376570295528069</c:v>
                </c:pt>
                <c:pt idx="16">
                  <c:v>36.315727846862636</c:v>
                </c:pt>
                <c:pt idx="17">
                  <c:v>29.105007907079795</c:v>
                </c:pt>
                <c:pt idx="18">
                  <c:v>18.380457204477505</c:v>
                </c:pt>
                <c:pt idx="19">
                  <c:v>47.998465743558114</c:v>
                </c:pt>
                <c:pt idx="20">
                  <c:v>69.956543953152192</c:v>
                </c:pt>
                <c:pt idx="21">
                  <c:v>42.043376357545895</c:v>
                </c:pt>
                <c:pt idx="22">
                  <c:v>27.265055693322598</c:v>
                </c:pt>
                <c:pt idx="23">
                  <c:v>54.023381362993995</c:v>
                </c:pt>
                <c:pt idx="24">
                  <c:v>42.604327362068517</c:v>
                </c:pt>
                <c:pt idx="25">
                  <c:v>26.360370190096702</c:v>
                </c:pt>
                <c:pt idx="26">
                  <c:v>49.290849062546606</c:v>
                </c:pt>
                <c:pt idx="27">
                  <c:v>46.116936094417419</c:v>
                </c:pt>
                <c:pt idx="28">
                  <c:v>61.21432499678663</c:v>
                </c:pt>
                <c:pt idx="29">
                  <c:v>26.477410556969605</c:v>
                </c:pt>
                <c:pt idx="30">
                  <c:v>43.090199153803752</c:v>
                </c:pt>
                <c:pt idx="31">
                  <c:v>22.922305531344243</c:v>
                </c:pt>
                <c:pt idx="32">
                  <c:v>31.084533957744661</c:v>
                </c:pt>
                <c:pt idx="33">
                  <c:v>44.665320402843861</c:v>
                </c:pt>
                <c:pt idx="34">
                  <c:v>44.515841349964219</c:v>
                </c:pt>
                <c:pt idx="35">
                  <c:v>40.460543831774359</c:v>
                </c:pt>
                <c:pt idx="36">
                  <c:v>24.936624775711081</c:v>
                </c:pt>
                <c:pt idx="37">
                  <c:v>53.65123615847623</c:v>
                </c:pt>
                <c:pt idx="38">
                  <c:v>40.280539735831354</c:v>
                </c:pt>
                <c:pt idx="39">
                  <c:v>33.397850330412282</c:v>
                </c:pt>
                <c:pt idx="40">
                  <c:v>37.59745371708199</c:v>
                </c:pt>
                <c:pt idx="41">
                  <c:v>35.478129495329384</c:v>
                </c:pt>
                <c:pt idx="42">
                  <c:v>42.942101826451349</c:v>
                </c:pt>
                <c:pt idx="43">
                  <c:v>38.577387627948958</c:v>
                </c:pt>
                <c:pt idx="44">
                  <c:v>33.077179014357334</c:v>
                </c:pt>
                <c:pt idx="45">
                  <c:v>28.088870438547726</c:v>
                </c:pt>
                <c:pt idx="46">
                  <c:v>66.270950739188891</c:v>
                </c:pt>
                <c:pt idx="47">
                  <c:v>36.732816438686051</c:v>
                </c:pt>
                <c:pt idx="48">
                  <c:v>55.657087438333654</c:v>
                </c:pt>
                <c:pt idx="49">
                  <c:v>38.056283600035428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D-A644-BDC6-D15FC36D40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регрессия!$B$2:$B$51</c:f>
              <c:numCache>
                <c:formatCode>General</c:formatCode>
                <c:ptCount val="50"/>
                <c:pt idx="0">
                  <c:v>6.3871749615645967</c:v>
                </c:pt>
                <c:pt idx="1">
                  <c:v>5.4455068847164512</c:v>
                </c:pt>
                <c:pt idx="2">
                  <c:v>6.6949934433796443</c:v>
                </c:pt>
                <c:pt idx="3">
                  <c:v>3.1420432959566824</c:v>
                </c:pt>
                <c:pt idx="4">
                  <c:v>5.4822504706680775</c:v>
                </c:pt>
                <c:pt idx="5">
                  <c:v>6.184484972327482</c:v>
                </c:pt>
                <c:pt idx="6">
                  <c:v>2.2269870340824127</c:v>
                </c:pt>
                <c:pt idx="7">
                  <c:v>5.2874730853363872</c:v>
                </c:pt>
                <c:pt idx="8">
                  <c:v>8.277864379924722</c:v>
                </c:pt>
                <c:pt idx="9">
                  <c:v>4.1498339113604743</c:v>
                </c:pt>
                <c:pt idx="10">
                  <c:v>7.2281165001913905</c:v>
                </c:pt>
                <c:pt idx="11">
                  <c:v>8.0533010431099683</c:v>
                </c:pt>
                <c:pt idx="12">
                  <c:v>1.3369555189274251</c:v>
                </c:pt>
                <c:pt idx="13">
                  <c:v>3.5123986334656365</c:v>
                </c:pt>
                <c:pt idx="14">
                  <c:v>4.3745200299599674</c:v>
                </c:pt>
                <c:pt idx="15">
                  <c:v>3.7032651915797032</c:v>
                </c:pt>
                <c:pt idx="16">
                  <c:v>4.9119177118700463</c:v>
                </c:pt>
                <c:pt idx="17">
                  <c:v>3.9299317348923068</c:v>
                </c:pt>
                <c:pt idx="18">
                  <c:v>2.7855850374908186</c:v>
                </c:pt>
                <c:pt idx="19">
                  <c:v>7.1404184735729359</c:v>
                </c:pt>
                <c:pt idx="20">
                  <c:v>9.92902472615242</c:v>
                </c:pt>
                <c:pt idx="21">
                  <c:v>6.0561166163824964</c:v>
                </c:pt>
                <c:pt idx="22">
                  <c:v>3.6879311109078117</c:v>
                </c:pt>
                <c:pt idx="23">
                  <c:v>7.8452268452383578</c:v>
                </c:pt>
                <c:pt idx="24">
                  <c:v>6.2249756764504127</c:v>
                </c:pt>
                <c:pt idx="25">
                  <c:v>3.9855359672219492</c:v>
                </c:pt>
                <c:pt idx="26">
                  <c:v>7.2952963263378479</c:v>
                </c:pt>
                <c:pt idx="27">
                  <c:v>6.4266674952523317</c:v>
                </c:pt>
                <c:pt idx="28">
                  <c:v>8.6622623156290501</c:v>
                </c:pt>
                <c:pt idx="29">
                  <c:v>3.8833837960555684</c:v>
                </c:pt>
                <c:pt idx="30">
                  <c:v>6.3039812074566726</c:v>
                </c:pt>
                <c:pt idx="31">
                  <c:v>3.1711334839928895</c:v>
                </c:pt>
                <c:pt idx="32">
                  <c:v>4.3665142028476112</c:v>
                </c:pt>
                <c:pt idx="33">
                  <c:v>6.1655856724246405</c:v>
                </c:pt>
                <c:pt idx="34">
                  <c:v>6.436198999726912</c:v>
                </c:pt>
                <c:pt idx="35">
                  <c:v>6.0588610166450962</c:v>
                </c:pt>
                <c:pt idx="36">
                  <c:v>3.694570422230754</c:v>
                </c:pt>
                <c:pt idx="37">
                  <c:v>7.531805876060389</c:v>
                </c:pt>
                <c:pt idx="38">
                  <c:v>5.9024688552017324</c:v>
                </c:pt>
                <c:pt idx="39">
                  <c:v>4.6277028913027607</c:v>
                </c:pt>
                <c:pt idx="40">
                  <c:v>5.2115939423674718</c:v>
                </c:pt>
                <c:pt idx="41">
                  <c:v>5.2789647624013014</c:v>
                </c:pt>
                <c:pt idx="42">
                  <c:v>6.1219754014746286</c:v>
                </c:pt>
                <c:pt idx="43">
                  <c:v>5.6288200893322937</c:v>
                </c:pt>
                <c:pt idx="44">
                  <c:v>4.5088410287280567</c:v>
                </c:pt>
                <c:pt idx="45">
                  <c:v>3.8991203281329945</c:v>
                </c:pt>
                <c:pt idx="46">
                  <c:v>9.4278567656874657</c:v>
                </c:pt>
                <c:pt idx="47">
                  <c:v>5.021600499167107</c:v>
                </c:pt>
                <c:pt idx="48">
                  <c:v>7.7864007279276848</c:v>
                </c:pt>
                <c:pt idx="49">
                  <c:v>5.1551916284370236</c:v>
                </c:pt>
              </c:numCache>
            </c:numRef>
          </c:xVal>
          <c:yVal>
            <c:numRef>
              <c:f>регрессия!$F$46:$F$95</c:f>
              <c:numCache>
                <c:formatCode>General</c:formatCode>
                <c:ptCount val="50"/>
                <c:pt idx="0">
                  <c:v>44.120242986390139</c:v>
                </c:pt>
                <c:pt idx="1">
                  <c:v>37.573155849224889</c:v>
                </c:pt>
                <c:pt idx="2">
                  <c:v>46.241458447226464</c:v>
                </c:pt>
                <c:pt idx="3">
                  <c:v>21.200813459672617</c:v>
                </c:pt>
                <c:pt idx="4">
                  <c:v>37.830517671679921</c:v>
                </c:pt>
                <c:pt idx="5">
                  <c:v>42.719002796975417</c:v>
                </c:pt>
                <c:pt idx="6">
                  <c:v>14.631498916059364</c:v>
                </c:pt>
                <c:pt idx="7">
                  <c:v>36.464425534092157</c:v>
                </c:pt>
                <c:pt idx="8">
                  <c:v>57.068911446639667</c:v>
                </c:pt>
                <c:pt idx="9">
                  <c:v>28.407817518529718</c:v>
                </c:pt>
                <c:pt idx="10">
                  <c:v>49.900038602866907</c:v>
                </c:pt>
                <c:pt idx="11">
                  <c:v>55.538002226983011</c:v>
                </c:pt>
                <c:pt idx="12">
                  <c:v>8.23044866998457</c:v>
                </c:pt>
                <c:pt idx="13">
                  <c:v>23.853980553783231</c:v>
                </c:pt>
                <c:pt idx="14">
                  <c:v>30.007671860362709</c:v>
                </c:pt>
                <c:pt idx="15">
                  <c:v>25.219469571748892</c:v>
                </c:pt>
                <c:pt idx="16">
                  <c:v>33.818239171543766</c:v>
                </c:pt>
                <c:pt idx="17">
                  <c:v>26.839057070669849</c:v>
                </c:pt>
                <c:pt idx="18">
                  <c:v>18.643695131424362</c:v>
                </c:pt>
                <c:pt idx="19">
                  <c:v>49.299295451802031</c:v>
                </c:pt>
                <c:pt idx="20">
                  <c:v>68.301995366085663</c:v>
                </c:pt>
                <c:pt idx="21">
                  <c:v>41.829478679738536</c:v>
                </c:pt>
                <c:pt idx="22">
                  <c:v>25.109820856771588</c:v>
                </c:pt>
                <c:pt idx="23">
                  <c:v>54.118420586873441</c:v>
                </c:pt>
                <c:pt idx="24">
                  <c:v>42.999236503355107</c:v>
                </c:pt>
                <c:pt idx="25">
                  <c:v>27.235982093823701</c:v>
                </c:pt>
                <c:pt idx="26">
                  <c:v>50.359983716313216</c:v>
                </c:pt>
                <c:pt idx="27">
                  <c:v>44.39282580590892</c:v>
                </c:pt>
                <c:pt idx="28">
                  <c:v>59.687163635138454</c:v>
                </c:pt>
                <c:pt idx="29">
                  <c:v>26.506658457684509</c:v>
                </c:pt>
                <c:pt idx="30">
                  <c:v>43.54557251095126</c:v>
                </c:pt>
                <c:pt idx="31">
                  <c:v>21.409359099008856</c:v>
                </c:pt>
                <c:pt idx="32">
                  <c:v>29.950726097107164</c:v>
                </c:pt>
                <c:pt idx="33">
                  <c:v>42.588146251225012</c:v>
                </c:pt>
                <c:pt idx="34">
                  <c:v>44.458593243419486</c:v>
                </c:pt>
                <c:pt idx="35">
                  <c:v>41.84851378883841</c:v>
                </c:pt>
                <c:pt idx="36">
                  <c:v>25.15729748833305</c:v>
                </c:pt>
                <c:pt idx="37">
                  <c:v>51.977715387952692</c:v>
                </c:pt>
                <c:pt idx="38">
                  <c:v>40.762482879048733</c:v>
                </c:pt>
                <c:pt idx="39">
                  <c:v>31.8060456493827</c:v>
                </c:pt>
                <c:pt idx="40">
                  <c:v>35.931039437798162</c:v>
                </c:pt>
                <c:pt idx="41">
                  <c:v>36.404650038769525</c:v>
                </c:pt>
                <c:pt idx="42">
                  <c:v>42.286056296348058</c:v>
                </c:pt>
                <c:pt idx="43">
                  <c:v>38.855530511566563</c:v>
                </c:pt>
                <c:pt idx="44">
                  <c:v>30.962392950246137</c:v>
                </c:pt>
                <c:pt idx="45">
                  <c:v>26.619045010604673</c:v>
                </c:pt>
                <c:pt idx="46">
                  <c:v>64.895605744923373</c:v>
                </c:pt>
                <c:pt idx="47">
                  <c:v>34.592654297569382</c:v>
                </c:pt>
                <c:pt idx="48">
                  <c:v>53.716866096475272</c:v>
                </c:pt>
                <c:pt idx="49">
                  <c:v>35.534138485168008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7D-A644-BDC6-D15FC36D404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регрессия!$B$2:$B$51</c:f>
              <c:numCache>
                <c:formatCode>General</c:formatCode>
                <c:ptCount val="50"/>
                <c:pt idx="0">
                  <c:v>6.3871749615645967</c:v>
                </c:pt>
                <c:pt idx="1">
                  <c:v>5.4455068847164512</c:v>
                </c:pt>
                <c:pt idx="2">
                  <c:v>6.6949934433796443</c:v>
                </c:pt>
                <c:pt idx="3">
                  <c:v>3.1420432959566824</c:v>
                </c:pt>
                <c:pt idx="4">
                  <c:v>5.4822504706680775</c:v>
                </c:pt>
                <c:pt idx="5">
                  <c:v>6.184484972327482</c:v>
                </c:pt>
                <c:pt idx="6">
                  <c:v>2.2269870340824127</c:v>
                </c:pt>
                <c:pt idx="7">
                  <c:v>5.2874730853363872</c:v>
                </c:pt>
                <c:pt idx="8">
                  <c:v>8.277864379924722</c:v>
                </c:pt>
                <c:pt idx="9">
                  <c:v>4.1498339113604743</c:v>
                </c:pt>
                <c:pt idx="10">
                  <c:v>7.2281165001913905</c:v>
                </c:pt>
                <c:pt idx="11">
                  <c:v>8.0533010431099683</c:v>
                </c:pt>
                <c:pt idx="12">
                  <c:v>1.3369555189274251</c:v>
                </c:pt>
                <c:pt idx="13">
                  <c:v>3.5123986334656365</c:v>
                </c:pt>
                <c:pt idx="14">
                  <c:v>4.3745200299599674</c:v>
                </c:pt>
                <c:pt idx="15">
                  <c:v>3.7032651915797032</c:v>
                </c:pt>
                <c:pt idx="16">
                  <c:v>4.9119177118700463</c:v>
                </c:pt>
                <c:pt idx="17">
                  <c:v>3.9299317348923068</c:v>
                </c:pt>
                <c:pt idx="18">
                  <c:v>2.7855850374908186</c:v>
                </c:pt>
                <c:pt idx="19">
                  <c:v>7.1404184735729359</c:v>
                </c:pt>
                <c:pt idx="20">
                  <c:v>9.92902472615242</c:v>
                </c:pt>
                <c:pt idx="21">
                  <c:v>6.0561166163824964</c:v>
                </c:pt>
                <c:pt idx="22">
                  <c:v>3.6879311109078117</c:v>
                </c:pt>
                <c:pt idx="23">
                  <c:v>7.8452268452383578</c:v>
                </c:pt>
                <c:pt idx="24">
                  <c:v>6.2249756764504127</c:v>
                </c:pt>
                <c:pt idx="25">
                  <c:v>3.9855359672219492</c:v>
                </c:pt>
                <c:pt idx="26">
                  <c:v>7.2952963263378479</c:v>
                </c:pt>
                <c:pt idx="27">
                  <c:v>6.4266674952523317</c:v>
                </c:pt>
                <c:pt idx="28">
                  <c:v>8.6622623156290501</c:v>
                </c:pt>
                <c:pt idx="29">
                  <c:v>3.8833837960555684</c:v>
                </c:pt>
                <c:pt idx="30">
                  <c:v>6.3039812074566726</c:v>
                </c:pt>
                <c:pt idx="31">
                  <c:v>3.1711334839928895</c:v>
                </c:pt>
                <c:pt idx="32">
                  <c:v>4.3665142028476112</c:v>
                </c:pt>
                <c:pt idx="33">
                  <c:v>6.1655856724246405</c:v>
                </c:pt>
                <c:pt idx="34">
                  <c:v>6.436198999726912</c:v>
                </c:pt>
                <c:pt idx="35">
                  <c:v>6.0588610166450962</c:v>
                </c:pt>
                <c:pt idx="36">
                  <c:v>3.694570422230754</c:v>
                </c:pt>
                <c:pt idx="37">
                  <c:v>7.531805876060389</c:v>
                </c:pt>
                <c:pt idx="38">
                  <c:v>5.9024688552017324</c:v>
                </c:pt>
                <c:pt idx="39">
                  <c:v>4.6277028913027607</c:v>
                </c:pt>
                <c:pt idx="40">
                  <c:v>5.2115939423674718</c:v>
                </c:pt>
                <c:pt idx="41">
                  <c:v>5.2789647624013014</c:v>
                </c:pt>
                <c:pt idx="42">
                  <c:v>6.1219754014746286</c:v>
                </c:pt>
                <c:pt idx="43">
                  <c:v>5.6288200893322937</c:v>
                </c:pt>
                <c:pt idx="44">
                  <c:v>4.5088410287280567</c:v>
                </c:pt>
                <c:pt idx="45">
                  <c:v>3.8991203281329945</c:v>
                </c:pt>
                <c:pt idx="46">
                  <c:v>9.4278567656874657</c:v>
                </c:pt>
                <c:pt idx="47">
                  <c:v>5.021600499167107</c:v>
                </c:pt>
                <c:pt idx="48">
                  <c:v>7.7864007279276848</c:v>
                </c:pt>
                <c:pt idx="49">
                  <c:v>5.1551916284370236</c:v>
                </c:pt>
              </c:numCache>
            </c:numRef>
          </c:xVal>
          <c:yVal>
            <c:numRef>
              <c:f>регрессия!$G$46:$G$95</c:f>
              <c:numCache>
                <c:formatCode>General</c:formatCode>
                <c:ptCount val="50"/>
                <c:pt idx="0">
                  <c:v>45.000501648856755</c:v>
                </c:pt>
                <c:pt idx="1">
                  <c:v>38.371258680332076</c:v>
                </c:pt>
                <c:pt idx="2">
                  <c:v>47.186449220033722</c:v>
                </c:pt>
                <c:pt idx="3">
                  <c:v>22.512290082339447</c:v>
                </c:pt>
                <c:pt idx="4">
                  <c:v>38.628033027158587</c:v>
                </c:pt>
                <c:pt idx="5">
                  <c:v>43.565593652972368</c:v>
                </c:pt>
                <c:pt idx="6">
                  <c:v>16.277641458707766</c:v>
                </c:pt>
                <c:pt idx="7">
                  <c:v>37.268694421842028</c:v>
                </c:pt>
                <c:pt idx="8">
                  <c:v>58.507384264557409</c:v>
                </c:pt>
                <c:pt idx="9">
                  <c:v>29.406838526379978</c:v>
                </c:pt>
                <c:pt idx="10">
                  <c:v>50.987615822527083</c:v>
                </c:pt>
                <c:pt idx="11">
                  <c:v>56.896081564478806</c:v>
                </c:pt>
                <c:pt idx="12">
                  <c:v>10.224888356789643</c:v>
                </c:pt>
                <c:pt idx="13">
                  <c:v>25.041335599445055</c:v>
                </c:pt>
                <c:pt idx="14">
                  <c:v>30.95091413356079</c:v>
                </c:pt>
                <c:pt idx="15">
                  <c:v>26.346554910326514</c:v>
                </c:pt>
                <c:pt idx="16">
                  <c:v>34.659906451692336</c:v>
                </c:pt>
                <c:pt idx="17">
                  <c:v>27.898608536375068</c:v>
                </c:pt>
                <c:pt idx="18">
                  <c:v>20.081651261416578</c:v>
                </c:pt>
                <c:pt idx="19">
                  <c:v>50.361240653716401</c:v>
                </c:pt>
                <c:pt idx="20">
                  <c:v>70.37823082148654</c:v>
                </c:pt>
                <c:pt idx="21">
                  <c:v>42.658918159495904</c:v>
                </c:pt>
                <c:pt idx="22">
                  <c:v>26.241640857628408</c:v>
                </c:pt>
                <c:pt idx="23">
                  <c:v>55.404176253889602</c:v>
                </c:pt>
                <c:pt idx="24">
                  <c:v>43.851927824226692</c:v>
                </c:pt>
                <c:pt idx="25">
                  <c:v>28.279728068900674</c:v>
                </c:pt>
                <c:pt idx="26">
                  <c:v>51.467687247298123</c:v>
                </c:pt>
                <c:pt idx="27">
                  <c:v>45.280519765244598</c:v>
                </c:pt>
                <c:pt idx="28">
                  <c:v>61.267836332168578</c:v>
                </c:pt>
                <c:pt idx="29">
                  <c:v>27.579683160651769</c:v>
                </c:pt>
                <c:pt idx="30">
                  <c:v>44.411080026656876</c:v>
                </c:pt>
                <c:pt idx="31">
                  <c:v>22.710790120589099</c:v>
                </c:pt>
                <c:pt idx="32">
                  <c:v>30.89583802478414</c:v>
                </c:pt>
                <c:pt idx="33">
                  <c:v>43.432000951255688</c:v>
                </c:pt>
                <c:pt idx="34">
                  <c:v>45.348122304319929</c:v>
                </c:pt>
                <c:pt idx="35">
                  <c:v>42.678284186307089</c:v>
                </c:pt>
                <c:pt idx="36">
                  <c:v>26.28706506853613</c:v>
                </c:pt>
                <c:pt idx="37">
                  <c:v>53.159325381124425</c:v>
                </c:pt>
                <c:pt idx="38">
                  <c:v>41.575991210235202</c:v>
                </c:pt>
                <c:pt idx="39">
                  <c:v>32.695212162960885</c:v>
                </c:pt>
                <c:pt idx="40">
                  <c:v>36.740338423998423</c:v>
                </c:pt>
                <c:pt idx="41">
                  <c:v>37.20941685123325</c:v>
                </c:pt>
                <c:pt idx="42">
                  <c:v>43.12387235868092</c:v>
                </c:pt>
                <c:pt idx="43">
                  <c:v>39.653901730850315</c:v>
                </c:pt>
                <c:pt idx="44">
                  <c:v>31.875685259042886</c:v>
                </c:pt>
                <c:pt idx="45">
                  <c:v>27.687490693597788</c:v>
                </c:pt>
                <c:pt idx="46">
                  <c:v>66.772006711933514</c:v>
                </c:pt>
                <c:pt idx="47">
                  <c:v>35.420232332471926</c:v>
                </c:pt>
                <c:pt idx="48">
                  <c:v>54.982603827725143</c:v>
                </c:pt>
                <c:pt idx="49">
                  <c:v>36.348027630638619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7D-A644-BDC6-D15FC36D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02832"/>
        <c:axId val="1021082480"/>
      </c:scatterChart>
      <c:valAx>
        <c:axId val="108660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1082480"/>
        <c:crosses val="autoZero"/>
        <c:crossBetween val="midCat"/>
      </c:valAx>
      <c:valAx>
        <c:axId val="10210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60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364066</xdr:colOff>
      <xdr:row>0</xdr:row>
      <xdr:rowOff>1</xdr:rowOff>
    </xdr:from>
    <xdr:to>
      <xdr:col>11</xdr:col>
      <xdr:colOff>284480</xdr:colOff>
      <xdr:row>17</xdr:row>
      <xdr:rowOff>71121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3D54A3-D869-A142-AF7B-9CC16472E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363246</xdr:colOff>
      <xdr:row>1</xdr:row>
      <xdr:rowOff>82755</xdr:rowOff>
    </xdr:from>
    <xdr:to>
      <xdr:col>33</xdr:col>
      <xdr:colOff>737419</xdr:colOff>
      <xdr:row>26</xdr:row>
      <xdr:rowOff>13656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77D2798-26D4-B846-9F42-9B483F8B3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539392</xdr:colOff>
      <xdr:row>47</xdr:row>
      <xdr:rowOff>76770</xdr:rowOff>
    </xdr:from>
    <xdr:to>
      <xdr:col>13</xdr:col>
      <xdr:colOff>1013145</xdr:colOff>
      <xdr:row>75</xdr:row>
      <xdr:rowOff>171236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9F83A79-0C64-AA43-A430-B01230108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78.161452430555" createdVersion="6" refreshedVersion="6" minRefreshableVersion="3" recordCount="50" xr:uid="{4A86BC3E-7E9A-DC48-9C23-A52A2C196C28}">
  <cacheSource type="worksheet">
    <worksheetSource ref="D1:E51" sheet="хи2"/>
  </cacheSource>
  <cacheFields count="2">
    <cacheField name="X квантизированное" numFmtId="0">
      <sharedItems containsSemiMixedTypes="0" containsString="0" containsNumber="1" containsInteger="1" minValue="1" maxValue="5" count="5">
        <n v="3"/>
        <n v="4"/>
        <n v="2"/>
        <n v="1"/>
        <n v="5"/>
      </sharedItems>
    </cacheField>
    <cacheField name="Y квантизированное" numFmtId="0">
      <sharedItems containsSemiMixedTypes="0" containsString="0" containsNumber="1" containsInteger="1" minValue="1" maxValue="5" count="5">
        <n v="3"/>
        <n v="4"/>
        <n v="2"/>
        <n v="1"/>
        <n v="5"/>
      </sharedItems>
    </cacheField>
  </cacheFields>
  <extLst>
    <ext xmlns:x14="http://schemas.microsoft.com/office/spreadsheetml/2009/9/main" uri="{725AE2AE-9491-48be-B2B4-4EB974FC3084}">
      <x14:pivotCacheDefinition pivotCacheId="87026557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78.187716898145" createdVersion="6" refreshedVersion="6" minRefreshableVersion="3" recordCount="50" xr:uid="{A45808F2-4EC5-1546-B00E-9013F3EAD3D2}">
  <cacheSource type="worksheet">
    <worksheetSource ref="F1:G51" sheet="хи2"/>
  </cacheSource>
  <cacheFields count="2">
    <cacheField name="X квантизированное 2" numFmtId="0">
      <sharedItems containsSemiMixedTypes="0" containsString="0" containsNumber="1" containsInteger="1" minValue="1" maxValue="2" count="2">
        <n v="2"/>
        <n v="1"/>
      </sharedItems>
    </cacheField>
    <cacheField name="Y квантизированное 2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</r>
  <r>
    <x v="0"/>
    <x v="0"/>
  </r>
  <r>
    <x v="1"/>
    <x v="1"/>
  </r>
  <r>
    <x v="2"/>
    <x v="2"/>
  </r>
  <r>
    <x v="0"/>
    <x v="0"/>
  </r>
  <r>
    <x v="0"/>
    <x v="0"/>
  </r>
  <r>
    <x v="3"/>
    <x v="3"/>
  </r>
  <r>
    <x v="0"/>
    <x v="0"/>
  </r>
  <r>
    <x v="4"/>
    <x v="1"/>
  </r>
  <r>
    <x v="2"/>
    <x v="2"/>
  </r>
  <r>
    <x v="1"/>
    <x v="1"/>
  </r>
  <r>
    <x v="1"/>
    <x v="1"/>
  </r>
  <r>
    <x v="3"/>
    <x v="3"/>
  </r>
  <r>
    <x v="2"/>
    <x v="2"/>
  </r>
  <r>
    <x v="2"/>
    <x v="2"/>
  </r>
  <r>
    <x v="2"/>
    <x v="2"/>
  </r>
  <r>
    <x v="0"/>
    <x v="0"/>
  </r>
  <r>
    <x v="2"/>
    <x v="2"/>
  </r>
  <r>
    <x v="3"/>
    <x v="3"/>
  </r>
  <r>
    <x v="1"/>
    <x v="1"/>
  </r>
  <r>
    <x v="4"/>
    <x v="4"/>
  </r>
  <r>
    <x v="0"/>
    <x v="0"/>
  </r>
  <r>
    <x v="2"/>
    <x v="2"/>
  </r>
  <r>
    <x v="1"/>
    <x v="1"/>
  </r>
  <r>
    <x v="0"/>
    <x v="0"/>
  </r>
  <r>
    <x v="2"/>
    <x v="2"/>
  </r>
  <r>
    <x v="1"/>
    <x v="1"/>
  </r>
  <r>
    <x v="0"/>
    <x v="1"/>
  </r>
  <r>
    <x v="4"/>
    <x v="4"/>
  </r>
  <r>
    <x v="2"/>
    <x v="2"/>
  </r>
  <r>
    <x v="0"/>
    <x v="0"/>
  </r>
  <r>
    <x v="2"/>
    <x v="2"/>
  </r>
  <r>
    <x v="2"/>
    <x v="2"/>
  </r>
  <r>
    <x v="0"/>
    <x v="0"/>
  </r>
  <r>
    <x v="0"/>
    <x v="0"/>
  </r>
  <r>
    <x v="0"/>
    <x v="0"/>
  </r>
  <r>
    <x v="2"/>
    <x v="2"/>
  </r>
  <r>
    <x v="1"/>
    <x v="1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2"/>
    <x v="0"/>
  </r>
  <r>
    <x v="2"/>
    <x v="2"/>
  </r>
  <r>
    <x v="4"/>
    <x v="4"/>
  </r>
  <r>
    <x v="0"/>
    <x v="0"/>
  </r>
  <r>
    <x v="1"/>
    <x v="1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</r>
  <r>
    <x v="1"/>
    <x v="0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FA45E-89AD-2E4C-B9BB-DED677FE45FF}" name="Сводная таблица5" cacheId="23" applyNumberFormats="0" applyBorderFormats="0" applyFontFormats="0" applyPatternFormats="0" applyAlignmentFormats="0" applyWidthHeightFormats="1" dataCaption="Значения" updatedVersion="6" minRefreshableVersion="3" showDrill="0" useAutoFormatting="1" itemPrintTitles="1" createdVersion="6" indent="0" showHeaders="0" outline="1" outlineData="1" multipleFieldFilters="0">
  <location ref="A3:G10" firstHeaderRow="1" firstDataRow="2" firstDataCol="1"/>
  <pivotFields count="2">
    <pivotField axis="axisRow" dataField="1" showAll="0">
      <items count="6">
        <item x="3"/>
        <item x="2"/>
        <item x="0"/>
        <item x="1"/>
        <item x="4"/>
        <item t="default"/>
      </items>
    </pivotField>
    <pivotField axis="axisCol" showAll="0">
      <items count="6">
        <item x="3"/>
        <item x="2"/>
        <item x="0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X квантизированное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71F89-0850-044F-9126-AD675FA1F373}" name="Сводная таблица7" cacheId="2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showHeaders="0" outline="1" outlineData="1" multipleFieldFilters="0">
  <location ref="A3:D7" firstHeaderRow="1" firstDataRow="2" firstDataCol="1"/>
  <pivotFields count="2">
    <pivotField axis="axisRow" dataField="1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X квантизированное 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4918A-E44C-B949-8A82-122B2EBAFC59}">
  <dimension ref="A1:AB95"/>
  <sheetViews>
    <sheetView zoomScale="66" workbookViewId="0">
      <selection activeCell="I46" sqref="I46"/>
    </sheetView>
  </sheetViews>
  <sheetFormatPr baseColWidth="10" defaultRowHeight="16" x14ac:dyDescent="0.2"/>
  <cols>
    <col min="1" max="2" width="19.33203125" customWidth="1"/>
    <col min="3" max="3" width="22" customWidth="1"/>
    <col min="5" max="5" width="9.1640625" customWidth="1"/>
    <col min="6" max="6" width="20" customWidth="1"/>
    <col min="7" max="7" width="19.33203125" customWidth="1"/>
    <col min="8" max="8" width="12.6640625" customWidth="1"/>
    <col min="9" max="9" width="15.83203125" customWidth="1"/>
    <col min="10" max="10" width="13.1640625" customWidth="1"/>
    <col min="11" max="11" width="17.1640625" customWidth="1"/>
    <col min="12" max="12" width="18" customWidth="1"/>
    <col min="13" max="13" width="16.33203125" customWidth="1"/>
    <col min="14" max="14" width="23.5" customWidth="1"/>
    <col min="15" max="15" width="25.6640625" customWidth="1"/>
    <col min="16" max="16" width="18.33203125" customWidth="1"/>
    <col min="17" max="17" width="17" customWidth="1"/>
    <col min="18" max="18" width="16.83203125" customWidth="1"/>
    <col min="19" max="19" width="16" customWidth="1"/>
    <col min="20" max="20" width="17.6640625" customWidth="1"/>
    <col min="21" max="21" width="14.6640625" customWidth="1"/>
  </cols>
  <sheetData>
    <row r="1" spans="2:26" x14ac:dyDescent="0.2">
      <c r="B1" s="1" t="s">
        <v>0</v>
      </c>
      <c r="C1" s="1" t="s">
        <v>1</v>
      </c>
      <c r="W1" s="1" t="s">
        <v>48</v>
      </c>
      <c r="X1" s="1" t="s">
        <v>49</v>
      </c>
      <c r="Y1" s="1" t="s">
        <v>50</v>
      </c>
      <c r="Z1" s="16" t="s">
        <v>51</v>
      </c>
    </row>
    <row r="2" spans="2:26" x14ac:dyDescent="0.2">
      <c r="B2" s="2">
        <v>6.3871749615645967</v>
      </c>
      <c r="C2" s="2">
        <v>43.376585426780373</v>
      </c>
      <c r="O2" s="3" t="s">
        <v>17</v>
      </c>
      <c r="P2" s="3"/>
      <c r="Q2" s="3"/>
      <c r="W2" s="2">
        <f>B2-$B$53</f>
        <v>0.85616234173357952</v>
      </c>
      <c r="X2" s="2">
        <f>C2-$C$53</f>
        <v>4.8061568675250612</v>
      </c>
      <c r="Y2" s="2">
        <f>B2*$F$25+$F$26</f>
        <v>44.560372317623447</v>
      </c>
      <c r="Z2" s="2">
        <f>C2-Y2</f>
        <v>-1.1837868908430735</v>
      </c>
    </row>
    <row r="3" spans="2:26" x14ac:dyDescent="0.2">
      <c r="B3" s="2">
        <v>5.4455068847164512</v>
      </c>
      <c r="C3" s="2">
        <v>38.993953911204358</v>
      </c>
      <c r="W3" s="2">
        <f t="shared" ref="W3:W50" si="0">B3-$B$53</f>
        <v>-8.550573511456605E-2</v>
      </c>
      <c r="X3" s="2">
        <f t="shared" ref="X3:X50" si="1">C3-$C$53</f>
        <v>0.42352535194904561</v>
      </c>
      <c r="Y3" s="2">
        <f t="shared" ref="Y3:Y51" si="2">B3*$F$25+$F$26</f>
        <v>37.972207264778483</v>
      </c>
      <c r="Z3" s="2">
        <f t="shared" ref="Z3:Z51" si="3">C3-Y3</f>
        <v>1.0217466464258749</v>
      </c>
    </row>
    <row r="4" spans="2:26" x14ac:dyDescent="0.2">
      <c r="B4" s="2">
        <v>6.6949934433796443</v>
      </c>
      <c r="C4" s="2">
        <v>46.465134105434423</v>
      </c>
      <c r="M4" t="s">
        <v>18</v>
      </c>
      <c r="W4" s="2">
        <f t="shared" si="0"/>
        <v>1.1639808235486271</v>
      </c>
      <c r="X4" s="2">
        <f t="shared" si="1"/>
        <v>7.8947055461791109</v>
      </c>
      <c r="Y4" s="2">
        <f t="shared" si="2"/>
        <v>46.713953833630093</v>
      </c>
      <c r="Z4" s="2">
        <f t="shared" si="3"/>
        <v>-0.24881972819567011</v>
      </c>
    </row>
    <row r="5" spans="2:26" ht="17" thickBot="1" x14ac:dyDescent="0.25">
      <c r="B5" s="2">
        <v>3.1420432959566824</v>
      </c>
      <c r="C5" s="2">
        <v>20.943176921352283</v>
      </c>
      <c r="W5" s="2">
        <f t="shared" si="0"/>
        <v>-2.3889693238743348</v>
      </c>
      <c r="X5" s="2">
        <f t="shared" si="1"/>
        <v>-17.627251637903029</v>
      </c>
      <c r="Y5" s="2">
        <f t="shared" si="2"/>
        <v>21.856551771006032</v>
      </c>
      <c r="Z5" s="2">
        <f t="shared" si="3"/>
        <v>-0.91337484965374927</v>
      </c>
    </row>
    <row r="6" spans="2:26" x14ac:dyDescent="0.2">
      <c r="B6" s="2">
        <v>5.4822504706680775</v>
      </c>
      <c r="C6" s="2">
        <v>37.023559293211314</v>
      </c>
      <c r="M6" s="7" t="s">
        <v>19</v>
      </c>
      <c r="N6" s="7"/>
      <c r="W6" s="2">
        <f t="shared" si="0"/>
        <v>-4.876214916293975E-2</v>
      </c>
      <c r="X6" s="2">
        <f t="shared" si="1"/>
        <v>-1.5468692660439984</v>
      </c>
      <c r="Y6" s="2">
        <f t="shared" si="2"/>
        <v>38.229275349419254</v>
      </c>
      <c r="Z6" s="2">
        <f t="shared" si="3"/>
        <v>-1.2057160562079403</v>
      </c>
    </row>
    <row r="7" spans="2:26" x14ac:dyDescent="0.2">
      <c r="B7" s="2">
        <v>6.184484972327482</v>
      </c>
      <c r="C7" s="2">
        <v>42.615298626196527</v>
      </c>
      <c r="M7" s="4" t="s">
        <v>20</v>
      </c>
      <c r="N7" s="8">
        <v>0.99567812960396662</v>
      </c>
      <c r="W7" s="2">
        <f t="shared" si="0"/>
        <v>0.65347235249646474</v>
      </c>
      <c r="X7" s="2">
        <f t="shared" si="1"/>
        <v>4.0448700669412148</v>
      </c>
      <c r="Y7" s="2">
        <f t="shared" si="2"/>
        <v>43.142298224973892</v>
      </c>
      <c r="Z7" s="2">
        <f t="shared" si="3"/>
        <v>-0.52699959877736546</v>
      </c>
    </row>
    <row r="8" spans="2:26" x14ac:dyDescent="0.2">
      <c r="B8" s="2">
        <v>2.2269870340824127</v>
      </c>
      <c r="C8" s="2">
        <v>14.728649169707193</v>
      </c>
      <c r="M8" s="4" t="s">
        <v>21</v>
      </c>
      <c r="N8" s="9">
        <v>0.99137493777165331</v>
      </c>
      <c r="W8" s="2">
        <f t="shared" si="0"/>
        <v>-3.3040255857486045</v>
      </c>
      <c r="X8" s="2">
        <f t="shared" si="1"/>
        <v>-23.841779389548119</v>
      </c>
      <c r="Y8" s="2">
        <f t="shared" si="2"/>
        <v>15.454570187383565</v>
      </c>
      <c r="Z8" s="2">
        <f t="shared" si="3"/>
        <v>-0.72592101767637196</v>
      </c>
    </row>
    <row r="9" spans="2:26" x14ac:dyDescent="0.2">
      <c r="B9" s="2">
        <v>5.2874730853363872</v>
      </c>
      <c r="C9" s="2">
        <v>37.147366371022144</v>
      </c>
      <c r="M9" s="4" t="s">
        <v>22</v>
      </c>
      <c r="N9" s="4">
        <v>0.99119524897522948</v>
      </c>
      <c r="W9" s="2">
        <f t="shared" si="0"/>
        <v>-0.24353953449463006</v>
      </c>
      <c r="X9" s="2">
        <f t="shared" si="1"/>
        <v>-1.4230621882331675</v>
      </c>
      <c r="Y9" s="2">
        <f t="shared" si="2"/>
        <v>36.866559977967093</v>
      </c>
      <c r="Z9" s="2">
        <f t="shared" si="3"/>
        <v>0.28080639305505173</v>
      </c>
    </row>
    <row r="10" spans="2:26" x14ac:dyDescent="0.2">
      <c r="B10" s="2">
        <v>8.277864379924722</v>
      </c>
      <c r="C10" s="2">
        <v>55.950120555546768</v>
      </c>
      <c r="M10" s="4" t="s">
        <v>23</v>
      </c>
      <c r="N10" s="4">
        <v>1.2181347673188332</v>
      </c>
      <c r="W10" s="2">
        <f t="shared" si="0"/>
        <v>2.7468517600937048</v>
      </c>
      <c r="X10" s="2">
        <f t="shared" si="1"/>
        <v>17.379691996291456</v>
      </c>
      <c r="Y10" s="2">
        <f t="shared" si="2"/>
        <v>57.788147855598538</v>
      </c>
      <c r="Z10" s="2">
        <f t="shared" si="3"/>
        <v>-1.8380273000517704</v>
      </c>
    </row>
    <row r="11" spans="2:26" ht="17" thickBot="1" x14ac:dyDescent="0.25">
      <c r="B11" s="2">
        <v>4.1498339113604743</v>
      </c>
      <c r="C11" s="2">
        <v>27.688359216612433</v>
      </c>
      <c r="M11" s="5" t="s">
        <v>24</v>
      </c>
      <c r="N11" s="5">
        <v>50</v>
      </c>
      <c r="W11" s="2">
        <f t="shared" si="0"/>
        <v>-1.3811787084705429</v>
      </c>
      <c r="X11" s="2">
        <f t="shared" si="1"/>
        <v>-10.882069342642879</v>
      </c>
      <c r="Y11" s="2">
        <f t="shared" si="2"/>
        <v>28.907328022454848</v>
      </c>
      <c r="Z11" s="2">
        <f t="shared" si="3"/>
        <v>-1.2189688058424153</v>
      </c>
    </row>
    <row r="12" spans="2:26" x14ac:dyDescent="0.2">
      <c r="B12" s="2">
        <v>7.2281165001913905</v>
      </c>
      <c r="C12" s="2">
        <v>50.181457710327393</v>
      </c>
      <c r="W12" s="2">
        <f t="shared" si="0"/>
        <v>1.6971038803603733</v>
      </c>
      <c r="X12" s="2">
        <f t="shared" si="1"/>
        <v>11.611029151072081</v>
      </c>
      <c r="Y12" s="2">
        <f t="shared" si="2"/>
        <v>50.443827212696995</v>
      </c>
      <c r="Z12" s="2">
        <f t="shared" si="3"/>
        <v>-0.26236950236960155</v>
      </c>
    </row>
    <row r="13" spans="2:26" ht="17" thickBot="1" x14ac:dyDescent="0.25">
      <c r="B13" s="2">
        <v>8.0533010431099683</v>
      </c>
      <c r="C13" s="2">
        <v>55.795242446757484</v>
      </c>
      <c r="M13" t="s">
        <v>25</v>
      </c>
      <c r="W13" s="2">
        <f t="shared" si="0"/>
        <v>2.5222884232789511</v>
      </c>
      <c r="X13" s="2">
        <f t="shared" si="1"/>
        <v>17.224813887502172</v>
      </c>
      <c r="Y13" s="2">
        <f t="shared" si="2"/>
        <v>56.217041895730908</v>
      </c>
      <c r="Z13" s="2">
        <f t="shared" si="3"/>
        <v>-0.42179944897342381</v>
      </c>
    </row>
    <row r="14" spans="2:26" x14ac:dyDescent="0.2">
      <c r="B14" s="2">
        <v>1.3369555189274251</v>
      </c>
      <c r="C14" s="2">
        <v>7.5504507884379901</v>
      </c>
      <c r="M14" s="6"/>
      <c r="N14" s="6" t="s">
        <v>30</v>
      </c>
      <c r="O14" s="6" t="s">
        <v>31</v>
      </c>
      <c r="P14" s="6" t="s">
        <v>32</v>
      </c>
      <c r="Q14" s="6" t="s">
        <v>33</v>
      </c>
      <c r="R14" s="6" t="s">
        <v>34</v>
      </c>
      <c r="W14" s="2">
        <f t="shared" si="0"/>
        <v>-4.1940571009035921</v>
      </c>
      <c r="X14" s="2">
        <f t="shared" si="1"/>
        <v>-31.01997777081732</v>
      </c>
      <c r="Y14" s="2">
        <f t="shared" si="2"/>
        <v>9.2276685133871066</v>
      </c>
      <c r="Z14" s="2">
        <f t="shared" si="3"/>
        <v>-1.6772177249491165</v>
      </c>
    </row>
    <row r="15" spans="2:26" x14ac:dyDescent="0.2">
      <c r="B15" s="2">
        <v>3.5123986334656365</v>
      </c>
      <c r="C15" s="2">
        <v>24.606045475826157</v>
      </c>
      <c r="M15" s="4" t="s">
        <v>26</v>
      </c>
      <c r="N15" s="4">
        <v>1</v>
      </c>
      <c r="O15" s="4">
        <v>8186.6761985404082</v>
      </c>
      <c r="P15" s="4">
        <v>8186.6761985404082</v>
      </c>
      <c r="Q15" s="24">
        <v>5517.1772392140638</v>
      </c>
      <c r="R15" s="28">
        <v>3.3048887300539006E-51</v>
      </c>
      <c r="W15" s="2">
        <f t="shared" si="0"/>
        <v>-2.0186139863653807</v>
      </c>
      <c r="X15" s="2">
        <f t="shared" si="1"/>
        <v>-13.964383083429155</v>
      </c>
      <c r="Y15" s="2">
        <f t="shared" si="2"/>
        <v>24.447658076614143</v>
      </c>
      <c r="Z15" s="2">
        <f t="shared" si="3"/>
        <v>0.15838739921201395</v>
      </c>
    </row>
    <row r="16" spans="2:26" x14ac:dyDescent="0.2">
      <c r="B16" s="2">
        <v>4.3745200299599674</v>
      </c>
      <c r="C16" s="2">
        <v>32.443967753075839</v>
      </c>
      <c r="M16" s="4" t="s">
        <v>27</v>
      </c>
      <c r="N16" s="4">
        <v>48</v>
      </c>
      <c r="O16" s="4">
        <v>71.224910944843572</v>
      </c>
      <c r="P16" s="4">
        <v>1.4838523113509077</v>
      </c>
      <c r="Q16" s="4"/>
      <c r="R16" s="4"/>
      <c r="W16" s="2">
        <f t="shared" si="0"/>
        <v>-1.1564925898710499</v>
      </c>
      <c r="X16" s="2">
        <f t="shared" si="1"/>
        <v>-6.1264608061794732</v>
      </c>
      <c r="Y16" s="2">
        <f t="shared" si="2"/>
        <v>30.47929299696175</v>
      </c>
      <c r="Z16" s="2">
        <f t="shared" si="3"/>
        <v>1.9646747561140891</v>
      </c>
    </row>
    <row r="17" spans="2:28" ht="17" thickBot="1" x14ac:dyDescent="0.25">
      <c r="B17" s="2">
        <v>3.7032651915797032</v>
      </c>
      <c r="C17" s="2">
        <v>24.376570295528069</v>
      </c>
      <c r="M17" s="5" t="s">
        <v>28</v>
      </c>
      <c r="N17" s="5">
        <v>49</v>
      </c>
      <c r="O17" s="5">
        <v>8257.9011094852522</v>
      </c>
      <c r="P17" s="5"/>
      <c r="Q17" s="5"/>
      <c r="R17" s="5"/>
      <c r="W17" s="2">
        <f t="shared" si="0"/>
        <v>-1.827747428251314</v>
      </c>
      <c r="X17" s="2">
        <f t="shared" si="1"/>
        <v>-14.193858263727243</v>
      </c>
      <c r="Y17" s="2">
        <f t="shared" si="2"/>
        <v>25.783012241037703</v>
      </c>
      <c r="Z17" s="2">
        <f t="shared" si="3"/>
        <v>-1.4064419455096342</v>
      </c>
    </row>
    <row r="18" spans="2:28" ht="17" thickBot="1" x14ac:dyDescent="0.25">
      <c r="B18" s="2">
        <v>4.9119177118700463</v>
      </c>
      <c r="C18" s="2">
        <v>36.315727846862636</v>
      </c>
      <c r="W18" s="2">
        <f t="shared" si="0"/>
        <v>-0.61909490796097089</v>
      </c>
      <c r="X18" s="2">
        <f t="shared" si="1"/>
        <v>-2.2547007123926761</v>
      </c>
      <c r="Y18" s="2">
        <f t="shared" si="2"/>
        <v>34.239072811618051</v>
      </c>
      <c r="Z18" s="2">
        <f t="shared" si="3"/>
        <v>2.0766550352445847</v>
      </c>
    </row>
    <row r="19" spans="2:28" x14ac:dyDescent="0.2">
      <c r="B19" s="2">
        <v>3.9299317348923068</v>
      </c>
      <c r="C19" s="2">
        <v>29.105007907079795</v>
      </c>
      <c r="M19" s="6"/>
      <c r="N19" s="6" t="s">
        <v>35</v>
      </c>
      <c r="O19" s="6" t="s">
        <v>23</v>
      </c>
      <c r="P19" s="6" t="s">
        <v>36</v>
      </c>
      <c r="Q19" s="6" t="s">
        <v>37</v>
      </c>
      <c r="R19" s="6" t="s">
        <v>38</v>
      </c>
      <c r="S19" s="6" t="s">
        <v>39</v>
      </c>
      <c r="T19" s="6" t="s">
        <v>40</v>
      </c>
      <c r="U19" s="6" t="s">
        <v>41</v>
      </c>
      <c r="W19" s="2">
        <f t="shared" si="0"/>
        <v>-1.6010808849387104</v>
      </c>
      <c r="X19" s="2">
        <f t="shared" si="1"/>
        <v>-9.4654206521755171</v>
      </c>
      <c r="Y19" s="2">
        <f t="shared" si="2"/>
        <v>27.368832803522459</v>
      </c>
      <c r="Z19" s="2">
        <f t="shared" si="3"/>
        <v>1.7361751035573363</v>
      </c>
    </row>
    <row r="20" spans="2:28" x14ac:dyDescent="0.2">
      <c r="B20" s="2">
        <v>2.7855850374908186</v>
      </c>
      <c r="C20" s="2">
        <v>18.380457204477505</v>
      </c>
      <c r="F20" t="s">
        <v>9</v>
      </c>
      <c r="G20" t="s">
        <v>10</v>
      </c>
      <c r="M20" s="4" t="s">
        <v>29</v>
      </c>
      <c r="N20" s="10">
        <v>-0.12603460511213882</v>
      </c>
      <c r="O20" s="32">
        <v>0.54871385881667289</v>
      </c>
      <c r="P20" s="32">
        <v>-0.22969094563045728</v>
      </c>
      <c r="Q20" s="32">
        <v>0.81930793085112541</v>
      </c>
      <c r="R20" s="4">
        <v>-1.2292977616390566</v>
      </c>
      <c r="S20" s="4">
        <v>0.97722855141477893</v>
      </c>
      <c r="T20" s="4">
        <v>-1.2292977616390566</v>
      </c>
      <c r="U20" s="4">
        <v>0.97722855141477893</v>
      </c>
      <c r="W20" s="2">
        <f t="shared" si="0"/>
        <v>-2.7454275823401986</v>
      </c>
      <c r="X20" s="2">
        <f t="shared" si="1"/>
        <v>-20.189971354777807</v>
      </c>
      <c r="Y20" s="2">
        <f t="shared" si="2"/>
        <v>19.36267319642047</v>
      </c>
      <c r="Z20" s="2">
        <f t="shared" si="3"/>
        <v>-0.98221599194296516</v>
      </c>
    </row>
    <row r="21" spans="2:28" ht="17" thickBot="1" x14ac:dyDescent="0.25">
      <c r="B21" s="2">
        <v>7.1404184735729359</v>
      </c>
      <c r="C21" s="2">
        <v>47.998465743558114</v>
      </c>
      <c r="E21" s="2" t="s">
        <v>7</v>
      </c>
      <c r="F21" s="12">
        <f>CORREL(X,Y)</f>
        <v>0.9956781296039664</v>
      </c>
      <c r="G21" s="12">
        <f>(SUMPRODUCT(X,Y)/50 - AVERAGE(X) * AVERAGE(Y))/(SQRT(VARP(X))*SQRT(VARP(Y)))</f>
        <v>0.99567812960396884</v>
      </c>
      <c r="M21" s="5" t="s">
        <v>42</v>
      </c>
      <c r="N21" s="11">
        <v>6.9962709948670661</v>
      </c>
      <c r="O21" s="30">
        <v>9.4190728360517548E-2</v>
      </c>
      <c r="P21" s="30">
        <v>74.277703513329371</v>
      </c>
      <c r="Q21" s="30">
        <v>3.3048887300539006E-51</v>
      </c>
      <c r="R21" s="5">
        <v>6.8068878425794672</v>
      </c>
      <c r="S21" s="5">
        <v>7.1856541471546649</v>
      </c>
      <c r="T21" s="5">
        <v>6.8068878425794672</v>
      </c>
      <c r="U21" s="5">
        <v>7.1856541471546649</v>
      </c>
      <c r="W21" s="2">
        <f t="shared" si="0"/>
        <v>1.6094058537419187</v>
      </c>
      <c r="X21" s="2">
        <f t="shared" si="1"/>
        <v>9.4280371843028021</v>
      </c>
      <c r="Y21" s="2">
        <f t="shared" si="2"/>
        <v>49.830268052759216</v>
      </c>
      <c r="Z21" s="2">
        <f t="shared" si="3"/>
        <v>-1.8318023092011018</v>
      </c>
    </row>
    <row r="22" spans="2:28" x14ac:dyDescent="0.2">
      <c r="B22" s="2">
        <v>9.92902472615242</v>
      </c>
      <c r="C22" s="2">
        <v>69.956543953152192</v>
      </c>
      <c r="E22" s="2" t="s">
        <v>8</v>
      </c>
      <c r="F22" s="13">
        <f>F21^2</f>
        <v>0.99137493777165286</v>
      </c>
      <c r="G22" s="13">
        <f>G21^2</f>
        <v>0.99137493777165775</v>
      </c>
      <c r="W22" s="2">
        <f t="shared" si="0"/>
        <v>4.3980121063214028</v>
      </c>
      <c r="X22" s="2">
        <f t="shared" si="1"/>
        <v>31.38611539389688</v>
      </c>
      <c r="Y22" s="2">
        <f t="shared" si="2"/>
        <v>69.340113093786101</v>
      </c>
      <c r="Z22" s="2">
        <f t="shared" si="3"/>
        <v>0.61643085936609054</v>
      </c>
    </row>
    <row r="23" spans="2:28" x14ac:dyDescent="0.2">
      <c r="B23" s="2">
        <v>6.0561166163824964</v>
      </c>
      <c r="C23" s="2">
        <v>42.043376357545895</v>
      </c>
      <c r="W23" s="2">
        <f t="shared" si="0"/>
        <v>0.52510399655147921</v>
      </c>
      <c r="X23" s="2">
        <f t="shared" si="1"/>
        <v>3.4729477982905834</v>
      </c>
      <c r="Y23" s="2">
        <f t="shared" si="2"/>
        <v>42.24419841961722</v>
      </c>
      <c r="Z23" s="2">
        <f t="shared" si="3"/>
        <v>-0.20082206207132458</v>
      </c>
    </row>
    <row r="24" spans="2:28" x14ac:dyDescent="0.2">
      <c r="B24" s="2">
        <v>3.6879311109078117</v>
      </c>
      <c r="C24" s="2">
        <v>27.265055693322598</v>
      </c>
      <c r="F24" s="3" t="s">
        <v>11</v>
      </c>
      <c r="G24" s="3"/>
      <c r="W24" s="2">
        <f t="shared" si="0"/>
        <v>-1.8430815089232055</v>
      </c>
      <c r="X24" s="2">
        <f t="shared" si="1"/>
        <v>-11.305372865932714</v>
      </c>
      <c r="Y24" s="2">
        <f t="shared" si="2"/>
        <v>25.675730857199998</v>
      </c>
      <c r="Z24" s="2">
        <f t="shared" si="3"/>
        <v>1.5893248361226</v>
      </c>
    </row>
    <row r="25" spans="2:28" x14ac:dyDescent="0.2">
      <c r="B25" s="2">
        <v>7.8452268452383578</v>
      </c>
      <c r="C25" s="2">
        <v>54.023381362993995</v>
      </c>
      <c r="E25" s="2" t="s">
        <v>12</v>
      </c>
      <c r="F25" s="14">
        <f>G21 * SQRT(VARP(Y))/SQRT(VARP(X))</f>
        <v>6.9962709948671007</v>
      </c>
      <c r="G25" s="14"/>
      <c r="H25">
        <f>F30/G30</f>
        <v>6.9962709948670652</v>
      </c>
      <c r="W25" s="2">
        <f t="shared" si="0"/>
        <v>2.3142142254073406</v>
      </c>
      <c r="X25" s="2">
        <f t="shared" si="1"/>
        <v>15.452952803738683</v>
      </c>
      <c r="Y25" s="2">
        <f t="shared" si="2"/>
        <v>54.761298420381522</v>
      </c>
      <c r="Z25" s="2">
        <f t="shared" si="3"/>
        <v>-0.73791705738752711</v>
      </c>
    </row>
    <row r="26" spans="2:28" x14ac:dyDescent="0.2">
      <c r="B26" s="2">
        <v>6.2249756764504127</v>
      </c>
      <c r="C26" s="2">
        <v>42.604327362068517</v>
      </c>
      <c r="E26" s="2" t="s">
        <v>13</v>
      </c>
      <c r="F26" s="15">
        <f>AVERAGE(Y) - F25 * AVERAGE(X)</f>
        <v>-0.12603460511233067</v>
      </c>
      <c r="G26" s="15"/>
      <c r="W26" s="2">
        <f t="shared" si="0"/>
        <v>0.6939630566193955</v>
      </c>
      <c r="X26" s="2">
        <f t="shared" si="1"/>
        <v>4.033898802813205</v>
      </c>
      <c r="Y26" s="2">
        <f t="shared" si="2"/>
        <v>43.425582163790899</v>
      </c>
      <c r="Z26" s="2">
        <f t="shared" si="3"/>
        <v>-0.82125480172238241</v>
      </c>
    </row>
    <row r="27" spans="2:28" x14ac:dyDescent="0.2">
      <c r="B27" s="2">
        <v>3.9855359672219492</v>
      </c>
      <c r="C27" s="2">
        <v>26.360370190096702</v>
      </c>
      <c r="W27" s="2">
        <f t="shared" si="0"/>
        <v>-1.545476652609068</v>
      </c>
      <c r="X27" s="2">
        <f t="shared" si="1"/>
        <v>-12.21005836915861</v>
      </c>
      <c r="Y27" s="2">
        <f t="shared" si="2"/>
        <v>27.757855081362187</v>
      </c>
      <c r="Z27" s="2">
        <f t="shared" si="3"/>
        <v>-1.3974848912654849</v>
      </c>
    </row>
    <row r="28" spans="2:28" x14ac:dyDescent="0.2">
      <c r="B28" s="2">
        <v>7.2952963263378479</v>
      </c>
      <c r="C28" s="2">
        <v>49.290849062546606</v>
      </c>
      <c r="F28" s="3" t="s">
        <v>43</v>
      </c>
      <c r="G28" s="3"/>
      <c r="W28" s="2">
        <f t="shared" si="0"/>
        <v>1.7642837065068306</v>
      </c>
      <c r="X28" s="2">
        <f t="shared" si="1"/>
        <v>10.720420503291294</v>
      </c>
      <c r="Y28" s="2">
        <f t="shared" si="2"/>
        <v>50.91383548180567</v>
      </c>
      <c r="Z28" s="2">
        <f t="shared" si="3"/>
        <v>-1.622986419259064</v>
      </c>
    </row>
    <row r="29" spans="2:28" x14ac:dyDescent="0.2">
      <c r="B29" s="2">
        <v>6.4266674952523317</v>
      </c>
      <c r="C29" s="2">
        <v>46.116936094417419</v>
      </c>
      <c r="F29" t="s">
        <v>45</v>
      </c>
      <c r="G29" t="s">
        <v>46</v>
      </c>
      <c r="H29" t="s">
        <v>47</v>
      </c>
      <c r="I29" t="s">
        <v>52</v>
      </c>
      <c r="J29" t="s">
        <v>53</v>
      </c>
      <c r="K29" t="s">
        <v>76</v>
      </c>
      <c r="L29" t="s">
        <v>77</v>
      </c>
      <c r="W29" s="2">
        <f t="shared" si="0"/>
        <v>0.8956548754213145</v>
      </c>
      <c r="X29" s="2">
        <f t="shared" si="1"/>
        <v>7.5465075351621067</v>
      </c>
      <c r="Y29" s="2">
        <f t="shared" si="2"/>
        <v>44.836672785576759</v>
      </c>
      <c r="Z29" s="2">
        <f t="shared" si="3"/>
        <v>1.2802633088406594</v>
      </c>
      <c r="AB29" t="s">
        <v>54</v>
      </c>
    </row>
    <row r="30" spans="2:28" x14ac:dyDescent="0.2">
      <c r="B30" s="2">
        <v>8.6622623156290501</v>
      </c>
      <c r="C30" s="2">
        <v>61.21432499678663</v>
      </c>
      <c r="E30" s="2" t="s">
        <v>44</v>
      </c>
      <c r="F30" s="2">
        <f>SUMPRODUCT(W2:W51,X2:X51)</f>
        <v>1170.1485269147954</v>
      </c>
      <c r="G30" s="2">
        <f>SUMSQ(W2:W51)</f>
        <v>167.25317355106671</v>
      </c>
      <c r="H30" s="2">
        <f>SUMSQ(X2:X51)</f>
        <v>8257.9011094852522</v>
      </c>
      <c r="I30" s="2">
        <f>SUMSQ(Z2:Z51)</f>
        <v>71.224910944843586</v>
      </c>
      <c r="J30" s="2">
        <f>H30-I30</f>
        <v>8186.6761985404082</v>
      </c>
      <c r="K30" s="2">
        <f>I30/48</f>
        <v>1.4838523113509081</v>
      </c>
      <c r="L30" s="2">
        <f>J30/1</f>
        <v>8186.6761985404082</v>
      </c>
      <c r="W30" s="2">
        <f t="shared" si="0"/>
        <v>3.1312496957980329</v>
      </c>
      <c r="X30" s="2">
        <f t="shared" si="1"/>
        <v>22.643896437531318</v>
      </c>
      <c r="Y30" s="2">
        <f t="shared" si="2"/>
        <v>60.477499983653516</v>
      </c>
      <c r="Z30" s="2">
        <f t="shared" si="3"/>
        <v>0.73682501313311377</v>
      </c>
      <c r="AB30" t="s">
        <v>55</v>
      </c>
    </row>
    <row r="31" spans="2:28" x14ac:dyDescent="0.2">
      <c r="B31" s="2">
        <v>3.8833837960555684</v>
      </c>
      <c r="C31" s="2">
        <v>26.477410556969605</v>
      </c>
      <c r="I31" t="s">
        <v>62</v>
      </c>
      <c r="W31" s="2">
        <f t="shared" si="0"/>
        <v>-1.6476288237754488</v>
      </c>
      <c r="X31" s="2">
        <f t="shared" si="1"/>
        <v>-12.093018002285707</v>
      </c>
      <c r="Y31" s="2">
        <f t="shared" si="2"/>
        <v>27.043170809168139</v>
      </c>
      <c r="Z31" s="2">
        <f t="shared" si="3"/>
        <v>-0.56576025219853321</v>
      </c>
    </row>
    <row r="32" spans="2:28" x14ac:dyDescent="0.2">
      <c r="B32" s="2">
        <v>6.3039812074566726</v>
      </c>
      <c r="C32" s="2">
        <v>43.090199153803752</v>
      </c>
      <c r="W32" s="2">
        <f t="shared" si="0"/>
        <v>0.77296858762565535</v>
      </c>
      <c r="X32" s="2">
        <f t="shared" si="1"/>
        <v>4.5197705945484401</v>
      </c>
      <c r="Y32" s="2">
        <f t="shared" si="2"/>
        <v>43.978326268804068</v>
      </c>
      <c r="Z32" s="2">
        <f t="shared" si="3"/>
        <v>-0.88812711500031583</v>
      </c>
    </row>
    <row r="33" spans="2:26" x14ac:dyDescent="0.2">
      <c r="B33" s="2">
        <v>3.1711334839928895</v>
      </c>
      <c r="C33" s="2">
        <v>22.922305531344243</v>
      </c>
      <c r="F33" s="3" t="s">
        <v>56</v>
      </c>
      <c r="G33" s="3"/>
      <c r="K33" s="3" t="s">
        <v>70</v>
      </c>
      <c r="L33" s="3"/>
      <c r="W33" s="2">
        <f t="shared" si="0"/>
        <v>-2.3598791358381277</v>
      </c>
      <c r="X33" s="2">
        <f t="shared" si="1"/>
        <v>-15.648123027911069</v>
      </c>
      <c r="Y33" s="2">
        <f t="shared" si="2"/>
        <v>22.060074609798978</v>
      </c>
      <c r="Z33" s="2">
        <f t="shared" si="3"/>
        <v>0.86223092154526526</v>
      </c>
    </row>
    <row r="34" spans="2:26" x14ac:dyDescent="0.2">
      <c r="B34" s="2">
        <v>4.3665142028476112</v>
      </c>
      <c r="C34" s="2">
        <v>31.084533957744661</v>
      </c>
      <c r="F34" s="2" t="s">
        <v>57</v>
      </c>
      <c r="G34" s="13">
        <f>1-I30/J30</f>
        <v>0.99129989885790981</v>
      </c>
      <c r="J34" s="25"/>
      <c r="K34" s="25" t="s">
        <v>65</v>
      </c>
      <c r="L34" s="25" t="s">
        <v>66</v>
      </c>
      <c r="M34" t="s">
        <v>72</v>
      </c>
      <c r="W34" s="2">
        <f t="shared" si="0"/>
        <v>-1.1644984169834061</v>
      </c>
      <c r="X34" s="2">
        <f t="shared" si="1"/>
        <v>-7.4858946015106511</v>
      </c>
      <c r="Y34" s="2">
        <f t="shared" si="2"/>
        <v>30.423282060945652</v>
      </c>
      <c r="Z34" s="2">
        <f t="shared" si="3"/>
        <v>0.66125189679900842</v>
      </c>
    </row>
    <row r="35" spans="2:26" x14ac:dyDescent="0.2">
      <c r="B35" s="2">
        <v>6.1655856724246405</v>
      </c>
      <c r="C35" s="2">
        <v>44.665320402843861</v>
      </c>
      <c r="F35" s="2" t="s">
        <v>59</v>
      </c>
      <c r="G35" s="12">
        <f>SQRT(G34)</f>
        <v>0.99564044657592621</v>
      </c>
      <c r="H35" s="17" t="s">
        <v>58</v>
      </c>
      <c r="J35" s="2" t="s">
        <v>69</v>
      </c>
      <c r="K35" s="23">
        <f>48 * J30/I30</f>
        <v>5517.1772392140629</v>
      </c>
      <c r="L35" s="2">
        <f>FINV(I38,1,48)</f>
        <v>4.0426521285666537</v>
      </c>
      <c r="M35" s="27">
        <f>_xlfn.F.DIST.RT(K35,1,48)</f>
        <v>3.3048887300539006E-51</v>
      </c>
      <c r="W35" s="2">
        <f t="shared" si="0"/>
        <v>0.63457305259362329</v>
      </c>
      <c r="X35" s="2">
        <f t="shared" si="1"/>
        <v>6.0948918435885489</v>
      </c>
      <c r="Y35" s="2">
        <f t="shared" si="2"/>
        <v>43.01007360124035</v>
      </c>
      <c r="Z35" s="2">
        <f t="shared" si="3"/>
        <v>1.6552468016035107</v>
      </c>
    </row>
    <row r="36" spans="2:26" x14ac:dyDescent="0.2">
      <c r="B36" s="2">
        <v>6.436198999726912</v>
      </c>
      <c r="C36" s="2">
        <v>44.515841349964219</v>
      </c>
      <c r="F36" s="2" t="s">
        <v>63</v>
      </c>
      <c r="G36" s="2">
        <f>(G35-G21)^2</f>
        <v>1.4200106024619667E-9</v>
      </c>
      <c r="H36" s="22" t="s">
        <v>60</v>
      </c>
      <c r="J36" s="25"/>
      <c r="K36" s="26" t="s">
        <v>71</v>
      </c>
      <c r="L36" s="26"/>
      <c r="W36" s="2">
        <f t="shared" si="0"/>
        <v>0.90518637989589479</v>
      </c>
      <c r="X36" s="2">
        <f t="shared" si="1"/>
        <v>5.9454127907089074</v>
      </c>
      <c r="Y36" s="2">
        <f t="shared" si="2"/>
        <v>44.903357773869708</v>
      </c>
      <c r="Z36" s="2">
        <f t="shared" si="3"/>
        <v>-0.38751642390548824</v>
      </c>
    </row>
    <row r="37" spans="2:26" x14ac:dyDescent="0.2">
      <c r="B37" s="2">
        <v>6.0588610166450962</v>
      </c>
      <c r="C37" s="2">
        <v>40.460543831774359</v>
      </c>
      <c r="J37" s="25"/>
      <c r="K37" s="25"/>
      <c r="L37" s="25"/>
      <c r="W37" s="2">
        <f t="shared" si="0"/>
        <v>0.52784839681407902</v>
      </c>
      <c r="X37" s="2">
        <f t="shared" si="1"/>
        <v>1.8901152725190471</v>
      </c>
      <c r="Y37" s="2">
        <f t="shared" si="2"/>
        <v>42.263398987572749</v>
      </c>
      <c r="Z37" s="2">
        <f t="shared" si="3"/>
        <v>-1.8028551557983903</v>
      </c>
    </row>
    <row r="38" spans="2:26" x14ac:dyDescent="0.2">
      <c r="B38" s="2">
        <v>3.694570422230754</v>
      </c>
      <c r="C38" s="2">
        <v>24.936624775711081</v>
      </c>
      <c r="F38" s="3" t="s">
        <v>61</v>
      </c>
      <c r="G38" s="3"/>
      <c r="H38" s="18" t="s">
        <v>67</v>
      </c>
      <c r="I38" s="19">
        <v>0.05</v>
      </c>
      <c r="K38" s="3" t="s">
        <v>73</v>
      </c>
      <c r="L38" s="3"/>
      <c r="W38" s="2">
        <f t="shared" si="0"/>
        <v>-1.8364421976002632</v>
      </c>
      <c r="X38" s="2">
        <f t="shared" si="1"/>
        <v>-13.633803783544231</v>
      </c>
      <c r="Y38" s="2">
        <f t="shared" si="2"/>
        <v>25.72218127843459</v>
      </c>
      <c r="Z38" s="2">
        <f t="shared" si="3"/>
        <v>-0.78555650272350874</v>
      </c>
    </row>
    <row r="39" spans="2:26" x14ac:dyDescent="0.2">
      <c r="B39" s="2">
        <v>7.531805876060389</v>
      </c>
      <c r="C39" s="2">
        <v>53.65123615847623</v>
      </c>
      <c r="F39" t="s">
        <v>65</v>
      </c>
      <c r="G39" t="s">
        <v>66</v>
      </c>
      <c r="K39" t="s">
        <v>65</v>
      </c>
      <c r="L39" t="s">
        <v>72</v>
      </c>
      <c r="M39" t="s">
        <v>78</v>
      </c>
      <c r="W39" s="2">
        <f t="shared" si="0"/>
        <v>2.0007932562293718</v>
      </c>
      <c r="X39" s="2">
        <f t="shared" si="1"/>
        <v>15.080807599220918</v>
      </c>
      <c r="Y39" s="2">
        <f t="shared" si="2"/>
        <v>52.568520384538559</v>
      </c>
      <c r="Z39" s="2">
        <f t="shared" si="3"/>
        <v>1.0827157739376716</v>
      </c>
    </row>
    <row r="40" spans="2:26" x14ac:dyDescent="0.2">
      <c r="B40" s="2">
        <v>5.9024688552017324</v>
      </c>
      <c r="C40" s="2">
        <v>40.280539735831354</v>
      </c>
      <c r="E40" s="2" t="s">
        <v>64</v>
      </c>
      <c r="F40" s="2">
        <f>SQRT(48) * G35/SQRT(1-G35^2)</f>
        <v>73.953885896645289</v>
      </c>
      <c r="G40" s="2">
        <f>_xlfn.T.INV.2T(I38,48)</f>
        <v>2.0106347576242314</v>
      </c>
      <c r="J40" s="2" t="s">
        <v>74</v>
      </c>
      <c r="K40" s="29">
        <f>F25/M40</f>
        <v>74.277703513329726</v>
      </c>
      <c r="L40" s="29">
        <f>_xlfn.T.DIST.2T(K40,48)</f>
        <v>3.3048887300531493E-51</v>
      </c>
      <c r="M40" s="29">
        <f>SQRT(K30/G30)</f>
        <v>9.4190728360517548E-2</v>
      </c>
      <c r="N40" t="s">
        <v>79</v>
      </c>
      <c r="W40" s="2">
        <f t="shared" si="0"/>
        <v>0.37145623537071515</v>
      </c>
      <c r="X40" s="2">
        <f t="shared" si="1"/>
        <v>1.7101111765760422</v>
      </c>
      <c r="Y40" s="2">
        <f t="shared" si="2"/>
        <v>41.169237044641967</v>
      </c>
      <c r="Z40" s="2">
        <f t="shared" si="3"/>
        <v>-0.88869730881061315</v>
      </c>
    </row>
    <row r="41" spans="2:26" ht="29" customHeight="1" x14ac:dyDescent="0.2">
      <c r="B41" s="2">
        <v>4.6277028913027607</v>
      </c>
      <c r="C41" s="2">
        <v>33.397850330412282</v>
      </c>
      <c r="F41" s="21" t="s">
        <v>68</v>
      </c>
      <c r="G41" s="21"/>
      <c r="J41" s="2" t="s">
        <v>75</v>
      </c>
      <c r="K41" s="31">
        <f>F26/M41</f>
        <v>-0.22969094563080694</v>
      </c>
      <c r="L41" s="33">
        <f>_xlfn.T.DIST.2T(-K41,48)</f>
        <v>0.81930793085085518</v>
      </c>
      <c r="M41" s="31">
        <f>SQRT(I30*SUMSQ(X)/(50*48*G30))</f>
        <v>0.54871385881667278</v>
      </c>
      <c r="N41" t="s">
        <v>80</v>
      </c>
      <c r="W41" s="2">
        <f t="shared" si="0"/>
        <v>-0.90330972852825653</v>
      </c>
      <c r="X41" s="2">
        <f t="shared" si="1"/>
        <v>-5.1725782288430295</v>
      </c>
      <c r="Y41" s="2">
        <f t="shared" si="2"/>
        <v>32.250628906171791</v>
      </c>
      <c r="Z41" s="2">
        <f t="shared" si="3"/>
        <v>1.1472214242404917</v>
      </c>
    </row>
    <row r="42" spans="2:26" x14ac:dyDescent="0.2">
      <c r="B42" s="2">
        <v>5.2115939423674718</v>
      </c>
      <c r="C42" s="2">
        <v>37.59745371708199</v>
      </c>
      <c r="W42" s="2">
        <f t="shared" si="0"/>
        <v>-0.31941867746354546</v>
      </c>
      <c r="X42" s="2">
        <f t="shared" si="1"/>
        <v>-0.97297484217332197</v>
      </c>
      <c r="Y42" s="2">
        <f t="shared" si="2"/>
        <v>36.335688930898293</v>
      </c>
      <c r="Z42" s="2">
        <f t="shared" si="3"/>
        <v>1.2617647861836971</v>
      </c>
    </row>
    <row r="43" spans="2:26" x14ac:dyDescent="0.2">
      <c r="B43" s="2">
        <v>5.2789647624013014</v>
      </c>
      <c r="C43" s="2">
        <v>35.478129495329384</v>
      </c>
      <c r="F43" s="3"/>
      <c r="G43" s="3"/>
      <c r="W43" s="2">
        <f t="shared" si="0"/>
        <v>-0.2520478574297158</v>
      </c>
      <c r="X43" s="2">
        <f t="shared" si="1"/>
        <v>-3.0922990639259282</v>
      </c>
      <c r="Y43" s="2">
        <f t="shared" si="2"/>
        <v>36.807033445001387</v>
      </c>
      <c r="Z43" s="2">
        <f t="shared" si="3"/>
        <v>-1.3289039496720036</v>
      </c>
    </row>
    <row r="44" spans="2:26" x14ac:dyDescent="0.2">
      <c r="B44" s="2">
        <v>6.1219754014746286</v>
      </c>
      <c r="C44" s="2">
        <v>42.942101826451349</v>
      </c>
      <c r="F44" s="3" t="s">
        <v>81</v>
      </c>
      <c r="G44" s="3"/>
      <c r="W44" s="2">
        <f t="shared" si="0"/>
        <v>0.59096278164361138</v>
      </c>
      <c r="X44" s="2">
        <f t="shared" si="1"/>
        <v>4.3716732671960372</v>
      </c>
      <c r="Y44" s="2">
        <f t="shared" si="2"/>
        <v>42.704964327514489</v>
      </c>
      <c r="Z44" s="2">
        <f t="shared" si="3"/>
        <v>0.23713749893686042</v>
      </c>
    </row>
    <row r="45" spans="2:26" x14ac:dyDescent="0.2">
      <c r="B45" s="2">
        <v>5.6288200893322937</v>
      </c>
      <c r="C45" s="2">
        <v>38.577387627948958</v>
      </c>
      <c r="F45" s="2" t="s">
        <v>82</v>
      </c>
      <c r="G45" s="2" t="s">
        <v>83</v>
      </c>
      <c r="W45" s="2">
        <f t="shared" si="0"/>
        <v>9.7807469501276501E-2</v>
      </c>
      <c r="X45" s="2">
        <f t="shared" si="1"/>
        <v>6.9590686936464863E-3</v>
      </c>
      <c r="Y45" s="2">
        <f t="shared" si="2"/>
        <v>39.254716121208439</v>
      </c>
      <c r="Z45" s="2">
        <f t="shared" si="3"/>
        <v>-0.67732849325948052</v>
      </c>
    </row>
    <row r="46" spans="2:26" x14ac:dyDescent="0.2">
      <c r="B46" s="2">
        <v>4.5088410287280567</v>
      </c>
      <c r="C46" s="2">
        <v>33.077179014357334</v>
      </c>
      <c r="F46" s="2">
        <f>Y2-_xlfn.T.INV.2T($I$38/2,48)*SQRT($K$30)*SQRT(1/50 + (B2-$B$53)^2/$G$30)</f>
        <v>44.120242986390139</v>
      </c>
      <c r="G46" s="2">
        <f>Y2+_xlfn.T.INV.2T($I$38/2,48)*SQRT($K$30)*SQRT(1/50 + (B2-$B$53)^2/$G$30)</f>
        <v>45.000501648856755</v>
      </c>
      <c r="W46" s="2">
        <f t="shared" si="0"/>
        <v>-1.0221715911029605</v>
      </c>
      <c r="X46" s="2">
        <f t="shared" si="1"/>
        <v>-5.4932495448979779</v>
      </c>
      <c r="Y46" s="2">
        <f t="shared" si="2"/>
        <v>31.419039104644511</v>
      </c>
      <c r="Z46" s="2">
        <f t="shared" si="3"/>
        <v>1.6581399097128227</v>
      </c>
    </row>
    <row r="47" spans="2:26" x14ac:dyDescent="0.2">
      <c r="B47" s="2">
        <v>3.8991203281329945</v>
      </c>
      <c r="C47" s="2">
        <v>28.088870438547726</v>
      </c>
      <c r="F47" s="2">
        <f t="shared" ref="F47:F95" si="4">Y3-_xlfn.T.INV.2T($I$38/2,48)*SQRT($K$30)*SQRT(1/50 + (B3-$B$53)^2/$G$30)</f>
        <v>37.573155849224889</v>
      </c>
      <c r="G47" s="2">
        <f t="shared" ref="G47:G96" si="5">Y3+_xlfn.T.INV.2T($I$38/2,48)*SQRT($K$30)*SQRT(1/50 + (B3-$B$53)^2/$G$30)</f>
        <v>38.371258680332076</v>
      </c>
      <c r="W47" s="2">
        <f t="shared" si="0"/>
        <v>-1.6318922916980227</v>
      </c>
      <c r="X47" s="2">
        <f t="shared" si="1"/>
        <v>-10.481558120707586</v>
      </c>
      <c r="Y47" s="2">
        <f t="shared" si="2"/>
        <v>27.15326785210123</v>
      </c>
      <c r="Z47" s="2">
        <f t="shared" si="3"/>
        <v>0.93560258644649608</v>
      </c>
    </row>
    <row r="48" spans="2:26" x14ac:dyDescent="0.2">
      <c r="B48" s="2">
        <v>9.4278567656874657</v>
      </c>
      <c r="C48" s="2">
        <v>66.270950739188891</v>
      </c>
      <c r="F48" s="2">
        <f t="shared" si="4"/>
        <v>46.241458447226464</v>
      </c>
      <c r="G48" s="2">
        <f t="shared" si="5"/>
        <v>47.186449220033722</v>
      </c>
      <c r="W48" s="2">
        <f t="shared" si="0"/>
        <v>3.8968441458564484</v>
      </c>
      <c r="X48" s="2">
        <f t="shared" si="1"/>
        <v>27.700522179933579</v>
      </c>
      <c r="Y48" s="2">
        <f t="shared" si="2"/>
        <v>65.833806228428443</v>
      </c>
      <c r="Z48" s="2">
        <f t="shared" si="3"/>
        <v>0.43714451076044725</v>
      </c>
    </row>
    <row r="49" spans="1:26" x14ac:dyDescent="0.2">
      <c r="B49" s="2">
        <v>5.021600499167107</v>
      </c>
      <c r="C49" s="2">
        <v>36.732816438686051</v>
      </c>
      <c r="F49" s="2">
        <f t="shared" si="4"/>
        <v>21.200813459672617</v>
      </c>
      <c r="G49" s="2">
        <f t="shared" si="5"/>
        <v>22.512290082339447</v>
      </c>
      <c r="W49" s="2">
        <f t="shared" si="0"/>
        <v>-0.50941212066391017</v>
      </c>
      <c r="X49" s="2">
        <f t="shared" si="1"/>
        <v>-1.8376121205692613</v>
      </c>
      <c r="Y49" s="2">
        <f t="shared" si="2"/>
        <v>35.006443315020654</v>
      </c>
      <c r="Z49" s="2">
        <f t="shared" si="3"/>
        <v>1.7263731236653967</v>
      </c>
    </row>
    <row r="50" spans="1:26" x14ac:dyDescent="0.2">
      <c r="B50" s="2">
        <v>7.7864007279276848</v>
      </c>
      <c r="C50" s="2">
        <v>55.657087438333654</v>
      </c>
      <c r="F50" s="2">
        <f t="shared" si="4"/>
        <v>37.830517671679921</v>
      </c>
      <c r="G50" s="2">
        <f t="shared" si="5"/>
        <v>38.628033027158587</v>
      </c>
      <c r="W50" s="2">
        <f t="shared" si="0"/>
        <v>2.2553881080966676</v>
      </c>
      <c r="X50" s="2">
        <f t="shared" si="1"/>
        <v>17.086658879078342</v>
      </c>
      <c r="Y50" s="2">
        <f t="shared" si="2"/>
        <v>54.349734962100207</v>
      </c>
      <c r="Z50" s="2">
        <f t="shared" si="3"/>
        <v>1.3073524762334472</v>
      </c>
    </row>
    <row r="51" spans="1:26" x14ac:dyDescent="0.2">
      <c r="B51" s="2">
        <v>5.1551916284370236</v>
      </c>
      <c r="C51" s="2">
        <v>38.056283600035428</v>
      </c>
      <c r="F51" s="2">
        <f t="shared" si="4"/>
        <v>42.719002796975417</v>
      </c>
      <c r="G51" s="2">
        <f t="shared" si="5"/>
        <v>43.565593652972368</v>
      </c>
      <c r="W51" s="2">
        <f>B51-$B$53</f>
        <v>-0.37582099139399361</v>
      </c>
      <c r="X51" s="2">
        <f>C51-$C$53</f>
        <v>-0.5141449592198839</v>
      </c>
      <c r="Y51" s="2">
        <f t="shared" si="2"/>
        <v>35.941083057903313</v>
      </c>
      <c r="Z51" s="2">
        <f t="shared" si="3"/>
        <v>2.1152005421321149</v>
      </c>
    </row>
    <row r="52" spans="1:26" x14ac:dyDescent="0.2">
      <c r="F52" s="2">
        <f t="shared" si="4"/>
        <v>14.631498916059364</v>
      </c>
      <c r="G52" s="2">
        <f t="shared" si="5"/>
        <v>16.277641458707766</v>
      </c>
    </row>
    <row r="53" spans="1:26" x14ac:dyDescent="0.2">
      <c r="A53" t="s">
        <v>14</v>
      </c>
      <c r="B53">
        <f>AVERAGE(X)</f>
        <v>5.5310126198310172</v>
      </c>
      <c r="C53">
        <f>AVERAGE(Y)</f>
        <v>38.570428559255312</v>
      </c>
      <c r="F53" s="2">
        <f t="shared" si="4"/>
        <v>36.464425534092157</v>
      </c>
      <c r="G53" s="2">
        <f t="shared" si="5"/>
        <v>37.268694421842028</v>
      </c>
    </row>
    <row r="54" spans="1:26" x14ac:dyDescent="0.2">
      <c r="A54" t="s">
        <v>15</v>
      </c>
      <c r="B54">
        <f>VARPA(X)</f>
        <v>3.3450634710213287</v>
      </c>
      <c r="C54">
        <f>VARPA(Y)</f>
        <v>165.15802218970563</v>
      </c>
      <c r="F54" s="2">
        <f t="shared" si="4"/>
        <v>57.068911446639667</v>
      </c>
      <c r="G54" s="2">
        <f t="shared" si="5"/>
        <v>58.507384264557409</v>
      </c>
    </row>
    <row r="55" spans="1:26" x14ac:dyDescent="0.2">
      <c r="A55" t="s">
        <v>16</v>
      </c>
      <c r="B55">
        <f>SQRT(B54)</f>
        <v>1.8289514676506122</v>
      </c>
      <c r="C55">
        <f>SQRT(C54)</f>
        <v>12.85138211204171</v>
      </c>
      <c r="F55" s="2">
        <f t="shared" si="4"/>
        <v>28.407817518529718</v>
      </c>
      <c r="G55" s="2">
        <f t="shared" si="5"/>
        <v>29.406838526379978</v>
      </c>
    </row>
    <row r="56" spans="1:26" x14ac:dyDescent="0.2">
      <c r="F56" s="2">
        <f t="shared" si="4"/>
        <v>49.900038602866907</v>
      </c>
      <c r="G56" s="2">
        <f t="shared" si="5"/>
        <v>50.987615822527083</v>
      </c>
    </row>
    <row r="57" spans="1:26" x14ac:dyDescent="0.2">
      <c r="F57" s="2">
        <f t="shared" si="4"/>
        <v>55.538002226983011</v>
      </c>
      <c r="G57" s="2">
        <f t="shared" si="5"/>
        <v>56.896081564478806</v>
      </c>
    </row>
    <row r="58" spans="1:26" x14ac:dyDescent="0.2">
      <c r="F58" s="2">
        <f t="shared" si="4"/>
        <v>8.23044866998457</v>
      </c>
      <c r="G58" s="2">
        <f t="shared" si="5"/>
        <v>10.224888356789643</v>
      </c>
    </row>
    <row r="59" spans="1:26" x14ac:dyDescent="0.2">
      <c r="F59" s="2">
        <f t="shared" si="4"/>
        <v>23.853980553783231</v>
      </c>
      <c r="G59" s="2">
        <f t="shared" si="5"/>
        <v>25.041335599445055</v>
      </c>
    </row>
    <row r="60" spans="1:26" x14ac:dyDescent="0.2">
      <c r="F60" s="2">
        <f t="shared" si="4"/>
        <v>30.007671860362709</v>
      </c>
      <c r="G60" s="2">
        <f t="shared" si="5"/>
        <v>30.95091413356079</v>
      </c>
    </row>
    <row r="61" spans="1:26" x14ac:dyDescent="0.2">
      <c r="F61" s="2">
        <f t="shared" si="4"/>
        <v>25.219469571748892</v>
      </c>
      <c r="G61" s="2">
        <f t="shared" si="5"/>
        <v>26.346554910326514</v>
      </c>
    </row>
    <row r="62" spans="1:26" x14ac:dyDescent="0.2">
      <c r="F62" s="2">
        <f t="shared" si="4"/>
        <v>33.818239171543766</v>
      </c>
      <c r="G62" s="2">
        <f t="shared" si="5"/>
        <v>34.659906451692336</v>
      </c>
    </row>
    <row r="63" spans="1:26" x14ac:dyDescent="0.2">
      <c r="F63" s="2">
        <f t="shared" si="4"/>
        <v>26.839057070669849</v>
      </c>
      <c r="G63" s="2">
        <f t="shared" si="5"/>
        <v>27.898608536375068</v>
      </c>
    </row>
    <row r="64" spans="1:26" x14ac:dyDescent="0.2">
      <c r="F64" s="2">
        <f t="shared" si="4"/>
        <v>18.643695131424362</v>
      </c>
      <c r="G64" s="2">
        <f t="shared" si="5"/>
        <v>20.081651261416578</v>
      </c>
    </row>
    <row r="65" spans="6:7" x14ac:dyDescent="0.2">
      <c r="F65" s="2">
        <f t="shared" si="4"/>
        <v>49.299295451802031</v>
      </c>
      <c r="G65" s="2">
        <f t="shared" si="5"/>
        <v>50.361240653716401</v>
      </c>
    </row>
    <row r="66" spans="6:7" x14ac:dyDescent="0.2">
      <c r="F66" s="2">
        <f t="shared" si="4"/>
        <v>68.301995366085663</v>
      </c>
      <c r="G66" s="2">
        <f t="shared" si="5"/>
        <v>70.37823082148654</v>
      </c>
    </row>
    <row r="67" spans="6:7" x14ac:dyDescent="0.2">
      <c r="F67" s="2">
        <f t="shared" si="4"/>
        <v>41.829478679738536</v>
      </c>
      <c r="G67" s="2">
        <f t="shared" si="5"/>
        <v>42.658918159495904</v>
      </c>
    </row>
    <row r="68" spans="6:7" x14ac:dyDescent="0.2">
      <c r="F68" s="2">
        <f t="shared" si="4"/>
        <v>25.109820856771588</v>
      </c>
      <c r="G68" s="2">
        <f t="shared" si="5"/>
        <v>26.241640857628408</v>
      </c>
    </row>
    <row r="69" spans="6:7" x14ac:dyDescent="0.2">
      <c r="F69" s="2">
        <f t="shared" si="4"/>
        <v>54.118420586873441</v>
      </c>
      <c r="G69" s="2">
        <f t="shared" si="5"/>
        <v>55.404176253889602</v>
      </c>
    </row>
    <row r="70" spans="6:7" x14ac:dyDescent="0.2">
      <c r="F70" s="2">
        <f t="shared" si="4"/>
        <v>42.999236503355107</v>
      </c>
      <c r="G70" s="2">
        <f t="shared" si="5"/>
        <v>43.851927824226692</v>
      </c>
    </row>
    <row r="71" spans="6:7" x14ac:dyDescent="0.2">
      <c r="F71" s="2">
        <f t="shared" si="4"/>
        <v>27.235982093823701</v>
      </c>
      <c r="G71" s="2">
        <f t="shared" si="5"/>
        <v>28.279728068900674</v>
      </c>
    </row>
    <row r="72" spans="6:7" x14ac:dyDescent="0.2">
      <c r="F72" s="2">
        <f t="shared" si="4"/>
        <v>50.359983716313216</v>
      </c>
      <c r="G72" s="2">
        <f t="shared" si="5"/>
        <v>51.467687247298123</v>
      </c>
    </row>
    <row r="73" spans="6:7" x14ac:dyDescent="0.2">
      <c r="F73" s="2">
        <f t="shared" si="4"/>
        <v>44.39282580590892</v>
      </c>
      <c r="G73" s="2">
        <f t="shared" si="5"/>
        <v>45.280519765244598</v>
      </c>
    </row>
    <row r="74" spans="6:7" x14ac:dyDescent="0.2">
      <c r="F74" s="2">
        <f t="shared" si="4"/>
        <v>59.687163635138454</v>
      </c>
      <c r="G74" s="2">
        <f t="shared" si="5"/>
        <v>61.267836332168578</v>
      </c>
    </row>
    <row r="75" spans="6:7" x14ac:dyDescent="0.2">
      <c r="F75" s="2">
        <f t="shared" si="4"/>
        <v>26.506658457684509</v>
      </c>
      <c r="G75" s="2">
        <f t="shared" si="5"/>
        <v>27.579683160651769</v>
      </c>
    </row>
    <row r="76" spans="6:7" x14ac:dyDescent="0.2">
      <c r="F76" s="2">
        <f t="shared" si="4"/>
        <v>43.54557251095126</v>
      </c>
      <c r="G76" s="2">
        <f t="shared" si="5"/>
        <v>44.411080026656876</v>
      </c>
    </row>
    <row r="77" spans="6:7" x14ac:dyDescent="0.2">
      <c r="F77" s="2">
        <f t="shared" si="4"/>
        <v>21.409359099008856</v>
      </c>
      <c r="G77" s="2">
        <f t="shared" si="5"/>
        <v>22.710790120589099</v>
      </c>
    </row>
    <row r="78" spans="6:7" x14ac:dyDescent="0.2">
      <c r="F78" s="2">
        <f t="shared" si="4"/>
        <v>29.950726097107164</v>
      </c>
      <c r="G78" s="2">
        <f t="shared" si="5"/>
        <v>30.89583802478414</v>
      </c>
    </row>
    <row r="79" spans="6:7" x14ac:dyDescent="0.2">
      <c r="F79" s="2">
        <f t="shared" si="4"/>
        <v>42.588146251225012</v>
      </c>
      <c r="G79" s="2">
        <f t="shared" si="5"/>
        <v>43.432000951255688</v>
      </c>
    </row>
    <row r="80" spans="6:7" x14ac:dyDescent="0.2">
      <c r="F80" s="2">
        <f t="shared" si="4"/>
        <v>44.458593243419486</v>
      </c>
      <c r="G80" s="2">
        <f t="shared" si="5"/>
        <v>45.348122304319929</v>
      </c>
    </row>
    <row r="81" spans="6:7" x14ac:dyDescent="0.2">
      <c r="F81" s="2">
        <f t="shared" si="4"/>
        <v>41.84851378883841</v>
      </c>
      <c r="G81" s="2">
        <f t="shared" si="5"/>
        <v>42.678284186307089</v>
      </c>
    </row>
    <row r="82" spans="6:7" x14ac:dyDescent="0.2">
      <c r="F82" s="2">
        <f t="shared" si="4"/>
        <v>25.15729748833305</v>
      </c>
      <c r="G82" s="2">
        <f t="shared" si="5"/>
        <v>26.28706506853613</v>
      </c>
    </row>
    <row r="83" spans="6:7" x14ac:dyDescent="0.2">
      <c r="F83" s="2">
        <f t="shared" si="4"/>
        <v>51.977715387952692</v>
      </c>
      <c r="G83" s="2">
        <f t="shared" si="5"/>
        <v>53.159325381124425</v>
      </c>
    </row>
    <row r="84" spans="6:7" x14ac:dyDescent="0.2">
      <c r="F84" s="2">
        <f t="shared" si="4"/>
        <v>40.762482879048733</v>
      </c>
      <c r="G84" s="2">
        <f t="shared" si="5"/>
        <v>41.575991210235202</v>
      </c>
    </row>
    <row r="85" spans="6:7" x14ac:dyDescent="0.2">
      <c r="F85" s="2">
        <f t="shared" si="4"/>
        <v>31.8060456493827</v>
      </c>
      <c r="G85" s="2">
        <f t="shared" si="5"/>
        <v>32.695212162960885</v>
      </c>
    </row>
    <row r="86" spans="6:7" x14ac:dyDescent="0.2">
      <c r="F86" s="2">
        <f t="shared" si="4"/>
        <v>35.931039437798162</v>
      </c>
      <c r="G86" s="2">
        <f t="shared" si="5"/>
        <v>36.740338423998423</v>
      </c>
    </row>
    <row r="87" spans="6:7" x14ac:dyDescent="0.2">
      <c r="F87" s="2">
        <f t="shared" si="4"/>
        <v>36.404650038769525</v>
      </c>
      <c r="G87" s="2">
        <f t="shared" si="5"/>
        <v>37.20941685123325</v>
      </c>
    </row>
    <row r="88" spans="6:7" x14ac:dyDescent="0.2">
      <c r="F88" s="2">
        <f t="shared" si="4"/>
        <v>42.286056296348058</v>
      </c>
      <c r="G88" s="2">
        <f t="shared" si="5"/>
        <v>43.12387235868092</v>
      </c>
    </row>
    <row r="89" spans="6:7" x14ac:dyDescent="0.2">
      <c r="F89" s="2">
        <f t="shared" si="4"/>
        <v>38.855530511566563</v>
      </c>
      <c r="G89" s="2">
        <f t="shared" si="5"/>
        <v>39.653901730850315</v>
      </c>
    </row>
    <row r="90" spans="6:7" x14ac:dyDescent="0.2">
      <c r="F90" s="2">
        <f t="shared" si="4"/>
        <v>30.962392950246137</v>
      </c>
      <c r="G90" s="2">
        <f t="shared" si="5"/>
        <v>31.875685259042886</v>
      </c>
    </row>
    <row r="91" spans="6:7" x14ac:dyDescent="0.2">
      <c r="F91" s="2">
        <f t="shared" si="4"/>
        <v>26.619045010604673</v>
      </c>
      <c r="G91" s="2">
        <f t="shared" si="5"/>
        <v>27.687490693597788</v>
      </c>
    </row>
    <row r="92" spans="6:7" x14ac:dyDescent="0.2">
      <c r="F92" s="2">
        <f t="shared" si="4"/>
        <v>64.895605744923373</v>
      </c>
      <c r="G92" s="2">
        <f t="shared" si="5"/>
        <v>66.772006711933514</v>
      </c>
    </row>
    <row r="93" spans="6:7" x14ac:dyDescent="0.2">
      <c r="F93" s="2">
        <f t="shared" si="4"/>
        <v>34.592654297569382</v>
      </c>
      <c r="G93" s="2">
        <f t="shared" si="5"/>
        <v>35.420232332471926</v>
      </c>
    </row>
    <row r="94" spans="6:7" x14ac:dyDescent="0.2">
      <c r="F94" s="2">
        <f t="shared" si="4"/>
        <v>53.716866096475272</v>
      </c>
      <c r="G94" s="2">
        <f t="shared" si="5"/>
        <v>54.982603827725143</v>
      </c>
    </row>
    <row r="95" spans="6:7" x14ac:dyDescent="0.2">
      <c r="F95" s="2">
        <f t="shared" si="4"/>
        <v>35.534138485168008</v>
      </c>
      <c r="G95" s="2">
        <f t="shared" si="5"/>
        <v>36.348027630638619</v>
      </c>
    </row>
  </sheetData>
  <mergeCells count="13">
    <mergeCell ref="F44:G44"/>
    <mergeCell ref="F38:G38"/>
    <mergeCell ref="F33:G33"/>
    <mergeCell ref="F41:G41"/>
    <mergeCell ref="K33:L33"/>
    <mergeCell ref="K36:L36"/>
    <mergeCell ref="F43:G43"/>
    <mergeCell ref="K38:L38"/>
    <mergeCell ref="F24:G24"/>
    <mergeCell ref="F26:G26"/>
    <mergeCell ref="F25:G25"/>
    <mergeCell ref="O2:Q2"/>
    <mergeCell ref="F28:G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AB2-3FD8-BF41-BC98-C4FA060C4D7E}">
  <dimension ref="A1:R57"/>
  <sheetViews>
    <sheetView tabSelected="1" zoomScale="65" workbookViewId="0">
      <selection activeCell="N43" sqref="N43"/>
    </sheetView>
  </sheetViews>
  <sheetFormatPr baseColWidth="10" defaultRowHeight="16" x14ac:dyDescent="0.2"/>
  <cols>
    <col min="1" max="1" width="24.1640625" customWidth="1"/>
    <col min="2" max="2" width="15" customWidth="1"/>
    <col min="3" max="3" width="18.5" customWidth="1"/>
    <col min="4" max="5" width="20.83203125" customWidth="1"/>
    <col min="6" max="6" width="19.6640625" customWidth="1"/>
    <col min="7" max="7" width="20.5" bestFit="1" customWidth="1"/>
    <col min="8" max="8" width="12.5" customWidth="1"/>
    <col min="9" max="9" width="15.1640625" customWidth="1"/>
    <col min="10" max="10" width="14.83203125" customWidth="1"/>
    <col min="11" max="11" width="14" customWidth="1"/>
    <col min="12" max="13" width="11.5" bestFit="1" customWidth="1"/>
    <col min="14" max="14" width="13" customWidth="1"/>
    <col min="15" max="15" width="11.5" customWidth="1"/>
    <col min="16" max="16" width="19.6640625" customWidth="1"/>
    <col min="17" max="17" width="25" customWidth="1"/>
    <col min="18" max="18" width="19.33203125" customWidth="1"/>
    <col min="19" max="19" width="6.5" bestFit="1" customWidth="1"/>
    <col min="20" max="20" width="11.5" bestFit="1" customWidth="1"/>
  </cols>
  <sheetData>
    <row r="1" spans="2:18" x14ac:dyDescent="0.2">
      <c r="B1" s="1" t="s">
        <v>0</v>
      </c>
      <c r="C1" s="1" t="s">
        <v>1</v>
      </c>
      <c r="D1" t="s">
        <v>87</v>
      </c>
      <c r="E1" t="s">
        <v>89</v>
      </c>
      <c r="F1" t="s">
        <v>98</v>
      </c>
      <c r="G1" t="s">
        <v>88</v>
      </c>
    </row>
    <row r="2" spans="2:18" x14ac:dyDescent="0.2">
      <c r="B2" s="2">
        <v>6.3871749615645967</v>
      </c>
      <c r="C2" s="2">
        <v>43.376585426780373</v>
      </c>
      <c r="D2">
        <f>IF(B2&lt;=$K$4,1,IF(B2&lt;=$K$5,2,IF(B2&lt;=$K$6,3,IF(B2&lt;=$K$7,4,IF(B2&lt;=$K$8,5)))))</f>
        <v>3</v>
      </c>
      <c r="E2">
        <f>IF(C2&lt;=$N$4,1,IF(C2&lt;=$N$5,2,IF(C2&lt;=$N$6,3,IF(C2&lt;=$N$7,4,IF(C2&lt;=$N$8,5)))))</f>
        <v>3</v>
      </c>
      <c r="F2">
        <f>IF(B2&lt;=$K$10,1,IF(B2&lt;=$K$11,2))</f>
        <v>2</v>
      </c>
      <c r="G2">
        <f>IF(C2&lt;=$N$10,1,IF(C2&lt;=$N$11,2))</f>
        <v>2</v>
      </c>
    </row>
    <row r="3" spans="2:18" x14ac:dyDescent="0.2">
      <c r="B3" s="2">
        <v>5.4455068847164512</v>
      </c>
      <c r="C3" s="2">
        <v>38.993953911204358</v>
      </c>
      <c r="D3">
        <f>IF(B3&lt;=$K$4,1,IF(B3&lt;=$K$5,2,IF(B3&lt;=$K$6,3,IF(B3&lt;=$K$7,4,IF(B3&lt;=$K$8,5)))))</f>
        <v>3</v>
      </c>
      <c r="E3">
        <f>IF(C3&lt;=$N$4,1,IF(C3&lt;=$N$5,2,IF(C3&lt;=$N$6,3,IF(C3&lt;=$N$7,4,IF(C3&lt;=$N$8,5)))))</f>
        <v>3</v>
      </c>
      <c r="F3">
        <f t="shared" ref="F3:F51" si="0">IF(B3&lt;=$K$10,1,IF(B3&lt;=$K$11,2))</f>
        <v>1</v>
      </c>
      <c r="G3">
        <f t="shared" ref="G3:G51" si="1">IF(C3&lt;=$N$10,1,IF(C3&lt;=$N$11,2))</f>
        <v>2</v>
      </c>
      <c r="J3" s="3" t="s">
        <v>84</v>
      </c>
      <c r="K3" s="3"/>
      <c r="M3" s="3" t="s">
        <v>85</v>
      </c>
      <c r="N3" s="3"/>
    </row>
    <row r="4" spans="2:18" x14ac:dyDescent="0.2">
      <c r="B4" s="2">
        <v>6.6949934433796443</v>
      </c>
      <c r="C4" s="2">
        <v>46.465134105434423</v>
      </c>
      <c r="D4">
        <f>IF(B4&lt;=$K$4,1,IF(B4&lt;=$K$5,2,IF(B4&lt;=$K$6,3,IF(B4&lt;=$K$7,4,IF(B4&lt;=$K$8,5)))))</f>
        <v>4</v>
      </c>
      <c r="E4">
        <f>IF(C4&lt;=$N$4,1,IF(C4&lt;=$N$5,2,IF(C4&lt;=$N$6,3,IF(C4&lt;=$N$7,4,IF(C4&lt;=$N$8,5)))))</f>
        <v>4</v>
      </c>
      <c r="F4">
        <f t="shared" si="0"/>
        <v>2</v>
      </c>
      <c r="G4">
        <f t="shared" si="1"/>
        <v>2</v>
      </c>
      <c r="I4">
        <v>1</v>
      </c>
      <c r="J4" s="34">
        <f>B53</f>
        <v>1.3369555189274251</v>
      </c>
      <c r="K4" s="34">
        <f>J4+$B$56</f>
        <v>3.0553693603724241</v>
      </c>
      <c r="M4" s="34">
        <f>C53</f>
        <v>7.5504507884379901</v>
      </c>
      <c r="N4" s="34">
        <f>M4+$C$56</f>
        <v>20.03166942138083</v>
      </c>
    </row>
    <row r="5" spans="2:18" x14ac:dyDescent="0.2">
      <c r="B5" s="2">
        <v>3.1420432959566824</v>
      </c>
      <c r="C5" s="2">
        <v>20.943176921352283</v>
      </c>
      <c r="D5">
        <f>IF(B5&lt;=$K$4,1,IF(B5&lt;=$K$5,2,IF(B5&lt;=$K$6,3,IF(B5&lt;=$K$7,4,IF(B5&lt;=$K$8,5)))))</f>
        <v>2</v>
      </c>
      <c r="E5">
        <f>IF(C5&lt;=$N$4,1,IF(C5&lt;=$N$5,2,IF(C5&lt;=$N$6,3,IF(C5&lt;=$N$7,4,IF(C5&lt;=$N$8,5)))))</f>
        <v>2</v>
      </c>
      <c r="F5">
        <f t="shared" si="0"/>
        <v>1</v>
      </c>
      <c r="G5">
        <f t="shared" si="1"/>
        <v>1</v>
      </c>
      <c r="I5">
        <v>2</v>
      </c>
      <c r="J5">
        <f>K4</f>
        <v>3.0553693603724241</v>
      </c>
      <c r="K5" s="34">
        <f t="shared" ref="K5:K8" si="2">J5+$B$56</f>
        <v>4.7737832018174231</v>
      </c>
      <c r="M5">
        <f>N4</f>
        <v>20.03166942138083</v>
      </c>
      <c r="N5" s="34">
        <f>M5+$C$56</f>
        <v>32.512888054323668</v>
      </c>
    </row>
    <row r="6" spans="2:18" x14ac:dyDescent="0.2">
      <c r="B6" s="2">
        <v>5.4822504706680775</v>
      </c>
      <c r="C6" s="2">
        <v>37.023559293211314</v>
      </c>
      <c r="D6">
        <f>IF(B6&lt;=$K$4,1,IF(B6&lt;=$K$5,2,IF(B6&lt;=$K$6,3,IF(B6&lt;=$K$7,4,IF(B6&lt;=$K$8,5)))))</f>
        <v>3</v>
      </c>
      <c r="E6">
        <f>IF(C6&lt;=$N$4,1,IF(C6&lt;=$N$5,2,IF(C6&lt;=$N$6,3,IF(C6&lt;=$N$7,4,IF(C6&lt;=$N$8,5)))))</f>
        <v>3</v>
      </c>
      <c r="F6">
        <f t="shared" si="0"/>
        <v>1</v>
      </c>
      <c r="G6">
        <f t="shared" si="1"/>
        <v>1</v>
      </c>
      <c r="I6">
        <v>3</v>
      </c>
      <c r="J6">
        <f t="shared" ref="J6:J8" si="3">K5</f>
        <v>4.7737832018174231</v>
      </c>
      <c r="K6" s="34">
        <f t="shared" si="2"/>
        <v>6.4921970432624221</v>
      </c>
      <c r="M6">
        <f t="shared" ref="M6:M8" si="4">N5</f>
        <v>32.512888054323668</v>
      </c>
      <c r="N6" s="34">
        <f t="shared" ref="N6:N8" si="5">M6+$C$56</f>
        <v>44.994106687266509</v>
      </c>
    </row>
    <row r="7" spans="2:18" x14ac:dyDescent="0.2">
      <c r="B7" s="2">
        <v>6.184484972327482</v>
      </c>
      <c r="C7" s="2">
        <v>42.615298626196527</v>
      </c>
      <c r="D7">
        <f>IF(B7&lt;=$K$4,1,IF(B7&lt;=$K$5,2,IF(B7&lt;=$K$6,3,IF(B7&lt;=$K$7,4,IF(B7&lt;=$K$8,5)))))</f>
        <v>3</v>
      </c>
      <c r="E7">
        <f>IF(C7&lt;=$N$4,1,IF(C7&lt;=$N$5,2,IF(C7&lt;=$N$6,3,IF(C7&lt;=$N$7,4,IF(C7&lt;=$N$8,5)))))</f>
        <v>3</v>
      </c>
      <c r="F7">
        <f t="shared" si="0"/>
        <v>2</v>
      </c>
      <c r="G7">
        <f t="shared" si="1"/>
        <v>2</v>
      </c>
      <c r="I7">
        <v>4</v>
      </c>
      <c r="J7">
        <f t="shared" si="3"/>
        <v>6.4921970432624221</v>
      </c>
      <c r="K7" s="34">
        <f t="shared" si="2"/>
        <v>8.2106108847074211</v>
      </c>
      <c r="M7">
        <f t="shared" si="4"/>
        <v>44.994106687266509</v>
      </c>
      <c r="N7" s="34">
        <f t="shared" si="5"/>
        <v>57.47532532020935</v>
      </c>
    </row>
    <row r="8" spans="2:18" x14ac:dyDescent="0.2">
      <c r="B8" s="2">
        <v>2.2269870340824127</v>
      </c>
      <c r="C8" s="2">
        <v>14.728649169707193</v>
      </c>
      <c r="D8">
        <f>IF(B8&lt;=$K$4,1,IF(B8&lt;=$K$5,2,IF(B8&lt;=$K$6,3,IF(B8&lt;=$K$7,4,IF(B8&lt;=$K$8,5)))))</f>
        <v>1</v>
      </c>
      <c r="E8">
        <f>IF(C8&lt;=$N$4,1,IF(C8&lt;=$N$5,2,IF(C8&lt;=$N$6,3,IF(C8&lt;=$N$7,4,IF(C8&lt;=$N$8,5)))))</f>
        <v>1</v>
      </c>
      <c r="F8">
        <f t="shared" si="0"/>
        <v>1</v>
      </c>
      <c r="G8">
        <f t="shared" si="1"/>
        <v>1</v>
      </c>
      <c r="I8">
        <v>5</v>
      </c>
      <c r="J8">
        <f t="shared" si="3"/>
        <v>8.2106108847074211</v>
      </c>
      <c r="K8" s="34">
        <f t="shared" si="2"/>
        <v>9.92902472615242</v>
      </c>
      <c r="M8">
        <f t="shared" si="4"/>
        <v>57.47532532020935</v>
      </c>
      <c r="N8" s="34">
        <f t="shared" si="5"/>
        <v>69.956543953152192</v>
      </c>
    </row>
    <row r="9" spans="2:18" x14ac:dyDescent="0.2">
      <c r="B9" s="2">
        <v>5.2874730853363872</v>
      </c>
      <c r="C9" s="2">
        <v>37.147366371022144</v>
      </c>
      <c r="D9">
        <f>IF(B9&lt;=$K$4,1,IF(B9&lt;=$K$5,2,IF(B9&lt;=$K$6,3,IF(B9&lt;=$K$7,4,IF(B9&lt;=$K$8,5)))))</f>
        <v>3</v>
      </c>
      <c r="E9">
        <f>IF(C9&lt;=$N$4,1,IF(C9&lt;=$N$5,2,IF(C9&lt;=$N$6,3,IF(C9&lt;=$N$7,4,IF(C9&lt;=$N$8,5)))))</f>
        <v>3</v>
      </c>
      <c r="F9">
        <f t="shared" si="0"/>
        <v>1</v>
      </c>
      <c r="G9">
        <f t="shared" si="1"/>
        <v>1</v>
      </c>
    </row>
    <row r="10" spans="2:18" x14ac:dyDescent="0.2">
      <c r="B10" s="2">
        <v>8.277864379924722</v>
      </c>
      <c r="C10" s="2">
        <v>55.950120555546768</v>
      </c>
      <c r="D10">
        <f>IF(B10&lt;=$K$4,1,IF(B10&lt;=$K$5,2,IF(B10&lt;=$K$6,3,IF(B10&lt;=$K$7,4,IF(B10&lt;=$K$8,5)))))</f>
        <v>5</v>
      </c>
      <c r="E10">
        <f>IF(C10&lt;=$N$4,1,IF(C10&lt;=$N$5,2,IF(C10&lt;=$N$6,3,IF(C10&lt;=$N$7,4,IF(C10&lt;=$N$8,5)))))</f>
        <v>4</v>
      </c>
      <c r="F10">
        <f t="shared" si="0"/>
        <v>2</v>
      </c>
      <c r="G10">
        <f t="shared" si="1"/>
        <v>2</v>
      </c>
      <c r="I10">
        <v>1</v>
      </c>
      <c r="J10">
        <f>B53</f>
        <v>1.3369555189274251</v>
      </c>
      <c r="K10">
        <f>J10+$B$57</f>
        <v>5.6329901225399226</v>
      </c>
      <c r="M10">
        <f>C53</f>
        <v>7.5504507884379901</v>
      </c>
      <c r="N10">
        <f>M10+$C$57</f>
        <v>38.753497370795088</v>
      </c>
    </row>
    <row r="11" spans="2:18" x14ac:dyDescent="0.2">
      <c r="B11" s="2">
        <v>4.1498339113604743</v>
      </c>
      <c r="C11" s="2">
        <v>27.688359216612433</v>
      </c>
      <c r="D11">
        <f>IF(B11&lt;=$K$4,1,IF(B11&lt;=$K$5,2,IF(B11&lt;=$K$6,3,IF(B11&lt;=$K$7,4,IF(B11&lt;=$K$8,5)))))</f>
        <v>2</v>
      </c>
      <c r="E11">
        <f>IF(C11&lt;=$N$4,1,IF(C11&lt;=$N$5,2,IF(C11&lt;=$N$6,3,IF(C11&lt;=$N$7,4,IF(C11&lt;=$N$8,5)))))</f>
        <v>2</v>
      </c>
      <c r="F11">
        <f t="shared" si="0"/>
        <v>1</v>
      </c>
      <c r="G11">
        <f t="shared" si="1"/>
        <v>1</v>
      </c>
      <c r="I11">
        <v>2</v>
      </c>
      <c r="J11">
        <f>K10</f>
        <v>5.6329901225399226</v>
      </c>
      <c r="K11">
        <f>J11+$B$57</f>
        <v>9.92902472615242</v>
      </c>
      <c r="M11">
        <f>N10</f>
        <v>38.753497370795088</v>
      </c>
      <c r="N11">
        <f>M11+$C$57</f>
        <v>69.956543953152192</v>
      </c>
    </row>
    <row r="12" spans="2:18" x14ac:dyDescent="0.2">
      <c r="B12" s="2">
        <v>7.2281165001913905</v>
      </c>
      <c r="C12" s="2">
        <v>50.181457710327393</v>
      </c>
      <c r="D12">
        <f>IF(B12&lt;=$K$4,1,IF(B12&lt;=$K$5,2,IF(B12&lt;=$K$6,3,IF(B12&lt;=$K$7,4,IF(B12&lt;=$K$8,5)))))</f>
        <v>4</v>
      </c>
      <c r="E12">
        <f>IF(C12&lt;=$N$4,1,IF(C12&lt;=$N$5,2,IF(C12&lt;=$N$6,3,IF(C12&lt;=$N$7,4,IF(C12&lt;=$N$8,5)))))</f>
        <v>4</v>
      </c>
      <c r="F12">
        <f t="shared" si="0"/>
        <v>2</v>
      </c>
      <c r="G12">
        <f t="shared" si="1"/>
        <v>2</v>
      </c>
    </row>
    <row r="13" spans="2:18" x14ac:dyDescent="0.2">
      <c r="B13" s="2">
        <v>8.0533010431099683</v>
      </c>
      <c r="C13" s="2">
        <v>55.795242446757484</v>
      </c>
      <c r="D13">
        <f>IF(B13&lt;=$K$4,1,IF(B13&lt;=$K$5,2,IF(B13&lt;=$K$6,3,IF(B13&lt;=$K$7,4,IF(B13&lt;=$K$8,5)))))</f>
        <v>4</v>
      </c>
      <c r="E13">
        <f>IF(C13&lt;=$N$4,1,IF(C13&lt;=$N$5,2,IF(C13&lt;=$N$6,3,IF(C13&lt;=$N$7,4,IF(C13&lt;=$N$8,5)))))</f>
        <v>4</v>
      </c>
      <c r="F13">
        <f t="shared" si="0"/>
        <v>2</v>
      </c>
      <c r="G13">
        <f t="shared" si="1"/>
        <v>2</v>
      </c>
    </row>
    <row r="14" spans="2:18" x14ac:dyDescent="0.2">
      <c r="B14" s="2">
        <v>1.3369555189274251</v>
      </c>
      <c r="C14" s="2">
        <v>7.5504507884379901</v>
      </c>
      <c r="D14">
        <f>IF(B14&lt;=$K$4,1,IF(B14&lt;=$K$5,2,IF(B14&lt;=$K$6,3,IF(B14&lt;=$K$7,4,IF(B14&lt;=$K$8,5)))))</f>
        <v>1</v>
      </c>
      <c r="E14">
        <f>IF(C14&lt;=$N$4,1,IF(C14&lt;=$N$5,2,IF(C14&lt;=$N$6,3,IF(C14&lt;=$N$7,4,IF(C14&lt;=$N$8,5)))))</f>
        <v>1</v>
      </c>
      <c r="F14">
        <f t="shared" si="0"/>
        <v>1</v>
      </c>
      <c r="G14">
        <f t="shared" si="1"/>
        <v>1</v>
      </c>
      <c r="I14" s="38"/>
      <c r="J14" s="38">
        <v>1</v>
      </c>
      <c r="K14" s="38">
        <v>2</v>
      </c>
      <c r="L14" s="38">
        <v>3</v>
      </c>
      <c r="M14" s="38">
        <v>4</v>
      </c>
      <c r="N14" s="38">
        <v>5</v>
      </c>
      <c r="O14" s="38" t="s">
        <v>86</v>
      </c>
    </row>
    <row r="15" spans="2:18" x14ac:dyDescent="0.2">
      <c r="B15" s="2">
        <v>3.5123986334656365</v>
      </c>
      <c r="C15" s="2">
        <v>24.606045475826157</v>
      </c>
      <c r="D15">
        <f>IF(B15&lt;=$K$4,1,IF(B15&lt;=$K$5,2,IF(B15&lt;=$K$6,3,IF(B15&lt;=$K$7,4,IF(B15&lt;=$K$8,5)))))</f>
        <v>2</v>
      </c>
      <c r="E15">
        <f>IF(C15&lt;=$N$4,1,IF(C15&lt;=$N$5,2,IF(C15&lt;=$N$6,3,IF(C15&lt;=$N$7,4,IF(C15&lt;=$N$8,5)))))</f>
        <v>2</v>
      </c>
      <c r="F15">
        <f t="shared" si="0"/>
        <v>1</v>
      </c>
      <c r="G15">
        <f t="shared" si="1"/>
        <v>1</v>
      </c>
      <c r="I15" s="39">
        <v>1</v>
      </c>
      <c r="J15" s="40">
        <v>3</v>
      </c>
      <c r="K15" s="40"/>
      <c r="L15" s="40"/>
      <c r="M15" s="40"/>
      <c r="N15" s="40"/>
      <c r="O15" s="40">
        <v>3</v>
      </c>
    </row>
    <row r="16" spans="2:18" x14ac:dyDescent="0.2">
      <c r="B16" s="2">
        <v>4.3745200299599674</v>
      </c>
      <c r="C16" s="2">
        <v>32.443967753075839</v>
      </c>
      <c r="D16">
        <f>IF(B16&lt;=$K$4,1,IF(B16&lt;=$K$5,2,IF(B16&lt;=$K$6,3,IF(B16&lt;=$K$7,4,IF(B16&lt;=$K$8,5)))))</f>
        <v>2</v>
      </c>
      <c r="E16">
        <f>IF(C16&lt;=$N$4,1,IF(C16&lt;=$N$5,2,IF(C16&lt;=$N$6,3,IF(C16&lt;=$N$7,4,IF(C16&lt;=$N$8,5)))))</f>
        <v>2</v>
      </c>
      <c r="F16">
        <f t="shared" si="0"/>
        <v>1</v>
      </c>
      <c r="G16">
        <f t="shared" si="1"/>
        <v>1</v>
      </c>
      <c r="I16" s="39">
        <v>2</v>
      </c>
      <c r="J16" s="40"/>
      <c r="K16" s="40">
        <v>13</v>
      </c>
      <c r="L16" s="40">
        <v>2</v>
      </c>
      <c r="M16" s="40"/>
      <c r="N16" s="40"/>
      <c r="O16" s="40">
        <v>15</v>
      </c>
      <c r="Q16" s="18" t="s">
        <v>93</v>
      </c>
      <c r="R16">
        <v>16</v>
      </c>
    </row>
    <row r="17" spans="2:18" x14ac:dyDescent="0.2">
      <c r="B17" s="2">
        <v>3.7032651915797032</v>
      </c>
      <c r="C17" s="2">
        <v>24.376570295528069</v>
      </c>
      <c r="D17">
        <f>IF(B17&lt;=$K$4,1,IF(B17&lt;=$K$5,2,IF(B17&lt;=$K$6,3,IF(B17&lt;=$K$7,4,IF(B17&lt;=$K$8,5)))))</f>
        <v>2</v>
      </c>
      <c r="E17">
        <f>IF(C17&lt;=$N$4,1,IF(C17&lt;=$N$5,2,IF(C17&lt;=$N$6,3,IF(C17&lt;=$N$7,4,IF(C17&lt;=$N$8,5)))))</f>
        <v>2</v>
      </c>
      <c r="F17">
        <f t="shared" si="0"/>
        <v>1</v>
      </c>
      <c r="G17">
        <f t="shared" si="1"/>
        <v>1</v>
      </c>
      <c r="I17" s="39">
        <v>3</v>
      </c>
      <c r="J17" s="40"/>
      <c r="K17" s="40"/>
      <c r="L17" s="40">
        <v>19</v>
      </c>
      <c r="M17" s="40">
        <v>1</v>
      </c>
      <c r="N17" s="40"/>
      <c r="O17" s="40">
        <v>20</v>
      </c>
    </row>
    <row r="18" spans="2:18" x14ac:dyDescent="0.2">
      <c r="B18" s="2">
        <v>4.9119177118700463</v>
      </c>
      <c r="C18" s="2">
        <v>36.315727846862636</v>
      </c>
      <c r="D18">
        <f>IF(B18&lt;=$K$4,1,IF(B18&lt;=$K$5,2,IF(B18&lt;=$K$6,3,IF(B18&lt;=$K$7,4,IF(B18&lt;=$K$8,5)))))</f>
        <v>3</v>
      </c>
      <c r="E18">
        <f>IF(C18&lt;=$N$4,1,IF(C18&lt;=$N$5,2,IF(C18&lt;=$N$6,3,IF(C18&lt;=$N$7,4,IF(C18&lt;=$N$8,5)))))</f>
        <v>3</v>
      </c>
      <c r="F18">
        <f t="shared" si="0"/>
        <v>1</v>
      </c>
      <c r="G18">
        <f t="shared" si="1"/>
        <v>1</v>
      </c>
      <c r="I18" s="39">
        <v>4</v>
      </c>
      <c r="J18" s="40"/>
      <c r="K18" s="40"/>
      <c r="L18" s="40"/>
      <c r="M18" s="40">
        <v>8</v>
      </c>
      <c r="N18" s="40"/>
      <c r="O18" s="40">
        <v>8</v>
      </c>
    </row>
    <row r="19" spans="2:18" x14ac:dyDescent="0.2">
      <c r="B19" s="2">
        <v>3.9299317348923068</v>
      </c>
      <c r="C19" s="2">
        <v>29.105007907079795</v>
      </c>
      <c r="D19">
        <f>IF(B19&lt;=$K$4,1,IF(B19&lt;=$K$5,2,IF(B19&lt;=$K$6,3,IF(B19&lt;=$K$7,4,IF(B19&lt;=$K$8,5)))))</f>
        <v>2</v>
      </c>
      <c r="E19">
        <f>IF(C19&lt;=$N$4,1,IF(C19&lt;=$N$5,2,IF(C19&lt;=$N$6,3,IF(C19&lt;=$N$7,4,IF(C19&lt;=$N$8,5)))))</f>
        <v>2</v>
      </c>
      <c r="F19">
        <f t="shared" si="0"/>
        <v>1</v>
      </c>
      <c r="G19">
        <f t="shared" si="1"/>
        <v>1</v>
      </c>
      <c r="I19" s="39">
        <v>5</v>
      </c>
      <c r="J19" s="40"/>
      <c r="K19" s="40"/>
      <c r="L19" s="40"/>
      <c r="M19" s="40">
        <v>1</v>
      </c>
      <c r="N19" s="40">
        <v>3</v>
      </c>
      <c r="O19" s="40">
        <v>4</v>
      </c>
    </row>
    <row r="20" spans="2:18" x14ac:dyDescent="0.2">
      <c r="B20" s="2">
        <v>2.7855850374908186</v>
      </c>
      <c r="C20" s="2">
        <v>18.380457204477505</v>
      </c>
      <c r="D20">
        <f>IF(B20&lt;=$K$4,1,IF(B20&lt;=$K$5,2,IF(B20&lt;=$K$6,3,IF(B20&lt;=$K$7,4,IF(B20&lt;=$K$8,5)))))</f>
        <v>1</v>
      </c>
      <c r="E20">
        <f>IF(C20&lt;=$N$4,1,IF(C20&lt;=$N$5,2,IF(C20&lt;=$N$6,3,IF(C20&lt;=$N$7,4,IF(C20&lt;=$N$8,5)))))</f>
        <v>1</v>
      </c>
      <c r="F20">
        <f t="shared" si="0"/>
        <v>1</v>
      </c>
      <c r="G20">
        <f t="shared" si="1"/>
        <v>1</v>
      </c>
      <c r="I20" s="39" t="s">
        <v>86</v>
      </c>
      <c r="J20" s="40">
        <v>3</v>
      </c>
      <c r="K20" s="40">
        <v>13</v>
      </c>
      <c r="L20" s="40">
        <v>21</v>
      </c>
      <c r="M20" s="40">
        <v>10</v>
      </c>
      <c r="N20" s="40">
        <v>3</v>
      </c>
      <c r="O20" s="40">
        <v>50</v>
      </c>
    </row>
    <row r="21" spans="2:18" x14ac:dyDescent="0.2">
      <c r="B21" s="2">
        <v>7.1404184735729359</v>
      </c>
      <c r="C21" s="2">
        <v>47.998465743558114</v>
      </c>
      <c r="D21">
        <f>IF(B21&lt;=$K$4,1,IF(B21&lt;=$K$5,2,IF(B21&lt;=$K$6,3,IF(B21&lt;=$K$7,4,IF(B21&lt;=$K$8,5)))))</f>
        <v>4</v>
      </c>
      <c r="E21">
        <f>IF(C21&lt;=$N$4,1,IF(C21&lt;=$N$5,2,IF(C21&lt;=$N$6,3,IF(C21&lt;=$N$7,4,IF(C21&lt;=$N$8,5)))))</f>
        <v>4</v>
      </c>
      <c r="F21">
        <f t="shared" si="0"/>
        <v>2</v>
      </c>
      <c r="G21">
        <f t="shared" si="1"/>
        <v>2</v>
      </c>
    </row>
    <row r="22" spans="2:18" x14ac:dyDescent="0.2">
      <c r="B22" s="2">
        <v>9.92902472615242</v>
      </c>
      <c r="C22" s="2">
        <v>69.956543953152192</v>
      </c>
      <c r="D22">
        <f>IF(B22&lt;=$K$4,1,IF(B22&lt;=$K$5,2,IF(B22&lt;=$K$6,3,IF(B22&lt;=$K$7,4,IF(B22&lt;=$K$8,5)))))</f>
        <v>5</v>
      </c>
      <c r="E22">
        <f>IF(C22&lt;=$N$4,1,IF(C22&lt;=$N$5,2,IF(C22&lt;=$N$6,3,IF(C22&lt;=$N$7,4,IF(C22&lt;=$N$8,5)))))</f>
        <v>5</v>
      </c>
      <c r="F22">
        <f t="shared" si="0"/>
        <v>2</v>
      </c>
      <c r="G22">
        <f t="shared" si="1"/>
        <v>2</v>
      </c>
      <c r="I22">
        <v>1</v>
      </c>
      <c r="J22">
        <f>J$20*$O15/$O$20</f>
        <v>0.18</v>
      </c>
      <c r="K22">
        <f t="shared" ref="K22:N22" si="6">K$20*$O15/$O$20</f>
        <v>0.78</v>
      </c>
      <c r="L22">
        <f t="shared" si="6"/>
        <v>1.26</v>
      </c>
      <c r="M22">
        <f t="shared" si="6"/>
        <v>0.6</v>
      </c>
      <c r="N22">
        <f t="shared" si="6"/>
        <v>0.18</v>
      </c>
      <c r="P22" s="3" t="s">
        <v>91</v>
      </c>
      <c r="Q22" s="3"/>
      <c r="R22" s="3"/>
    </row>
    <row r="23" spans="2:18" x14ac:dyDescent="0.2">
      <c r="B23" s="2">
        <v>6.0561166163824964</v>
      </c>
      <c r="C23" s="2">
        <v>42.043376357545895</v>
      </c>
      <c r="D23">
        <f>IF(B23&lt;=$K$4,1,IF(B23&lt;=$K$5,2,IF(B23&lt;=$K$6,3,IF(B23&lt;=$K$7,4,IF(B23&lt;=$K$8,5)))))</f>
        <v>3</v>
      </c>
      <c r="E23">
        <f>IF(C23&lt;=$N$4,1,IF(C23&lt;=$N$5,2,IF(C23&lt;=$N$6,3,IF(C23&lt;=$N$7,4,IF(C23&lt;=$N$8,5)))))</f>
        <v>3</v>
      </c>
      <c r="F23">
        <f t="shared" si="0"/>
        <v>2</v>
      </c>
      <c r="G23">
        <f t="shared" si="1"/>
        <v>2</v>
      </c>
      <c r="I23">
        <v>2</v>
      </c>
      <c r="J23">
        <f t="shared" ref="J23:N23" si="7">J$20*$O16/$O$20</f>
        <v>0.9</v>
      </c>
      <c r="K23">
        <f t="shared" si="7"/>
        <v>3.9</v>
      </c>
      <c r="L23">
        <f t="shared" si="7"/>
        <v>6.3</v>
      </c>
      <c r="M23">
        <f t="shared" si="7"/>
        <v>3</v>
      </c>
      <c r="N23">
        <f t="shared" si="7"/>
        <v>0.9</v>
      </c>
    </row>
    <row r="24" spans="2:18" x14ac:dyDescent="0.2">
      <c r="B24" s="2">
        <v>3.6879311109078117</v>
      </c>
      <c r="C24" s="2">
        <v>27.265055693322598</v>
      </c>
      <c r="D24">
        <f>IF(B24&lt;=$K$4,1,IF(B24&lt;=$K$5,2,IF(B24&lt;=$K$6,3,IF(B24&lt;=$K$7,4,IF(B24&lt;=$K$8,5)))))</f>
        <v>2</v>
      </c>
      <c r="E24">
        <f>IF(C24&lt;=$N$4,1,IF(C24&lt;=$N$5,2,IF(C24&lt;=$N$6,3,IF(C24&lt;=$N$7,4,IF(C24&lt;=$N$8,5)))))</f>
        <v>2</v>
      </c>
      <c r="F24">
        <f t="shared" si="0"/>
        <v>1</v>
      </c>
      <c r="G24">
        <f t="shared" si="1"/>
        <v>1</v>
      </c>
      <c r="I24">
        <v>3</v>
      </c>
      <c r="J24">
        <f t="shared" ref="J24:N24" si="8">J$20*$O17/$O$20</f>
        <v>1.2</v>
      </c>
      <c r="K24">
        <f t="shared" si="8"/>
        <v>5.2</v>
      </c>
      <c r="L24">
        <f t="shared" si="8"/>
        <v>8.4</v>
      </c>
      <c r="M24">
        <f t="shared" si="8"/>
        <v>4</v>
      </c>
      <c r="N24">
        <f>N$20*$O17/$O$20</f>
        <v>1.2</v>
      </c>
      <c r="P24" t="s">
        <v>92</v>
      </c>
      <c r="Q24">
        <f>CHITEST(J15:N19,J22:N26)</f>
        <v>3.8941214039369628E-22</v>
      </c>
      <c r="R24" s="17"/>
    </row>
    <row r="25" spans="2:18" x14ac:dyDescent="0.2">
      <c r="B25" s="2">
        <v>7.8452268452383578</v>
      </c>
      <c r="C25" s="2">
        <v>54.023381362993995</v>
      </c>
      <c r="D25">
        <f>IF(B25&lt;=$K$4,1,IF(B25&lt;=$K$5,2,IF(B25&lt;=$K$6,3,IF(B25&lt;=$K$7,4,IF(B25&lt;=$K$8,5)))))</f>
        <v>4</v>
      </c>
      <c r="E25">
        <f>IF(C25&lt;=$N$4,1,IF(C25&lt;=$N$5,2,IF(C25&lt;=$N$6,3,IF(C25&lt;=$N$7,4,IF(C25&lt;=$N$8,5)))))</f>
        <v>4</v>
      </c>
      <c r="F25">
        <f t="shared" si="0"/>
        <v>2</v>
      </c>
      <c r="G25">
        <f t="shared" si="1"/>
        <v>2</v>
      </c>
      <c r="I25">
        <v>4</v>
      </c>
      <c r="J25">
        <f t="shared" ref="J25:N25" si="9">J$20*$O18/$O$20</f>
        <v>0.48</v>
      </c>
      <c r="K25">
        <f t="shared" si="9"/>
        <v>2.08</v>
      </c>
      <c r="L25">
        <f t="shared" si="9"/>
        <v>3.36</v>
      </c>
      <c r="M25">
        <f t="shared" si="9"/>
        <v>1.6</v>
      </c>
      <c r="N25">
        <f t="shared" si="9"/>
        <v>0.48</v>
      </c>
      <c r="P25" t="s">
        <v>95</v>
      </c>
      <c r="Q25">
        <f>SUM(J28:N32)</f>
        <v>165.94444444444446</v>
      </c>
    </row>
    <row r="26" spans="2:18" x14ac:dyDescent="0.2">
      <c r="B26" s="2">
        <v>6.2249756764504127</v>
      </c>
      <c r="C26" s="2">
        <v>42.604327362068517</v>
      </c>
      <c r="D26">
        <f>IF(B26&lt;=$K$4,1,IF(B26&lt;=$K$5,2,IF(B26&lt;=$K$6,3,IF(B26&lt;=$K$7,4,IF(B26&lt;=$K$8,5)))))</f>
        <v>3</v>
      </c>
      <c r="E26">
        <f>IF(C26&lt;=$N$4,1,IF(C26&lt;=$N$5,2,IF(C26&lt;=$N$6,3,IF(C26&lt;=$N$7,4,IF(C26&lt;=$N$8,5)))))</f>
        <v>3</v>
      </c>
      <c r="F26">
        <f t="shared" si="0"/>
        <v>2</v>
      </c>
      <c r="G26">
        <f t="shared" si="1"/>
        <v>2</v>
      </c>
      <c r="I26">
        <v>5</v>
      </c>
      <c r="J26">
        <f t="shared" ref="J26:N26" si="10">J$20*$O19/$O$20</f>
        <v>0.24</v>
      </c>
      <c r="K26">
        <f t="shared" si="10"/>
        <v>1.04</v>
      </c>
      <c r="L26">
        <f t="shared" si="10"/>
        <v>1.68</v>
      </c>
      <c r="M26">
        <f t="shared" si="10"/>
        <v>0.8</v>
      </c>
      <c r="N26">
        <f t="shared" si="10"/>
        <v>0.24</v>
      </c>
      <c r="Q26">
        <f>CHIDIST(Q25,16)</f>
        <v>5.4136008311761734E-27</v>
      </c>
      <c r="R26" s="17" t="s">
        <v>94</v>
      </c>
    </row>
    <row r="27" spans="2:18" x14ac:dyDescent="0.2">
      <c r="B27" s="2">
        <v>3.9855359672219492</v>
      </c>
      <c r="C27" s="2">
        <v>26.360370190096702</v>
      </c>
      <c r="D27">
        <f>IF(B27&lt;=$K$4,1,IF(B27&lt;=$K$5,2,IF(B27&lt;=$K$6,3,IF(B27&lt;=$K$7,4,IF(B27&lt;=$K$8,5)))))</f>
        <v>2</v>
      </c>
      <c r="E27">
        <f>IF(C27&lt;=$N$4,1,IF(C27&lt;=$N$5,2,IF(C27&lt;=$N$6,3,IF(C27&lt;=$N$7,4,IF(C27&lt;=$N$8,5)))))</f>
        <v>2</v>
      </c>
      <c r="F27">
        <f t="shared" si="0"/>
        <v>1</v>
      </c>
      <c r="G27">
        <f t="shared" si="1"/>
        <v>1</v>
      </c>
      <c r="P27" t="s">
        <v>96</v>
      </c>
      <c r="Q27">
        <f>_xlfn.CHISQ.INV(1-5%,16)</f>
        <v>26.296227604864239</v>
      </c>
    </row>
    <row r="28" spans="2:18" x14ac:dyDescent="0.2">
      <c r="B28" s="2">
        <v>7.2952963263378479</v>
      </c>
      <c r="C28" s="2">
        <v>49.290849062546606</v>
      </c>
      <c r="D28">
        <f>IF(B28&lt;=$K$4,1,IF(B28&lt;=$K$5,2,IF(B28&lt;=$K$6,3,IF(B28&lt;=$K$7,4,IF(B28&lt;=$K$8,5)))))</f>
        <v>4</v>
      </c>
      <c r="E28">
        <f>IF(C28&lt;=$N$4,1,IF(C28&lt;=$N$5,2,IF(C28&lt;=$N$6,3,IF(C28&lt;=$N$7,4,IF(C28&lt;=$N$8,5)))))</f>
        <v>4</v>
      </c>
      <c r="F28">
        <f t="shared" si="0"/>
        <v>2</v>
      </c>
      <c r="G28">
        <f t="shared" si="1"/>
        <v>2</v>
      </c>
      <c r="I28">
        <v>1</v>
      </c>
      <c r="J28">
        <f>(J22-J15)^2/J22</f>
        <v>44.18</v>
      </c>
      <c r="K28">
        <f t="shared" ref="K28:N28" si="11">(K22-K15)^2/K22</f>
        <v>0.78</v>
      </c>
      <c r="L28">
        <f t="shared" si="11"/>
        <v>1.26</v>
      </c>
      <c r="M28">
        <f t="shared" si="11"/>
        <v>0.6</v>
      </c>
      <c r="N28">
        <f t="shared" si="11"/>
        <v>0.18</v>
      </c>
      <c r="P28" s="3" t="s">
        <v>97</v>
      </c>
      <c r="Q28" s="3"/>
      <c r="R28" s="3"/>
    </row>
    <row r="29" spans="2:18" x14ac:dyDescent="0.2">
      <c r="B29" s="2">
        <v>6.4266674952523317</v>
      </c>
      <c r="C29" s="2">
        <v>46.116936094417419</v>
      </c>
      <c r="D29">
        <f>IF(B29&lt;=$K$4,1,IF(B29&lt;=$K$5,2,IF(B29&lt;=$K$6,3,IF(B29&lt;=$K$7,4,IF(B29&lt;=$K$8,5)))))</f>
        <v>3</v>
      </c>
      <c r="E29">
        <f>IF(C29&lt;=$N$4,1,IF(C29&lt;=$N$5,2,IF(C29&lt;=$N$6,3,IF(C29&lt;=$N$7,4,IF(C29&lt;=$N$8,5)))))</f>
        <v>4</v>
      </c>
      <c r="F29">
        <f t="shared" si="0"/>
        <v>2</v>
      </c>
      <c r="G29">
        <f t="shared" si="1"/>
        <v>2</v>
      </c>
      <c r="I29">
        <v>2</v>
      </c>
      <c r="J29">
        <f t="shared" ref="J29:N29" si="12">(J23-J16)^2/J23</f>
        <v>0.9</v>
      </c>
      <c r="K29">
        <f t="shared" si="12"/>
        <v>21.233333333333331</v>
      </c>
      <c r="L29">
        <f t="shared" si="12"/>
        <v>2.9349206349206347</v>
      </c>
      <c r="M29">
        <f t="shared" si="12"/>
        <v>3</v>
      </c>
      <c r="N29">
        <f t="shared" si="12"/>
        <v>0.9</v>
      </c>
    </row>
    <row r="30" spans="2:18" x14ac:dyDescent="0.2">
      <c r="B30" s="2">
        <v>8.6622623156290501</v>
      </c>
      <c r="C30" s="2">
        <v>61.21432499678663</v>
      </c>
      <c r="D30">
        <f>IF(B30&lt;=$K$4,1,IF(B30&lt;=$K$5,2,IF(B30&lt;=$K$6,3,IF(B30&lt;=$K$7,4,IF(B30&lt;=$K$8,5)))))</f>
        <v>5</v>
      </c>
      <c r="E30">
        <f>IF(C30&lt;=$N$4,1,IF(C30&lt;=$N$5,2,IF(C30&lt;=$N$6,3,IF(C30&lt;=$N$7,4,IF(C30&lt;=$N$8,5)))))</f>
        <v>5</v>
      </c>
      <c r="F30">
        <f t="shared" si="0"/>
        <v>2</v>
      </c>
      <c r="G30">
        <f t="shared" si="1"/>
        <v>2</v>
      </c>
      <c r="I30">
        <v>3</v>
      </c>
      <c r="J30">
        <f t="shared" ref="J30:N30" si="13">(J24-J17)^2/J24</f>
        <v>1.2</v>
      </c>
      <c r="K30">
        <f t="shared" si="13"/>
        <v>5.2</v>
      </c>
      <c r="L30">
        <f t="shared" si="13"/>
        <v>13.376190476190475</v>
      </c>
      <c r="M30">
        <f t="shared" si="13"/>
        <v>2.25</v>
      </c>
      <c r="N30">
        <f t="shared" si="13"/>
        <v>1.2</v>
      </c>
    </row>
    <row r="31" spans="2:18" x14ac:dyDescent="0.2">
      <c r="B31" s="2">
        <v>3.8833837960555684</v>
      </c>
      <c r="C31" s="2">
        <v>26.477410556969605</v>
      </c>
      <c r="D31">
        <f>IF(B31&lt;=$K$4,1,IF(B31&lt;=$K$5,2,IF(B31&lt;=$K$6,3,IF(B31&lt;=$K$7,4,IF(B31&lt;=$K$8,5)))))</f>
        <v>2</v>
      </c>
      <c r="E31">
        <f>IF(C31&lt;=$N$4,1,IF(C31&lt;=$N$5,2,IF(C31&lt;=$N$6,3,IF(C31&lt;=$N$7,4,IF(C31&lt;=$N$8,5)))))</f>
        <v>2</v>
      </c>
      <c r="F31">
        <f t="shared" si="0"/>
        <v>1</v>
      </c>
      <c r="G31">
        <f t="shared" si="1"/>
        <v>1</v>
      </c>
      <c r="I31">
        <v>4</v>
      </c>
      <c r="J31">
        <f t="shared" ref="J31:N31" si="14">(J25-J18)^2/J25</f>
        <v>0.48</v>
      </c>
      <c r="K31">
        <f t="shared" si="14"/>
        <v>2.08</v>
      </c>
      <c r="L31">
        <f t="shared" si="14"/>
        <v>3.3599999999999994</v>
      </c>
      <c r="M31">
        <f t="shared" si="14"/>
        <v>25.600000000000005</v>
      </c>
      <c r="N31">
        <f t="shared" si="14"/>
        <v>0.48</v>
      </c>
    </row>
    <row r="32" spans="2:18" x14ac:dyDescent="0.2">
      <c r="B32" s="2">
        <v>6.3039812074566726</v>
      </c>
      <c r="C32" s="2">
        <v>43.090199153803752</v>
      </c>
      <c r="D32">
        <f>IF(B32&lt;=$K$4,1,IF(B32&lt;=$K$5,2,IF(B32&lt;=$K$6,3,IF(B32&lt;=$K$7,4,IF(B32&lt;=$K$8,5)))))</f>
        <v>3</v>
      </c>
      <c r="E32">
        <f>IF(C32&lt;=$N$4,1,IF(C32&lt;=$N$5,2,IF(C32&lt;=$N$6,3,IF(C32&lt;=$N$7,4,IF(C32&lt;=$N$8,5)))))</f>
        <v>3</v>
      </c>
      <c r="F32">
        <f t="shared" si="0"/>
        <v>2</v>
      </c>
      <c r="G32">
        <f t="shared" si="1"/>
        <v>2</v>
      </c>
      <c r="I32">
        <v>5</v>
      </c>
      <c r="J32">
        <f t="shared" ref="J32:N32" si="15">(J26-J19)^2/J26</f>
        <v>0.24</v>
      </c>
      <c r="K32">
        <f t="shared" si="15"/>
        <v>1.04</v>
      </c>
      <c r="L32">
        <f t="shared" si="15"/>
        <v>1.6799999999999997</v>
      </c>
      <c r="M32">
        <f t="shared" si="15"/>
        <v>4.9999999999999975E-2</v>
      </c>
      <c r="N32">
        <f t="shared" si="15"/>
        <v>31.739999999999995</v>
      </c>
    </row>
    <row r="33" spans="2:16" x14ac:dyDescent="0.2">
      <c r="B33" s="2">
        <v>3.1711334839928895</v>
      </c>
      <c r="C33" s="2">
        <v>22.922305531344243</v>
      </c>
      <c r="D33">
        <f>IF(B33&lt;=$K$4,1,IF(B33&lt;=$K$5,2,IF(B33&lt;=$K$6,3,IF(B33&lt;=$K$7,4,IF(B33&lt;=$K$8,5)))))</f>
        <v>2</v>
      </c>
      <c r="E33">
        <f>IF(C33&lt;=$N$4,1,IF(C33&lt;=$N$5,2,IF(C33&lt;=$N$6,3,IF(C33&lt;=$N$7,4,IF(C33&lt;=$N$8,5)))))</f>
        <v>2</v>
      </c>
      <c r="F33">
        <f t="shared" si="0"/>
        <v>1</v>
      </c>
      <c r="G33">
        <f t="shared" si="1"/>
        <v>1</v>
      </c>
    </row>
    <row r="34" spans="2:16" x14ac:dyDescent="0.2">
      <c r="B34" s="2">
        <v>4.3665142028476112</v>
      </c>
      <c r="C34" s="2">
        <v>31.084533957744661</v>
      </c>
      <c r="D34">
        <f>IF(B34&lt;=$K$4,1,IF(B34&lt;=$K$5,2,IF(B34&lt;=$K$6,3,IF(B34&lt;=$K$7,4,IF(B34&lt;=$K$8,5)))))</f>
        <v>2</v>
      </c>
      <c r="E34">
        <f>IF(C34&lt;=$N$4,1,IF(C34&lt;=$N$5,2,IF(C34&lt;=$N$6,3,IF(C34&lt;=$N$7,4,IF(C34&lt;=$N$8,5)))))</f>
        <v>2</v>
      </c>
      <c r="F34">
        <f t="shared" si="0"/>
        <v>1</v>
      </c>
      <c r="G34">
        <f t="shared" si="1"/>
        <v>1</v>
      </c>
    </row>
    <row r="35" spans="2:16" x14ac:dyDescent="0.2">
      <c r="B35" s="2">
        <v>6.1655856724246405</v>
      </c>
      <c r="C35" s="2">
        <v>44.665320402843861</v>
      </c>
      <c r="D35">
        <f>IF(B35&lt;=$K$4,1,IF(B35&lt;=$K$5,2,IF(B35&lt;=$K$6,3,IF(B35&lt;=$K$7,4,IF(B35&lt;=$K$8,5)))))</f>
        <v>3</v>
      </c>
      <c r="E35">
        <f>IF(C35&lt;=$N$4,1,IF(C35&lt;=$N$5,2,IF(C35&lt;=$N$6,3,IF(C35&lt;=$N$7,4,IF(C35&lt;=$N$8,5)))))</f>
        <v>3</v>
      </c>
      <c r="F35">
        <f t="shared" si="0"/>
        <v>2</v>
      </c>
      <c r="G35">
        <f t="shared" si="1"/>
        <v>2</v>
      </c>
    </row>
    <row r="36" spans="2:16" x14ac:dyDescent="0.2">
      <c r="B36" s="2">
        <v>6.436198999726912</v>
      </c>
      <c r="C36" s="2">
        <v>44.515841349964219</v>
      </c>
      <c r="D36">
        <f>IF(B36&lt;=$K$4,1,IF(B36&lt;=$K$5,2,IF(B36&lt;=$K$6,3,IF(B36&lt;=$K$7,4,IF(B36&lt;=$K$8,5)))))</f>
        <v>3</v>
      </c>
      <c r="E36">
        <f>IF(C36&lt;=$N$4,1,IF(C36&lt;=$N$5,2,IF(C36&lt;=$N$6,3,IF(C36&lt;=$N$7,4,IF(C36&lt;=$N$8,5)))))</f>
        <v>3</v>
      </c>
      <c r="F36">
        <f t="shared" si="0"/>
        <v>2</v>
      </c>
      <c r="G36">
        <f t="shared" si="1"/>
        <v>2</v>
      </c>
      <c r="J36" s="41"/>
      <c r="K36" s="41">
        <v>1</v>
      </c>
      <c r="L36" s="41">
        <v>2</v>
      </c>
      <c r="M36" s="41" t="s">
        <v>86</v>
      </c>
      <c r="O36" s="3" t="s">
        <v>100</v>
      </c>
      <c r="P36" s="3"/>
    </row>
    <row r="37" spans="2:16" x14ac:dyDescent="0.2">
      <c r="B37" s="2">
        <v>6.0588610166450962</v>
      </c>
      <c r="C37" s="2">
        <v>40.460543831774359</v>
      </c>
      <c r="D37">
        <f>IF(B37&lt;=$K$4,1,IF(B37&lt;=$K$5,2,IF(B37&lt;=$K$6,3,IF(B37&lt;=$K$7,4,IF(B37&lt;=$K$8,5)))))</f>
        <v>3</v>
      </c>
      <c r="E37">
        <f>IF(C37&lt;=$N$4,1,IF(C37&lt;=$N$5,2,IF(C37&lt;=$N$6,3,IF(C37&lt;=$N$7,4,IF(C37&lt;=$N$8,5)))))</f>
        <v>3</v>
      </c>
      <c r="F37">
        <f t="shared" si="0"/>
        <v>2</v>
      </c>
      <c r="G37">
        <f t="shared" si="1"/>
        <v>2</v>
      </c>
      <c r="J37" s="42">
        <v>1</v>
      </c>
      <c r="K37" s="43">
        <v>26</v>
      </c>
      <c r="L37" s="43">
        <v>1</v>
      </c>
      <c r="M37" s="43">
        <v>27</v>
      </c>
      <c r="O37" t="s">
        <v>95</v>
      </c>
      <c r="P37">
        <f>M39*(K37*L38-K38*L37)^2/(K39*L39*M37*M38)</f>
        <v>46.141975308641975</v>
      </c>
    </row>
    <row r="38" spans="2:16" x14ac:dyDescent="0.2">
      <c r="B38" s="2">
        <v>3.694570422230754</v>
      </c>
      <c r="C38" s="2">
        <v>24.936624775711081</v>
      </c>
      <c r="D38">
        <f>IF(B38&lt;=$K$4,1,IF(B38&lt;=$K$5,2,IF(B38&lt;=$K$6,3,IF(B38&lt;=$K$7,4,IF(B38&lt;=$K$8,5)))))</f>
        <v>2</v>
      </c>
      <c r="E38">
        <f>IF(C38&lt;=$N$4,1,IF(C38&lt;=$N$5,2,IF(C38&lt;=$N$6,3,IF(C38&lt;=$N$7,4,IF(C38&lt;=$N$8,5)))))</f>
        <v>2</v>
      </c>
      <c r="F38">
        <f t="shared" si="0"/>
        <v>1</v>
      </c>
      <c r="G38">
        <f t="shared" si="1"/>
        <v>1</v>
      </c>
      <c r="J38" s="42">
        <v>2</v>
      </c>
      <c r="K38" s="43">
        <v>0</v>
      </c>
      <c r="L38" s="43">
        <v>23</v>
      </c>
      <c r="M38" s="43">
        <v>23</v>
      </c>
      <c r="O38" t="s">
        <v>96</v>
      </c>
      <c r="P38">
        <f>_xlfn.CHISQ.INV(1-5%,1)</f>
        <v>3.8414588206941236</v>
      </c>
    </row>
    <row r="39" spans="2:16" ht="16" customHeight="1" x14ac:dyDescent="0.2">
      <c r="B39" s="2">
        <v>7.531805876060389</v>
      </c>
      <c r="C39" s="2">
        <v>53.65123615847623</v>
      </c>
      <c r="D39">
        <f>IF(B39&lt;=$K$4,1,IF(B39&lt;=$K$5,2,IF(B39&lt;=$K$6,3,IF(B39&lt;=$K$7,4,IF(B39&lt;=$K$8,5)))))</f>
        <v>4</v>
      </c>
      <c r="E39">
        <f>IF(C39&lt;=$N$4,1,IF(C39&lt;=$N$5,2,IF(C39&lt;=$N$6,3,IF(C39&lt;=$N$7,4,IF(C39&lt;=$N$8,5)))))</f>
        <v>4</v>
      </c>
      <c r="F39">
        <f t="shared" si="0"/>
        <v>2</v>
      </c>
      <c r="G39">
        <f t="shared" si="1"/>
        <v>2</v>
      </c>
      <c r="J39" s="44" t="s">
        <v>86</v>
      </c>
      <c r="K39" s="45">
        <v>26</v>
      </c>
      <c r="L39" s="45">
        <v>24</v>
      </c>
      <c r="M39" s="45">
        <v>50</v>
      </c>
      <c r="O39" s="20" t="s">
        <v>101</v>
      </c>
      <c r="P39" s="20"/>
    </row>
    <row r="40" spans="2:16" x14ac:dyDescent="0.2">
      <c r="B40" s="2">
        <v>5.9024688552017324</v>
      </c>
      <c r="C40" s="2">
        <v>40.280539735831354</v>
      </c>
      <c r="D40">
        <f>IF(B40&lt;=$K$4,1,IF(B40&lt;=$K$5,2,IF(B40&lt;=$K$6,3,IF(B40&lt;=$K$7,4,IF(B40&lt;=$K$8,5)))))</f>
        <v>3</v>
      </c>
      <c r="E40">
        <f>IF(C40&lt;=$N$4,1,IF(C40&lt;=$N$5,2,IF(C40&lt;=$N$6,3,IF(C40&lt;=$N$7,4,IF(C40&lt;=$N$8,5)))))</f>
        <v>3</v>
      </c>
      <c r="F40">
        <f t="shared" si="0"/>
        <v>2</v>
      </c>
      <c r="G40">
        <f t="shared" si="1"/>
        <v>2</v>
      </c>
      <c r="O40" s="20"/>
      <c r="P40" s="20"/>
    </row>
    <row r="41" spans="2:16" x14ac:dyDescent="0.2">
      <c r="B41" s="2">
        <v>4.6277028913027607</v>
      </c>
      <c r="C41" s="2">
        <v>33.397850330412282</v>
      </c>
      <c r="D41">
        <f>IF(B41&lt;=$K$4,1,IF(B41&lt;=$K$5,2,IF(B41&lt;=$K$6,3,IF(B41&lt;=$K$7,4,IF(B41&lt;=$K$8,5)))))</f>
        <v>2</v>
      </c>
      <c r="E41">
        <f>IF(C41&lt;=$N$4,1,IF(C41&lt;=$N$5,2,IF(C41&lt;=$N$6,3,IF(C41&lt;=$N$7,4,IF(C41&lt;=$N$8,5)))))</f>
        <v>3</v>
      </c>
      <c r="F41">
        <f t="shared" si="0"/>
        <v>1</v>
      </c>
      <c r="G41">
        <f t="shared" si="1"/>
        <v>1</v>
      </c>
      <c r="O41" s="20"/>
      <c r="P41" s="20"/>
    </row>
    <row r="42" spans="2:16" x14ac:dyDescent="0.2">
      <c r="B42" s="2">
        <v>5.2115939423674718</v>
      </c>
      <c r="C42" s="2">
        <v>37.59745371708199</v>
      </c>
      <c r="D42">
        <f>IF(B42&lt;=$K$4,1,IF(B42&lt;=$K$5,2,IF(B42&lt;=$K$6,3,IF(B42&lt;=$K$7,4,IF(B42&lt;=$K$8,5)))))</f>
        <v>3</v>
      </c>
      <c r="E42">
        <f>IF(C42&lt;=$N$4,1,IF(C42&lt;=$N$5,2,IF(C42&lt;=$N$6,3,IF(C42&lt;=$N$7,4,IF(C42&lt;=$N$8,5)))))</f>
        <v>3</v>
      </c>
      <c r="F42">
        <f t="shared" si="0"/>
        <v>1</v>
      </c>
      <c r="G42">
        <f t="shared" si="1"/>
        <v>1</v>
      </c>
      <c r="O42" s="20"/>
      <c r="P42" s="20"/>
    </row>
    <row r="43" spans="2:16" x14ac:dyDescent="0.2">
      <c r="B43" s="2">
        <v>5.2789647624013014</v>
      </c>
      <c r="C43" s="2">
        <v>35.478129495329384</v>
      </c>
      <c r="D43">
        <f>IF(B43&lt;=$K$4,1,IF(B43&lt;=$K$5,2,IF(B43&lt;=$K$6,3,IF(B43&lt;=$K$7,4,IF(B43&lt;=$K$8,5)))))</f>
        <v>3</v>
      </c>
      <c r="E43">
        <f>IF(C43&lt;=$N$4,1,IF(C43&lt;=$N$5,2,IF(C43&lt;=$N$6,3,IF(C43&lt;=$N$7,4,IF(C43&lt;=$N$8,5)))))</f>
        <v>3</v>
      </c>
      <c r="F43">
        <f t="shared" si="0"/>
        <v>1</v>
      </c>
      <c r="G43">
        <f t="shared" si="1"/>
        <v>1</v>
      </c>
    </row>
    <row r="44" spans="2:16" x14ac:dyDescent="0.2">
      <c r="B44" s="2">
        <v>6.1219754014746286</v>
      </c>
      <c r="C44" s="2">
        <v>42.942101826451349</v>
      </c>
      <c r="D44">
        <f>IF(B44&lt;=$K$4,1,IF(B44&lt;=$K$5,2,IF(B44&lt;=$K$6,3,IF(B44&lt;=$K$7,4,IF(B44&lt;=$K$8,5)))))</f>
        <v>3</v>
      </c>
      <c r="E44">
        <f>IF(C44&lt;=$N$4,1,IF(C44&lt;=$N$5,2,IF(C44&lt;=$N$6,3,IF(C44&lt;=$N$7,4,IF(C44&lt;=$N$8,5)))))</f>
        <v>3</v>
      </c>
      <c r="F44">
        <f t="shared" si="0"/>
        <v>2</v>
      </c>
      <c r="G44">
        <f t="shared" si="1"/>
        <v>2</v>
      </c>
    </row>
    <row r="45" spans="2:16" x14ac:dyDescent="0.2">
      <c r="B45" s="2">
        <v>5.6288200893322937</v>
      </c>
      <c r="C45" s="2">
        <v>38.577387627948958</v>
      </c>
      <c r="D45">
        <f>IF(B45&lt;=$K$4,1,IF(B45&lt;=$K$5,2,IF(B45&lt;=$K$6,3,IF(B45&lt;=$K$7,4,IF(B45&lt;=$K$8,5)))))</f>
        <v>3</v>
      </c>
      <c r="E45">
        <f>IF(C45&lt;=$N$4,1,IF(C45&lt;=$N$5,2,IF(C45&lt;=$N$6,3,IF(C45&lt;=$N$7,4,IF(C45&lt;=$N$8,5)))))</f>
        <v>3</v>
      </c>
      <c r="F45">
        <f t="shared" si="0"/>
        <v>1</v>
      </c>
      <c r="G45">
        <f t="shared" si="1"/>
        <v>1</v>
      </c>
    </row>
    <row r="46" spans="2:16" x14ac:dyDescent="0.2">
      <c r="B46" s="2">
        <v>4.5088410287280567</v>
      </c>
      <c r="C46" s="2">
        <v>33.077179014357334</v>
      </c>
      <c r="D46">
        <f>IF(B46&lt;=$K$4,1,IF(B46&lt;=$K$5,2,IF(B46&lt;=$K$6,3,IF(B46&lt;=$K$7,4,IF(B46&lt;=$K$8,5)))))</f>
        <v>2</v>
      </c>
      <c r="E46">
        <f>IF(C46&lt;=$N$4,1,IF(C46&lt;=$N$5,2,IF(C46&lt;=$N$6,3,IF(C46&lt;=$N$7,4,IF(C46&lt;=$N$8,5)))))</f>
        <v>3</v>
      </c>
      <c r="F46">
        <f t="shared" si="0"/>
        <v>1</v>
      </c>
      <c r="G46">
        <f t="shared" si="1"/>
        <v>1</v>
      </c>
    </row>
    <row r="47" spans="2:16" x14ac:dyDescent="0.2">
      <c r="B47" s="2">
        <v>3.8991203281329945</v>
      </c>
      <c r="C47" s="2">
        <v>28.088870438547726</v>
      </c>
      <c r="D47">
        <f>IF(B47&lt;=$K$4,1,IF(B47&lt;=$K$5,2,IF(B47&lt;=$K$6,3,IF(B47&lt;=$K$7,4,IF(B47&lt;=$K$8,5)))))</f>
        <v>2</v>
      </c>
      <c r="E47">
        <f>IF(C47&lt;=$N$4,1,IF(C47&lt;=$N$5,2,IF(C47&lt;=$N$6,3,IF(C47&lt;=$N$7,4,IF(C47&lt;=$N$8,5)))))</f>
        <v>2</v>
      </c>
      <c r="F47">
        <f t="shared" si="0"/>
        <v>1</v>
      </c>
      <c r="G47">
        <f t="shared" si="1"/>
        <v>1</v>
      </c>
    </row>
    <row r="48" spans="2:16" x14ac:dyDescent="0.2">
      <c r="B48" s="2">
        <v>9.4278567656874657</v>
      </c>
      <c r="C48" s="2">
        <v>66.270950739188891</v>
      </c>
      <c r="D48">
        <f>IF(B48&lt;=$K$4,1,IF(B48&lt;=$K$5,2,IF(B48&lt;=$K$6,3,IF(B48&lt;=$K$7,4,IF(B48&lt;=$K$8,5)))))</f>
        <v>5</v>
      </c>
      <c r="E48">
        <f>IF(C48&lt;=$N$4,1,IF(C48&lt;=$N$5,2,IF(C48&lt;=$N$6,3,IF(C48&lt;=$N$7,4,IF(C48&lt;=$N$8,5)))))</f>
        <v>5</v>
      </c>
      <c r="F48">
        <f t="shared" si="0"/>
        <v>2</v>
      </c>
      <c r="G48">
        <f t="shared" si="1"/>
        <v>2</v>
      </c>
    </row>
    <row r="49" spans="1:7" x14ac:dyDescent="0.2">
      <c r="B49" s="2">
        <v>5.021600499167107</v>
      </c>
      <c r="C49" s="2">
        <v>36.732816438686051</v>
      </c>
      <c r="D49">
        <f>IF(B49&lt;=$K$4,1,IF(B49&lt;=$K$5,2,IF(B49&lt;=$K$6,3,IF(B49&lt;=$K$7,4,IF(B49&lt;=$K$8,5)))))</f>
        <v>3</v>
      </c>
      <c r="E49">
        <f>IF(C49&lt;=$N$4,1,IF(C49&lt;=$N$5,2,IF(C49&lt;=$N$6,3,IF(C49&lt;=$N$7,4,IF(C49&lt;=$N$8,5)))))</f>
        <v>3</v>
      </c>
      <c r="F49">
        <f t="shared" si="0"/>
        <v>1</v>
      </c>
      <c r="G49">
        <f t="shared" si="1"/>
        <v>1</v>
      </c>
    </row>
    <row r="50" spans="1:7" x14ac:dyDescent="0.2">
      <c r="B50" s="2">
        <v>7.7864007279276848</v>
      </c>
      <c r="C50" s="2">
        <v>55.657087438333654</v>
      </c>
      <c r="D50">
        <f>IF(B50&lt;=$K$4,1,IF(B50&lt;=$K$5,2,IF(B50&lt;=$K$6,3,IF(B50&lt;=$K$7,4,IF(B50&lt;=$K$8,5)))))</f>
        <v>4</v>
      </c>
      <c r="E50">
        <f>IF(C50&lt;=$N$4,1,IF(C50&lt;=$N$5,2,IF(C50&lt;=$N$6,3,IF(C50&lt;=$N$7,4,IF(C50&lt;=$N$8,5)))))</f>
        <v>4</v>
      </c>
      <c r="F50">
        <f t="shared" si="0"/>
        <v>2</v>
      </c>
      <c r="G50">
        <f t="shared" si="1"/>
        <v>2</v>
      </c>
    </row>
    <row r="51" spans="1:7" x14ac:dyDescent="0.2">
      <c r="B51" s="2">
        <v>5.1551916284370236</v>
      </c>
      <c r="C51" s="2">
        <v>38.056283600035428</v>
      </c>
      <c r="D51">
        <f>IF(B51&lt;=$K$4,1,IF(B51&lt;=$K$5,2,IF(B51&lt;=$K$6,3,IF(B51&lt;=$K$7,4,IF(B51&lt;=$K$8,5)))))</f>
        <v>3</v>
      </c>
      <c r="E51">
        <f>IF(C51&lt;=$N$4,1,IF(C51&lt;=$N$5,2,IF(C51&lt;=$N$6,3,IF(C51&lt;=$N$7,4,IF(C51&lt;=$N$8,5)))))</f>
        <v>3</v>
      </c>
      <c r="F51">
        <f t="shared" si="0"/>
        <v>1</v>
      </c>
      <c r="G51">
        <f t="shared" si="1"/>
        <v>1</v>
      </c>
    </row>
    <row r="53" spans="1:7" x14ac:dyDescent="0.2">
      <c r="A53" t="s">
        <v>2</v>
      </c>
      <c r="B53">
        <f>MIN(X)</f>
        <v>1.3369555189274251</v>
      </c>
      <c r="C53">
        <f>MIN(Y)</f>
        <v>7.5504507884379901</v>
      </c>
    </row>
    <row r="54" spans="1:7" x14ac:dyDescent="0.2">
      <c r="A54" t="s">
        <v>3</v>
      </c>
      <c r="B54">
        <f>MAX(X)</f>
        <v>9.92902472615242</v>
      </c>
      <c r="C54">
        <f>MAX(Y)</f>
        <v>69.956543953152192</v>
      </c>
    </row>
    <row r="55" spans="1:7" x14ac:dyDescent="0.2">
      <c r="A55" t="s">
        <v>4</v>
      </c>
      <c r="B55">
        <f>B54-B53</f>
        <v>8.5920692072249949</v>
      </c>
      <c r="C55">
        <f>C54-C53</f>
        <v>62.4060931647142</v>
      </c>
    </row>
    <row r="56" spans="1:7" x14ac:dyDescent="0.2">
      <c r="A56" t="s">
        <v>5</v>
      </c>
      <c r="B56">
        <f>B55/5</f>
        <v>1.718413841444999</v>
      </c>
      <c r="C56">
        <f>C55/5</f>
        <v>12.48121863294284</v>
      </c>
    </row>
    <row r="57" spans="1:7" x14ac:dyDescent="0.2">
      <c r="A57" t="s">
        <v>6</v>
      </c>
      <c r="B57">
        <f>B55/2</f>
        <v>4.2960346036124974</v>
      </c>
      <c r="C57">
        <f>C55/2</f>
        <v>31.2030465823571</v>
      </c>
    </row>
  </sheetData>
  <mergeCells count="6">
    <mergeCell ref="P22:R22"/>
    <mergeCell ref="P28:R28"/>
    <mergeCell ref="O36:P36"/>
    <mergeCell ref="O39:P42"/>
    <mergeCell ref="J3:K3"/>
    <mergeCell ref="M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7F3F-2011-9F49-ABAE-AF34211D906D}">
  <dimension ref="A3:G10"/>
  <sheetViews>
    <sheetView workbookViewId="0">
      <selection activeCell="G10" sqref="A4:G10"/>
    </sheetView>
  </sheetViews>
  <sheetFormatPr baseColWidth="10" defaultRowHeight="16" x14ac:dyDescent="0.2"/>
  <cols>
    <col min="1" max="1" width="38.1640625" bestFit="1" customWidth="1"/>
    <col min="2" max="2" width="2.1640625" bestFit="1" customWidth="1"/>
    <col min="3" max="5" width="3.1640625" bestFit="1" customWidth="1"/>
    <col min="6" max="6" width="2.1640625" bestFit="1" customWidth="1"/>
    <col min="7" max="7" width="11.5" bestFit="1" customWidth="1"/>
  </cols>
  <sheetData>
    <row r="3" spans="1:7" x14ac:dyDescent="0.2">
      <c r="A3" s="35" t="s">
        <v>90</v>
      </c>
    </row>
    <row r="4" spans="1:7" x14ac:dyDescent="0.2">
      <c r="B4">
        <v>1</v>
      </c>
      <c r="C4">
        <v>2</v>
      </c>
      <c r="D4">
        <v>3</v>
      </c>
      <c r="E4">
        <v>4</v>
      </c>
      <c r="F4">
        <v>5</v>
      </c>
      <c r="G4" t="s">
        <v>86</v>
      </c>
    </row>
    <row r="5" spans="1:7" x14ac:dyDescent="0.2">
      <c r="A5" s="36">
        <v>1</v>
      </c>
      <c r="B5" s="37">
        <v>3</v>
      </c>
      <c r="C5" s="37"/>
      <c r="D5" s="37"/>
      <c r="E5" s="37"/>
      <c r="F5" s="37"/>
      <c r="G5" s="37">
        <v>3</v>
      </c>
    </row>
    <row r="6" spans="1:7" x14ac:dyDescent="0.2">
      <c r="A6" s="36">
        <v>2</v>
      </c>
      <c r="B6" s="37"/>
      <c r="C6" s="37">
        <v>13</v>
      </c>
      <c r="D6" s="37">
        <v>2</v>
      </c>
      <c r="E6" s="37"/>
      <c r="F6" s="37"/>
      <c r="G6" s="37">
        <v>15</v>
      </c>
    </row>
    <row r="7" spans="1:7" x14ac:dyDescent="0.2">
      <c r="A7" s="36">
        <v>3</v>
      </c>
      <c r="B7" s="37"/>
      <c r="C7" s="37"/>
      <c r="D7" s="37">
        <v>19</v>
      </c>
      <c r="E7" s="37">
        <v>1</v>
      </c>
      <c r="F7" s="37"/>
      <c r="G7" s="37">
        <v>20</v>
      </c>
    </row>
    <row r="8" spans="1:7" x14ac:dyDescent="0.2">
      <c r="A8" s="36">
        <v>4</v>
      </c>
      <c r="B8" s="37"/>
      <c r="C8" s="37"/>
      <c r="D8" s="37"/>
      <c r="E8" s="37">
        <v>8</v>
      </c>
      <c r="F8" s="37"/>
      <c r="G8" s="37">
        <v>8</v>
      </c>
    </row>
    <row r="9" spans="1:7" x14ac:dyDescent="0.2">
      <c r="A9" s="36">
        <v>5</v>
      </c>
      <c r="B9" s="37"/>
      <c r="C9" s="37"/>
      <c r="D9" s="37"/>
      <c r="E9" s="37">
        <v>1</v>
      </c>
      <c r="F9" s="37">
        <v>3</v>
      </c>
      <c r="G9" s="37">
        <v>4</v>
      </c>
    </row>
    <row r="10" spans="1:7" x14ac:dyDescent="0.2">
      <c r="A10" s="36" t="s">
        <v>86</v>
      </c>
      <c r="B10" s="37">
        <v>3</v>
      </c>
      <c r="C10" s="37">
        <v>13</v>
      </c>
      <c r="D10" s="37">
        <v>21</v>
      </c>
      <c r="E10" s="37">
        <v>10</v>
      </c>
      <c r="F10" s="37">
        <v>3</v>
      </c>
      <c r="G10" s="37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58DE-7C4C-FE44-95C0-7FCAA7A9F128}">
  <dimension ref="A3:D7"/>
  <sheetViews>
    <sheetView workbookViewId="0">
      <selection activeCell="A4" sqref="A4:D7"/>
    </sheetView>
  </sheetViews>
  <sheetFormatPr baseColWidth="10" defaultRowHeight="16" x14ac:dyDescent="0.2"/>
  <cols>
    <col min="1" max="1" width="39.5" bestFit="1" customWidth="1"/>
    <col min="2" max="3" width="3.1640625" bestFit="1" customWidth="1"/>
    <col min="4" max="4" width="11.5" bestFit="1" customWidth="1"/>
  </cols>
  <sheetData>
    <row r="3" spans="1:4" x14ac:dyDescent="0.2">
      <c r="A3" s="35" t="s">
        <v>99</v>
      </c>
    </row>
    <row r="4" spans="1:4" x14ac:dyDescent="0.2">
      <c r="B4">
        <v>1</v>
      </c>
      <c r="C4">
        <v>2</v>
      </c>
      <c r="D4" t="s">
        <v>86</v>
      </c>
    </row>
    <row r="5" spans="1:4" x14ac:dyDescent="0.2">
      <c r="A5" s="36">
        <v>1</v>
      </c>
      <c r="B5" s="37">
        <v>26</v>
      </c>
      <c r="C5" s="37">
        <v>1</v>
      </c>
      <c r="D5" s="37">
        <v>27</v>
      </c>
    </row>
    <row r="6" spans="1:4" x14ac:dyDescent="0.2">
      <c r="A6" s="36">
        <v>2</v>
      </c>
      <c r="B6" s="37"/>
      <c r="C6" s="37">
        <v>23</v>
      </c>
      <c r="D6" s="37">
        <v>23</v>
      </c>
    </row>
    <row r="7" spans="1:4" x14ac:dyDescent="0.2">
      <c r="A7" s="36" t="s">
        <v>86</v>
      </c>
      <c r="B7" s="37">
        <v>26</v>
      </c>
      <c r="C7" s="37">
        <v>24</v>
      </c>
      <c r="D7" s="3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регрессия</vt:lpstr>
      <vt:lpstr>хи2</vt:lpstr>
      <vt:lpstr>сводная таблица 1</vt:lpstr>
      <vt:lpstr>сводная таблица 2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2020-12-12T21:43:36Z</dcterms:created>
  <dcterms:modified xsi:type="dcterms:W3CDTF">2020-12-13T01:38:35Z</dcterms:modified>
</cp:coreProperties>
</file>