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.marder/Documents/Учёба/ТВиМС/"/>
    </mc:Choice>
  </mc:AlternateContent>
  <xr:revisionPtr revIDLastSave="0" documentId="13_ncr:1_{645FE376-6E1D-5443-B698-2CCF9C6619D7}" xr6:coauthVersionLast="45" xr6:coauthVersionMax="45" xr10:uidLastSave="{00000000-0000-0000-0000-000000000000}"/>
  <bookViews>
    <workbookView xWindow="0" yWindow="500" windowWidth="38400" windowHeight="20180" activeTab="3" xr2:uid="{C5EBB19A-6A37-7942-BA60-549FB569F194}"/>
  </bookViews>
  <sheets>
    <sheet name="19.330" sheetId="1" r:id="rId1"/>
    <sheet name="19.331" sheetId="2" r:id="rId2"/>
    <sheet name="19.332" sheetId="3" r:id="rId3"/>
    <sheet name="19.33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4" l="1"/>
  <c r="G39" i="4" l="1"/>
  <c r="N32" i="4"/>
  <c r="N33" i="4"/>
  <c r="N26" i="4"/>
  <c r="N27" i="4"/>
  <c r="N21" i="4"/>
  <c r="M34" i="4"/>
  <c r="N36" i="4" s="1"/>
  <c r="M29" i="4"/>
  <c r="N30" i="4" s="1"/>
  <c r="M24" i="4"/>
  <c r="N28" i="4" s="1"/>
  <c r="M20" i="4"/>
  <c r="N22" i="4" s="1"/>
  <c r="M15" i="4"/>
  <c r="N18" i="4" s="1"/>
  <c r="F29" i="3"/>
  <c r="I38" i="4"/>
  <c r="I23" i="4"/>
  <c r="I17" i="4"/>
  <c r="I18" i="4"/>
  <c r="I19" i="4"/>
  <c r="I21" i="4"/>
  <c r="I22" i="4"/>
  <c r="I24" i="4"/>
  <c r="I26" i="4"/>
  <c r="I27" i="4"/>
  <c r="I28" i="4"/>
  <c r="I30" i="4"/>
  <c r="I31" i="4"/>
  <c r="I32" i="4"/>
  <c r="I34" i="4"/>
  <c r="I35" i="4"/>
  <c r="I36" i="4"/>
  <c r="I15" i="4"/>
  <c r="G17" i="4"/>
  <c r="D15" i="4"/>
  <c r="D34" i="4"/>
  <c r="D29" i="4"/>
  <c r="D24" i="4"/>
  <c r="D20" i="4"/>
  <c r="C42" i="4"/>
  <c r="C43" i="4" s="1"/>
  <c r="B42" i="4"/>
  <c r="B43" i="4" s="1"/>
  <c r="C41" i="4"/>
  <c r="J21" i="4" s="1"/>
  <c r="B41" i="4"/>
  <c r="I16" i="4" s="1"/>
  <c r="C40" i="4"/>
  <c r="B40" i="4"/>
  <c r="C39" i="4"/>
  <c r="B39" i="4"/>
  <c r="G32" i="3"/>
  <c r="I15" i="3"/>
  <c r="F17" i="3"/>
  <c r="C35" i="3"/>
  <c r="C36" i="3" s="1"/>
  <c r="C34" i="3"/>
  <c r="I20" i="3" s="1"/>
  <c r="C33" i="3"/>
  <c r="C32" i="3"/>
  <c r="B35" i="3"/>
  <c r="B36" i="3" s="1"/>
  <c r="B33" i="3"/>
  <c r="B32" i="3"/>
  <c r="B34" i="3"/>
  <c r="H27" i="3" s="1"/>
  <c r="B26" i="2"/>
  <c r="C26" i="2"/>
  <c r="I19" i="2" s="1"/>
  <c r="G32" i="2"/>
  <c r="F29" i="2"/>
  <c r="I16" i="2"/>
  <c r="I17" i="2"/>
  <c r="I18" i="2"/>
  <c r="I20" i="2"/>
  <c r="I21" i="2"/>
  <c r="I22" i="2"/>
  <c r="I15" i="2"/>
  <c r="H16" i="2"/>
  <c r="H17" i="2"/>
  <c r="H18" i="2"/>
  <c r="H19" i="2"/>
  <c r="H20" i="2"/>
  <c r="H21" i="2"/>
  <c r="H22" i="2"/>
  <c r="H23" i="2"/>
  <c r="H15" i="2"/>
  <c r="F19" i="2" s="1"/>
  <c r="F17" i="2"/>
  <c r="C27" i="2"/>
  <c r="C28" i="2" s="1"/>
  <c r="B27" i="2"/>
  <c r="B28" i="2" s="1"/>
  <c r="C25" i="2"/>
  <c r="B25" i="2"/>
  <c r="C24" i="2"/>
  <c r="B24" i="2"/>
  <c r="F17" i="1"/>
  <c r="G32" i="1"/>
  <c r="F29" i="1"/>
  <c r="J25" i="4" l="1"/>
  <c r="J37" i="4"/>
  <c r="F20" i="2"/>
  <c r="J16" i="4"/>
  <c r="J20" i="4"/>
  <c r="J24" i="4"/>
  <c r="J28" i="4"/>
  <c r="J32" i="4"/>
  <c r="J36" i="4"/>
  <c r="J18" i="4"/>
  <c r="J22" i="4"/>
  <c r="J26" i="4"/>
  <c r="J30" i="4"/>
  <c r="J34" i="4"/>
  <c r="J38" i="4"/>
  <c r="J19" i="4"/>
  <c r="J23" i="4"/>
  <c r="J27" i="4"/>
  <c r="J31" i="4"/>
  <c r="J35" i="4"/>
  <c r="J15" i="4"/>
  <c r="J33" i="4"/>
  <c r="J17" i="4"/>
  <c r="J29" i="4"/>
  <c r="N17" i="4"/>
  <c r="N34" i="4"/>
  <c r="N35" i="4"/>
  <c r="I23" i="2"/>
  <c r="I37" i="4"/>
  <c r="I33" i="4"/>
  <c r="I29" i="4"/>
  <c r="I25" i="4"/>
  <c r="I20" i="4"/>
  <c r="G19" i="4" s="1"/>
  <c r="N15" i="4"/>
  <c r="N16" i="4"/>
  <c r="N23" i="4"/>
  <c r="N38" i="4"/>
  <c r="N19" i="4"/>
  <c r="N20" i="4"/>
  <c r="N24" i="4"/>
  <c r="N25" i="4"/>
  <c r="N31" i="4"/>
  <c r="N37" i="4"/>
  <c r="N29" i="4"/>
  <c r="I31" i="3"/>
  <c r="I18" i="3"/>
  <c r="I23" i="3"/>
  <c r="I30" i="3"/>
  <c r="I26" i="3"/>
  <c r="I17" i="3"/>
  <c r="I22" i="3"/>
  <c r="I27" i="3"/>
  <c r="I16" i="3"/>
  <c r="F20" i="3" s="1"/>
  <c r="I19" i="3"/>
  <c r="I29" i="3"/>
  <c r="I25" i="3"/>
  <c r="I21" i="3"/>
  <c r="I28" i="3"/>
  <c r="I24" i="3"/>
  <c r="H23" i="3"/>
  <c r="H24" i="3"/>
  <c r="H25" i="3"/>
  <c r="H30" i="3"/>
  <c r="H29" i="3"/>
  <c r="H26" i="3"/>
  <c r="H28" i="3"/>
  <c r="H31" i="3"/>
  <c r="H18" i="3"/>
  <c r="H17" i="3"/>
  <c r="H19" i="3"/>
  <c r="H20" i="3"/>
  <c r="H15" i="3"/>
  <c r="H16" i="3"/>
  <c r="H21" i="3"/>
  <c r="H22" i="3"/>
  <c r="F21" i="2"/>
  <c r="E25" i="2" s="1"/>
  <c r="J42" i="4" l="1"/>
  <c r="F19" i="3"/>
  <c r="F21" i="3"/>
  <c r="G21" i="4"/>
  <c r="F25" i="4" s="1"/>
  <c r="G20" i="4"/>
  <c r="F25" i="2"/>
  <c r="J23" i="2" s="1"/>
  <c r="K23" i="2" s="1"/>
  <c r="J20" i="2"/>
  <c r="K20" i="2" s="1"/>
  <c r="K25" i="4" l="1"/>
  <c r="L25" i="4" s="1"/>
  <c r="K29" i="4"/>
  <c r="L29" i="4" s="1"/>
  <c r="K18" i="4"/>
  <c r="L18" i="4" s="1"/>
  <c r="K22" i="4"/>
  <c r="L22" i="4" s="1"/>
  <c r="K34" i="4"/>
  <c r="L34" i="4" s="1"/>
  <c r="K38" i="4"/>
  <c r="L38" i="4" s="1"/>
  <c r="K27" i="4"/>
  <c r="L27" i="4" s="1"/>
  <c r="K31" i="4"/>
  <c r="L31" i="4" s="1"/>
  <c r="K16" i="4"/>
  <c r="L16" i="4" s="1"/>
  <c r="K20" i="4"/>
  <c r="L20" i="4" s="1"/>
  <c r="K28" i="4"/>
  <c r="L28" i="4" s="1"/>
  <c r="K32" i="4"/>
  <c r="L32" i="4" s="1"/>
  <c r="K36" i="4"/>
  <c r="L36" i="4" s="1"/>
  <c r="G25" i="4"/>
  <c r="K17" i="4" s="1"/>
  <c r="L17" i="4" s="1"/>
  <c r="J15" i="2"/>
  <c r="E25" i="3"/>
  <c r="J21" i="2"/>
  <c r="K21" i="2" s="1"/>
  <c r="J18" i="2"/>
  <c r="K18" i="2" s="1"/>
  <c r="J16" i="2"/>
  <c r="K16" i="2" s="1"/>
  <c r="K15" i="2"/>
  <c r="J17" i="2"/>
  <c r="K17" i="2" s="1"/>
  <c r="J22" i="2"/>
  <c r="K22" i="2" s="1"/>
  <c r="J19" i="2"/>
  <c r="K19" i="2" s="1"/>
  <c r="K15" i="4" l="1"/>
  <c r="L15" i="4" s="1"/>
  <c r="K23" i="4"/>
  <c r="L23" i="4" s="1"/>
  <c r="K30" i="4"/>
  <c r="L30" i="4" s="1"/>
  <c r="K37" i="4"/>
  <c r="L37" i="4" s="1"/>
  <c r="K21" i="4"/>
  <c r="L21" i="4" s="1"/>
  <c r="I27" i="2"/>
  <c r="I28" i="2" s="1"/>
  <c r="E29" i="2" s="1"/>
  <c r="K24" i="4"/>
  <c r="L24" i="4" s="1"/>
  <c r="K35" i="4"/>
  <c r="L35" i="4" s="1"/>
  <c r="K19" i="4"/>
  <c r="L19" i="4" s="1"/>
  <c r="K26" i="4"/>
  <c r="L26" i="4" s="1"/>
  <c r="K33" i="4"/>
  <c r="L33" i="4" s="1"/>
  <c r="F25" i="3"/>
  <c r="B27" i="1"/>
  <c r="B28" i="1" s="1"/>
  <c r="C27" i="1"/>
  <c r="C28" i="1" s="1"/>
  <c r="C26" i="1"/>
  <c r="B26" i="1"/>
  <c r="C25" i="1"/>
  <c r="C24" i="1"/>
  <c r="B25" i="1"/>
  <c r="B24" i="1"/>
  <c r="I19" i="1" l="1"/>
  <c r="I23" i="1"/>
  <c r="I17" i="1"/>
  <c r="I22" i="1"/>
  <c r="I18" i="1"/>
  <c r="I15" i="1"/>
  <c r="I16" i="1"/>
  <c r="I21" i="1"/>
  <c r="I20" i="1"/>
  <c r="K28" i="2"/>
  <c r="H18" i="1"/>
  <c r="H22" i="1"/>
  <c r="H19" i="1"/>
  <c r="H15" i="1"/>
  <c r="H20" i="1"/>
  <c r="H17" i="1"/>
  <c r="H23" i="1"/>
  <c r="H21" i="1"/>
  <c r="H16" i="1"/>
  <c r="K27" i="2"/>
  <c r="J40" i="4"/>
  <c r="J19" i="3"/>
  <c r="K19" i="3" s="1"/>
  <c r="J28" i="3"/>
  <c r="K28" i="3" s="1"/>
  <c r="J27" i="3"/>
  <c r="K27" i="3" s="1"/>
  <c r="J30" i="3"/>
  <c r="K30" i="3" s="1"/>
  <c r="J26" i="3"/>
  <c r="K26" i="3" s="1"/>
  <c r="J31" i="3"/>
  <c r="K31" i="3" s="1"/>
  <c r="J29" i="3"/>
  <c r="K29" i="3" s="1"/>
  <c r="J23" i="3"/>
  <c r="K23" i="3" s="1"/>
  <c r="J18" i="3"/>
  <c r="K18" i="3" s="1"/>
  <c r="J22" i="3"/>
  <c r="K22" i="3" s="1"/>
  <c r="J17" i="3"/>
  <c r="K17" i="3" s="1"/>
  <c r="J21" i="3"/>
  <c r="K21" i="3" s="1"/>
  <c r="J25" i="3"/>
  <c r="K25" i="3" s="1"/>
  <c r="J20" i="3"/>
  <c r="K20" i="3" s="1"/>
  <c r="J16" i="3"/>
  <c r="K16" i="3" s="1"/>
  <c r="J15" i="3"/>
  <c r="K15" i="3" s="1"/>
  <c r="J24" i="3"/>
  <c r="K24" i="3" s="1"/>
  <c r="F19" i="1" l="1"/>
  <c r="F21" i="1"/>
  <c r="F20" i="1"/>
  <c r="L40" i="4"/>
  <c r="J43" i="4"/>
  <c r="F39" i="4" s="1"/>
  <c r="J41" i="4"/>
  <c r="F35" i="2"/>
  <c r="E35" i="2"/>
  <c r="F34" i="2"/>
  <c r="E34" i="2"/>
  <c r="I34" i="3"/>
  <c r="K34" i="3" s="1"/>
  <c r="F29" i="4" l="1"/>
  <c r="L41" i="4"/>
  <c r="E25" i="1"/>
  <c r="E35" i="3"/>
  <c r="F35" i="3"/>
  <c r="E34" i="3"/>
  <c r="F34" i="3"/>
  <c r="I35" i="3"/>
  <c r="E29" i="3" s="1"/>
  <c r="F25" i="1" l="1"/>
  <c r="K35" i="3"/>
  <c r="J23" i="1" l="1"/>
  <c r="K23" i="1" s="1"/>
  <c r="J22" i="1"/>
  <c r="K22" i="1" s="1"/>
  <c r="J19" i="1"/>
  <c r="K19" i="1" s="1"/>
  <c r="J18" i="1"/>
  <c r="K18" i="1" s="1"/>
  <c r="J15" i="1"/>
  <c r="K15" i="1" s="1"/>
  <c r="I27" i="1" s="1"/>
  <c r="J21" i="1"/>
  <c r="K21" i="1" s="1"/>
  <c r="J20" i="1"/>
  <c r="K20" i="1" s="1"/>
  <c r="J16" i="1"/>
  <c r="K16" i="1" s="1"/>
  <c r="J17" i="1"/>
  <c r="K17" i="1" s="1"/>
  <c r="K27" i="1" l="1"/>
  <c r="I28" i="1"/>
  <c r="K28" i="1" l="1"/>
  <c r="E29" i="1"/>
  <c r="F34" i="1"/>
  <c r="E34" i="1"/>
  <c r="E35" i="1"/>
  <c r="F35" i="1"/>
</calcChain>
</file>

<file path=xl/sharedStrings.xml><?xml version="1.0" encoding="utf-8"?>
<sst xmlns="http://schemas.openxmlformats.org/spreadsheetml/2006/main" count="137" uniqueCount="40">
  <si>
    <t>X</t>
  </si>
  <si>
    <t>Y</t>
  </si>
  <si>
    <t>сумм</t>
  </si>
  <si>
    <t>сумм кв</t>
  </si>
  <si>
    <t>ур. значимости</t>
  </si>
  <si>
    <t>среднее</t>
  </si>
  <si>
    <t>диспр выб</t>
  </si>
  <si>
    <t>ско выб</t>
  </si>
  <si>
    <t>Qx</t>
  </si>
  <si>
    <t>Qy</t>
  </si>
  <si>
    <t>Qxy</t>
  </si>
  <si>
    <t>X - Xср</t>
  </si>
  <si>
    <t>Y - Yср</t>
  </si>
  <si>
    <t>коэфф</t>
  </si>
  <si>
    <t>k</t>
  </si>
  <si>
    <t>b</t>
  </si>
  <si>
    <t>проверка значимости</t>
  </si>
  <si>
    <t>~Y</t>
  </si>
  <si>
    <t>Yi - ~Yi</t>
  </si>
  <si>
    <t>Qe</t>
  </si>
  <si>
    <t>Qr</t>
  </si>
  <si>
    <t>Fпракт</t>
  </si>
  <si>
    <t>Fтеор</t>
  </si>
  <si>
    <t>регрессия значима</t>
  </si>
  <si>
    <t>Se^2</t>
  </si>
  <si>
    <t>Sr^2</t>
  </si>
  <si>
    <t>границы интервалов</t>
  </si>
  <si>
    <t>нижн</t>
  </si>
  <si>
    <t>верхн</t>
  </si>
  <si>
    <t>rxy</t>
  </si>
  <si>
    <t xml:space="preserve">ур. знач </t>
  </si>
  <si>
    <t>ni</t>
  </si>
  <si>
    <t>ei = Yi - ~Yi</t>
  </si>
  <si>
    <t>ур знач</t>
  </si>
  <si>
    <t>Qp</t>
  </si>
  <si>
    <t>Yjср</t>
  </si>
  <si>
    <t>Yij - Yсрj</t>
  </si>
  <si>
    <t>Qn</t>
  </si>
  <si>
    <t>проверка на адекватность</t>
  </si>
  <si>
    <t>регрессия неадекватна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</si>
</sst>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2" xfId="0" applyFont="1" applyBorder="1"/>
    <xf numFmtId="0" fontId="3" fillId="0" borderId="3" xfId="0" applyFont="1" applyBorder="1" applyAlignment="1">
      <alignment horizontal="center" vertical="center"/>
    </xf>
    <xf numFmtId="0" fontId="1" fillId="0" borderId="4" xfId="0" applyFont="1" applyBorder="1"/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3" xfId="0" applyFont="1" applyBorder="1"/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Fill="1" applyBorder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Линейная</a:t>
            </a:r>
            <a:r>
              <a:rPr lang="ru-RU" sz="2400" baseline="0"/>
              <a:t> регрессия</a:t>
            </a:r>
          </a:p>
        </c:rich>
      </c:tx>
      <c:layout>
        <c:manualLayout>
          <c:xMode val="edge"/>
          <c:yMode val="edge"/>
          <c:x val="0.1289026684164479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803469535319696E-2"/>
                  <c:y val="-0.421531871584934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-1,0572x + 20,306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0,9594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'19.330'!$B$15:$B$23</c:f>
              <c:numCache>
                <c:formatCode>General</c:formatCode>
                <c:ptCount val="9"/>
                <c:pt idx="0">
                  <c:v>2.7</c:v>
                </c:pt>
                <c:pt idx="1">
                  <c:v>4.5999999999999996</c:v>
                </c:pt>
                <c:pt idx="2">
                  <c:v>6.3</c:v>
                </c:pt>
                <c:pt idx="3">
                  <c:v>7.8</c:v>
                </c:pt>
                <c:pt idx="4">
                  <c:v>9.1999999999999993</c:v>
                </c:pt>
                <c:pt idx="5">
                  <c:v>10.6</c:v>
                </c:pt>
                <c:pt idx="6">
                  <c:v>12</c:v>
                </c:pt>
                <c:pt idx="7">
                  <c:v>13.4</c:v>
                </c:pt>
                <c:pt idx="8">
                  <c:v>14.7</c:v>
                </c:pt>
              </c:numCache>
            </c:numRef>
          </c:xVal>
          <c:yVal>
            <c:numRef>
              <c:f>'19.330'!$C$15:$C$23</c:f>
              <c:numCache>
                <c:formatCode>General</c:formatCode>
                <c:ptCount val="9"/>
                <c:pt idx="0">
                  <c:v>17</c:v>
                </c:pt>
                <c:pt idx="1">
                  <c:v>16.2</c:v>
                </c:pt>
                <c:pt idx="2">
                  <c:v>13.3</c:v>
                </c:pt>
                <c:pt idx="3">
                  <c:v>13</c:v>
                </c:pt>
                <c:pt idx="4">
                  <c:v>9.6999999999999993</c:v>
                </c:pt>
                <c:pt idx="5">
                  <c:v>9.9</c:v>
                </c:pt>
                <c:pt idx="6">
                  <c:v>6.2</c:v>
                </c:pt>
                <c:pt idx="7">
                  <c:v>5.8</c:v>
                </c:pt>
                <c:pt idx="8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C-3A40-B92E-97888517D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641759"/>
        <c:axId val="1717392015"/>
      </c:scatterChart>
      <c:valAx>
        <c:axId val="166764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392015"/>
        <c:crosses val="autoZero"/>
        <c:crossBetween val="midCat"/>
      </c:valAx>
      <c:valAx>
        <c:axId val="17173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64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Линейная</a:t>
            </a:r>
            <a:r>
              <a:rPr lang="ru-RU" sz="2000" baseline="0"/>
              <a:t> регрессия</a:t>
            </a:r>
          </a:p>
        </c:rich>
      </c:tx>
      <c:layout>
        <c:manualLayout>
          <c:xMode val="edge"/>
          <c:yMode val="edge"/>
          <c:x val="0.14043206745678111"/>
          <c:y val="4.163395452959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490122172359191E-2"/>
                  <c:y val="-8.19009601089875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2,0355x - 1,5168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0,973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'19.331'!$B$15:$B$23</c:f>
              <c:numCache>
                <c:formatCode>General</c:formatCode>
                <c:ptCount val="9"/>
                <c:pt idx="0">
                  <c:v>7.9</c:v>
                </c:pt>
                <c:pt idx="1">
                  <c:v>11.6</c:v>
                </c:pt>
                <c:pt idx="2">
                  <c:v>12.8</c:v>
                </c:pt>
                <c:pt idx="3">
                  <c:v>14.9</c:v>
                </c:pt>
                <c:pt idx="4">
                  <c:v>16.3</c:v>
                </c:pt>
                <c:pt idx="5">
                  <c:v>18.600000000000001</c:v>
                </c:pt>
                <c:pt idx="6">
                  <c:v>20.3</c:v>
                </c:pt>
                <c:pt idx="7">
                  <c:v>21.9</c:v>
                </c:pt>
                <c:pt idx="8">
                  <c:v>23.6</c:v>
                </c:pt>
              </c:numCache>
            </c:numRef>
          </c:xVal>
          <c:yVal>
            <c:numRef>
              <c:f>'19.331'!$C$15:$C$23</c:f>
              <c:numCache>
                <c:formatCode>General</c:formatCode>
                <c:ptCount val="9"/>
                <c:pt idx="0">
                  <c:v>13</c:v>
                </c:pt>
                <c:pt idx="1">
                  <c:v>22.8</c:v>
                </c:pt>
                <c:pt idx="2">
                  <c:v>24.8</c:v>
                </c:pt>
                <c:pt idx="3">
                  <c:v>28.6</c:v>
                </c:pt>
                <c:pt idx="4">
                  <c:v>31.6</c:v>
                </c:pt>
                <c:pt idx="5">
                  <c:v>38.700000000000003</c:v>
                </c:pt>
                <c:pt idx="6">
                  <c:v>40</c:v>
                </c:pt>
                <c:pt idx="7">
                  <c:v>44.9</c:v>
                </c:pt>
                <c:pt idx="8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A-8E44-9EAB-820DA2E5A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141855"/>
        <c:axId val="1751288495"/>
      </c:scatterChart>
      <c:valAx>
        <c:axId val="175214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288495"/>
        <c:crosses val="autoZero"/>
        <c:crossBetween val="midCat"/>
      </c:valAx>
      <c:valAx>
        <c:axId val="17512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214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Линейная</a:t>
            </a:r>
            <a:r>
              <a:rPr lang="ru-RU" sz="2400" baseline="0"/>
              <a:t> регрессия</a:t>
            </a:r>
            <a:endParaRPr lang="ru-RU" sz="2400"/>
          </a:p>
        </c:rich>
      </c:tx>
      <c:layout>
        <c:manualLayout>
          <c:xMode val="edge"/>
          <c:yMode val="edge"/>
          <c:x val="5.5179587733761942E-2"/>
          <c:y val="3.2433649737477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664888998686714E-2"/>
                  <c:y val="-0.213898643103322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1,6614x - 5,7871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0,9096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'19.332'!$B$15:$B$31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'19.332'!$C$15:$C$31</c:f>
              <c:numCache>
                <c:formatCode>General</c:formatCode>
                <c:ptCount val="17"/>
                <c:pt idx="0">
                  <c:v>0.21</c:v>
                </c:pt>
                <c:pt idx="1">
                  <c:v>0.32</c:v>
                </c:pt>
                <c:pt idx="2">
                  <c:v>0.57999999999999996</c:v>
                </c:pt>
                <c:pt idx="3">
                  <c:v>1.02</c:v>
                </c:pt>
                <c:pt idx="4">
                  <c:v>1.76</c:v>
                </c:pt>
                <c:pt idx="5">
                  <c:v>2.68</c:v>
                </c:pt>
                <c:pt idx="6">
                  <c:v>3.75</c:v>
                </c:pt>
                <c:pt idx="7">
                  <c:v>5.07</c:v>
                </c:pt>
                <c:pt idx="8">
                  <c:v>6.62</c:v>
                </c:pt>
                <c:pt idx="9">
                  <c:v>8.32</c:v>
                </c:pt>
                <c:pt idx="10">
                  <c:v>10.210000000000001</c:v>
                </c:pt>
                <c:pt idx="11">
                  <c:v>12.33</c:v>
                </c:pt>
                <c:pt idx="12">
                  <c:v>14.58</c:v>
                </c:pt>
                <c:pt idx="13">
                  <c:v>17.07</c:v>
                </c:pt>
                <c:pt idx="14">
                  <c:v>19.53</c:v>
                </c:pt>
                <c:pt idx="15">
                  <c:v>22.72</c:v>
                </c:pt>
                <c:pt idx="16">
                  <c:v>29.05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0-4E44-B03F-E374DBEC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46191"/>
        <c:axId val="1717493951"/>
      </c:scatterChart>
      <c:valAx>
        <c:axId val="171724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493951"/>
        <c:crosses val="autoZero"/>
        <c:crossBetween val="midCat"/>
      </c:valAx>
      <c:valAx>
        <c:axId val="17174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24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Линейная</a:t>
            </a:r>
            <a:r>
              <a:rPr lang="ru-RU" sz="2000" baseline="0"/>
              <a:t> регрессия</a:t>
            </a:r>
          </a:p>
        </c:rich>
      </c:tx>
      <c:layout>
        <c:manualLayout>
          <c:xMode val="edge"/>
          <c:yMode val="edge"/>
          <c:x val="0.18613578403264575"/>
          <c:y val="5.0429473048878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380815458278643E-2"/>
                  <c:y val="-0.164454822793441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0,2116x + 7,1518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0,5592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'19.333'!$B$15:$B$38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</c:numCache>
            </c:numRef>
          </c:xVal>
          <c:yVal>
            <c:numRef>
              <c:f>'19.333'!$C$15:$C$38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17</c:v>
                </c:pt>
                <c:pt idx="10">
                  <c:v>19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18</c:v>
                </c:pt>
                <c:pt idx="18">
                  <c:v>20</c:v>
                </c:pt>
                <c:pt idx="19">
                  <c:v>17</c:v>
                </c:pt>
                <c:pt idx="20">
                  <c:v>19</c:v>
                </c:pt>
                <c:pt idx="21">
                  <c:v>16</c:v>
                </c:pt>
                <c:pt idx="22">
                  <c:v>14</c:v>
                </c:pt>
                <c:pt idx="2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B-A74B-869C-609F30F9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018543"/>
        <c:axId val="1752672495"/>
      </c:scatterChart>
      <c:valAx>
        <c:axId val="174601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2672495"/>
        <c:crosses val="autoZero"/>
        <c:crossBetween val="midCat"/>
      </c:valAx>
      <c:valAx>
        <c:axId val="17526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601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остатков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'19.333'!$B$15:$B$38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</c:numCache>
            </c:numRef>
          </c:xVal>
          <c:yVal>
            <c:numRef>
              <c:f>'19.333'!$L$15:$L$38</c:f>
              <c:numCache>
                <c:formatCode>General</c:formatCode>
                <c:ptCount val="24"/>
                <c:pt idx="0">
                  <c:v>-4.268060562364818</c:v>
                </c:pt>
                <c:pt idx="1">
                  <c:v>-3.268060562364818</c:v>
                </c:pt>
                <c:pt idx="2">
                  <c:v>-4.268060562364818</c:v>
                </c:pt>
                <c:pt idx="3">
                  <c:v>-3.268060562364818</c:v>
                </c:pt>
                <c:pt idx="4">
                  <c:v>-2.268060562364818</c:v>
                </c:pt>
                <c:pt idx="5">
                  <c:v>0.61571737563085627</c:v>
                </c:pt>
                <c:pt idx="6">
                  <c:v>1.6157173756308563</c:v>
                </c:pt>
                <c:pt idx="7">
                  <c:v>2.6157173756308563</c:v>
                </c:pt>
                <c:pt idx="8">
                  <c:v>1.6157173756308563</c:v>
                </c:pt>
                <c:pt idx="9">
                  <c:v>2.4413842826243695</c:v>
                </c:pt>
                <c:pt idx="10">
                  <c:v>4.4413842826243695</c:v>
                </c:pt>
                <c:pt idx="11">
                  <c:v>1.4413842826243695</c:v>
                </c:pt>
                <c:pt idx="12">
                  <c:v>0.44138428262436946</c:v>
                </c:pt>
                <c:pt idx="13">
                  <c:v>0.44138428262436946</c:v>
                </c:pt>
                <c:pt idx="14">
                  <c:v>2.3832732516222066</c:v>
                </c:pt>
                <c:pt idx="15">
                  <c:v>4.3832732516222066</c:v>
                </c:pt>
                <c:pt idx="16">
                  <c:v>5.3832732516222066</c:v>
                </c:pt>
                <c:pt idx="17">
                  <c:v>2.3832732516222066</c:v>
                </c:pt>
                <c:pt idx="18">
                  <c:v>4.3832732516222066</c:v>
                </c:pt>
                <c:pt idx="19">
                  <c:v>-2.8491708723864448</c:v>
                </c:pt>
                <c:pt idx="20">
                  <c:v>-0.84917087238644484</c:v>
                </c:pt>
                <c:pt idx="21">
                  <c:v>-3.8491708723864448</c:v>
                </c:pt>
                <c:pt idx="22">
                  <c:v>-5.8491708723864448</c:v>
                </c:pt>
                <c:pt idx="23">
                  <c:v>-3.8491708723864448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E-1047-BC51-28723FD3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22271"/>
        <c:axId val="1752159919"/>
      </c:scatterChart>
      <c:valAx>
        <c:axId val="166912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2159919"/>
        <c:crosses val="autoZero"/>
        <c:crossBetween val="midCat"/>
      </c:valAx>
      <c:valAx>
        <c:axId val="17521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12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236416</xdr:colOff>
      <xdr:row>11</xdr:row>
      <xdr:rowOff>179614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A557793-7166-BB4E-B4AE-C48C51AF3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15300" cy="2374900"/>
        </a:xfrm>
        <a:prstGeom prst="rect">
          <a:avLst/>
        </a:prstGeom>
      </xdr:spPr>
    </xdr:pic>
    <xdr:clientData/>
  </xdr:twoCellAnchor>
  <xdr:twoCellAnchor>
    <xdr:from>
      <xdr:col>12</xdr:col>
      <xdr:colOff>68384</xdr:colOff>
      <xdr:row>0</xdr:row>
      <xdr:rowOff>186591</xdr:rowOff>
    </xdr:from>
    <xdr:to>
      <xdr:col>19</xdr:col>
      <xdr:colOff>517769</xdr:colOff>
      <xdr:row>19</xdr:row>
      <xdr:rowOff>185615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E356CAD-6094-DA43-B2BB-6EA90806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647700</xdr:colOff>
      <xdr:row>11</xdr:row>
      <xdr:rowOff>101600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9859C41-A614-9646-BBAC-3D589482E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77200" cy="2336800"/>
        </a:xfrm>
        <a:prstGeom prst="rect">
          <a:avLst/>
        </a:prstGeom>
      </xdr:spPr>
    </xdr:pic>
    <xdr:clientData/>
  </xdr:twoCellAnchor>
  <xdr:twoCellAnchor>
    <xdr:from>
      <xdr:col>11</xdr:col>
      <xdr:colOff>297961</xdr:colOff>
      <xdr:row>0</xdr:row>
      <xdr:rowOff>118208</xdr:rowOff>
    </xdr:from>
    <xdr:to>
      <xdr:col>18</xdr:col>
      <xdr:colOff>449384</xdr:colOff>
      <xdr:row>22</xdr:row>
      <xdr:rowOff>166076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0A755F7-05B6-4743-8999-50F7EC821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107461</xdr:colOff>
      <xdr:row>0</xdr:row>
      <xdr:rowOff>58615</xdr:rowOff>
    </xdr:from>
    <xdr:to>
      <xdr:col>8</xdr:col>
      <xdr:colOff>192453</xdr:colOff>
      <xdr:row>12</xdr:row>
      <xdr:rowOff>157375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DFBC623-3BA0-D244-B135-4E8C816E1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61" y="58615"/>
          <a:ext cx="6728069" cy="2560606"/>
        </a:xfrm>
        <a:prstGeom prst="rect">
          <a:avLst/>
        </a:prstGeom>
      </xdr:spPr>
    </xdr:pic>
    <xdr:clientData/>
  </xdr:twoCellAnchor>
  <xdr:twoCellAnchor>
    <xdr:from>
      <xdr:col>11</xdr:col>
      <xdr:colOff>102577</xdr:colOff>
      <xdr:row>0</xdr:row>
      <xdr:rowOff>69360</xdr:rowOff>
    </xdr:from>
    <xdr:to>
      <xdr:col>19</xdr:col>
      <xdr:colOff>146538</xdr:colOff>
      <xdr:row>21</xdr:row>
      <xdr:rowOff>68384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257E42E-BC2B-0A4C-8C40-4377B6E5D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192454</xdr:colOff>
      <xdr:row>12</xdr:row>
      <xdr:rowOff>165100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7ACCD68-2D3F-1747-9E77-5B7966352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24800" cy="2603500"/>
        </a:xfrm>
        <a:prstGeom prst="rect">
          <a:avLst/>
        </a:prstGeom>
      </xdr:spPr>
    </xdr:pic>
    <xdr:clientData/>
  </xdr:twoCellAnchor>
  <xdr:twoCellAnchor>
    <xdr:from>
      <xdr:col>14</xdr:col>
      <xdr:colOff>122115</xdr:colOff>
      <xdr:row>3</xdr:row>
      <xdr:rowOff>167052</xdr:rowOff>
    </xdr:from>
    <xdr:to>
      <xdr:col>21</xdr:col>
      <xdr:colOff>48845</xdr:colOff>
      <xdr:row>20</xdr:row>
      <xdr:rowOff>205153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35FC2F-35F0-0649-8A01-DF112BEB5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92808</xdr:colOff>
      <xdr:row>21</xdr:row>
      <xdr:rowOff>59589</xdr:rowOff>
    </xdr:from>
    <xdr:to>
      <xdr:col>20</xdr:col>
      <xdr:colOff>791307</xdr:colOff>
      <xdr:row>37</xdr:row>
      <xdr:rowOff>175845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102B638-FA0E-5E4B-B89B-AB0F2DD30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B25A-2C92-D749-9B31-99CC4DDA1BDC}">
  <dimension ref="A14:K36"/>
  <sheetViews>
    <sheetView zoomScale="130" zoomScaleNormal="130" workbookViewId="0">
      <selection activeCell="K15" sqref="K15:K23"/>
    </sheetView>
  </sheetViews>
  <sheetFormatPr baseColWidth="10" defaultRowHeight="16" x14ac:dyDescent="0.2"/>
  <cols>
    <col min="4" max="4" width="14.83203125" customWidth="1"/>
    <col min="5" max="5" width="12.83203125" customWidth="1"/>
  </cols>
  <sheetData>
    <row r="14" spans="2:11" x14ac:dyDescent="0.2">
      <c r="B14" s="6" t="s">
        <v>0</v>
      </c>
      <c r="C14" s="6" t="s">
        <v>1</v>
      </c>
      <c r="D14" s="10" t="s">
        <v>4</v>
      </c>
      <c r="E14">
        <v>0.1</v>
      </c>
      <c r="H14" s="7" t="s">
        <v>11</v>
      </c>
      <c r="I14" s="8" t="s">
        <v>12</v>
      </c>
      <c r="J14" s="7" t="s">
        <v>17</v>
      </c>
      <c r="K14" s="8" t="s">
        <v>18</v>
      </c>
    </row>
    <row r="15" spans="2:11" x14ac:dyDescent="0.2">
      <c r="B15" s="2">
        <v>2.7</v>
      </c>
      <c r="C15" s="2">
        <v>17</v>
      </c>
      <c r="H15" s="3">
        <f>B15 - $B$26</f>
        <v>-6.333333333333333</v>
      </c>
      <c r="I15" s="4">
        <f>C15-$C$26</f>
        <v>6.2444444444444436</v>
      </c>
      <c r="J15" s="1">
        <f>$E$25*B15+$F$25</f>
        <v>17.451198157462446</v>
      </c>
      <c r="K15" s="1">
        <f>C15-J15</f>
        <v>-0.4511981574624464</v>
      </c>
    </row>
    <row r="16" spans="2:11" x14ac:dyDescent="0.2">
      <c r="B16" s="2">
        <v>4.5999999999999996</v>
      </c>
      <c r="C16" s="2">
        <v>16.2</v>
      </c>
      <c r="H16" s="3">
        <f t="shared" ref="H16:H23" si="0">B16 - $B$26</f>
        <v>-4.4333333333333336</v>
      </c>
      <c r="I16" s="4">
        <f t="shared" ref="I16:I23" si="1">C16-$C$26</f>
        <v>5.4444444444444429</v>
      </c>
      <c r="J16" s="1">
        <f t="shared" ref="J16:J23" si="2">$E$25*B16+$F$25</f>
        <v>15.442505376890381</v>
      </c>
      <c r="K16" s="1">
        <f t="shared" ref="K16:K23" si="3">C16-J16</f>
        <v>0.75749462310961846</v>
      </c>
    </row>
    <row r="17" spans="1:11" x14ac:dyDescent="0.2">
      <c r="B17" s="2">
        <v>6.3</v>
      </c>
      <c r="C17" s="2">
        <v>13.3</v>
      </c>
      <c r="E17" s="5" t="s">
        <v>29</v>
      </c>
      <c r="F17" s="1">
        <f>CORREL(B15:B23,C15:C23)</f>
        <v>-0.97951220100796688</v>
      </c>
      <c r="H17" s="3">
        <f t="shared" si="0"/>
        <v>-2.7333333333333334</v>
      </c>
      <c r="I17" s="4">
        <f t="shared" si="1"/>
        <v>2.5444444444444443</v>
      </c>
      <c r="J17" s="1">
        <f t="shared" si="2"/>
        <v>13.645253941641689</v>
      </c>
      <c r="K17" s="1">
        <f t="shared" si="3"/>
        <v>-0.34525394164168866</v>
      </c>
    </row>
    <row r="18" spans="1:11" x14ac:dyDescent="0.2">
      <c r="B18" s="2">
        <v>7.8</v>
      </c>
      <c r="C18" s="2">
        <v>13</v>
      </c>
      <c r="H18" s="3">
        <f t="shared" si="0"/>
        <v>-1.2333333333333334</v>
      </c>
      <c r="I18" s="4">
        <f t="shared" si="1"/>
        <v>2.2444444444444436</v>
      </c>
      <c r="J18" s="1">
        <f t="shared" si="2"/>
        <v>12.059443851716374</v>
      </c>
      <c r="K18" s="1">
        <f t="shared" si="3"/>
        <v>0.94055614828362621</v>
      </c>
    </row>
    <row r="19" spans="1:11" x14ac:dyDescent="0.2">
      <c r="B19" s="2">
        <v>9.1999999999999993</v>
      </c>
      <c r="C19" s="2">
        <v>9.6999999999999993</v>
      </c>
      <c r="E19" s="5" t="s">
        <v>8</v>
      </c>
      <c r="F19" s="1">
        <f>SUMSQ(H15:H23)</f>
        <v>131.22</v>
      </c>
      <c r="H19" s="3">
        <f t="shared" si="0"/>
        <v>0.16666666666666607</v>
      </c>
      <c r="I19" s="4">
        <f t="shared" si="1"/>
        <v>-1.0555555555555571</v>
      </c>
      <c r="J19" s="1">
        <f t="shared" si="2"/>
        <v>10.579354434452746</v>
      </c>
      <c r="K19" s="1">
        <f t="shared" si="3"/>
        <v>-0.87935443445274686</v>
      </c>
    </row>
    <row r="20" spans="1:11" x14ac:dyDescent="0.2">
      <c r="B20" s="2">
        <v>10.6</v>
      </c>
      <c r="C20" s="2">
        <v>9.9</v>
      </c>
      <c r="E20" s="5" t="s">
        <v>9</v>
      </c>
      <c r="F20" s="1">
        <f>SUMSQ(I15:I23)</f>
        <v>152.86222222222221</v>
      </c>
      <c r="H20" s="3">
        <f t="shared" si="0"/>
        <v>1.5666666666666664</v>
      </c>
      <c r="I20" s="4">
        <f t="shared" si="1"/>
        <v>-0.85555555555555607</v>
      </c>
      <c r="J20" s="1">
        <f t="shared" si="2"/>
        <v>9.0992650171891167</v>
      </c>
      <c r="K20" s="1">
        <f t="shared" si="3"/>
        <v>0.80073498281088362</v>
      </c>
    </row>
    <row r="21" spans="1:11" x14ac:dyDescent="0.2">
      <c r="B21" s="2">
        <v>12</v>
      </c>
      <c r="C21" s="2">
        <v>6.2</v>
      </c>
      <c r="E21" s="5" t="s">
        <v>10</v>
      </c>
      <c r="F21" s="1">
        <f>SUMPRODUCT(H15:H23,I15:I23)</f>
        <v>-138.72666666666663</v>
      </c>
      <c r="H21" s="3">
        <f t="shared" si="0"/>
        <v>2.9666666666666668</v>
      </c>
      <c r="I21" s="4">
        <f t="shared" si="1"/>
        <v>-4.5555555555555562</v>
      </c>
      <c r="J21" s="1">
        <f t="shared" si="2"/>
        <v>7.6191755999254891</v>
      </c>
      <c r="K21" s="1">
        <f t="shared" si="3"/>
        <v>-1.4191755999254889</v>
      </c>
    </row>
    <row r="22" spans="1:11" x14ac:dyDescent="0.2">
      <c r="B22" s="2">
        <v>13.4</v>
      </c>
      <c r="C22" s="2">
        <v>5.8</v>
      </c>
      <c r="H22" s="3">
        <f t="shared" si="0"/>
        <v>4.3666666666666671</v>
      </c>
      <c r="I22" s="4">
        <f t="shared" si="1"/>
        <v>-4.9555555555555566</v>
      </c>
      <c r="J22" s="1">
        <f t="shared" si="2"/>
        <v>6.1390861826618615</v>
      </c>
      <c r="K22" s="1">
        <f t="shared" si="3"/>
        <v>-0.33908618266186163</v>
      </c>
    </row>
    <row r="23" spans="1:11" x14ac:dyDescent="0.2">
      <c r="B23" s="2">
        <v>14.7</v>
      </c>
      <c r="C23" s="2">
        <v>5.7</v>
      </c>
      <c r="E23" s="31" t="s">
        <v>13</v>
      </c>
      <c r="F23" s="31"/>
      <c r="H23" s="3">
        <f t="shared" si="0"/>
        <v>5.6666666666666661</v>
      </c>
      <c r="I23" s="4">
        <f t="shared" si="1"/>
        <v>-5.0555555555555562</v>
      </c>
      <c r="J23" s="1">
        <f t="shared" si="2"/>
        <v>4.7647174380599218</v>
      </c>
      <c r="K23" s="1">
        <f t="shared" si="3"/>
        <v>0.93528256194007842</v>
      </c>
    </row>
    <row r="24" spans="1:11" x14ac:dyDescent="0.2">
      <c r="A24" s="10" t="s">
        <v>2</v>
      </c>
      <c r="B24">
        <f>SUM(B15:B23)</f>
        <v>81.3</v>
      </c>
      <c r="C24">
        <f>SUM(C15:C23)</f>
        <v>96.800000000000011</v>
      </c>
      <c r="E24" s="9" t="s">
        <v>14</v>
      </c>
      <c r="F24" s="9" t="s">
        <v>15</v>
      </c>
    </row>
    <row r="25" spans="1:11" x14ac:dyDescent="0.2">
      <c r="A25" s="10" t="s">
        <v>3</v>
      </c>
      <c r="B25">
        <f>SUMSQ(B15:B23)</f>
        <v>865.62999999999988</v>
      </c>
      <c r="C25">
        <f>SUMSQ(C15:C23)</f>
        <v>1194.0000000000002</v>
      </c>
      <c r="E25" s="1">
        <f>F21/F19</f>
        <v>-1.0572067266168772</v>
      </c>
      <c r="F25" s="1">
        <f>C26-E25*B26</f>
        <v>20.305656319328016</v>
      </c>
    </row>
    <row r="26" spans="1:11" x14ac:dyDescent="0.2">
      <c r="A26" s="10" t="s">
        <v>5</v>
      </c>
      <c r="B26">
        <f>AVERAGE(B15:B23)</f>
        <v>9.0333333333333332</v>
      </c>
      <c r="C26">
        <f>AVERAGE(C15:C23)</f>
        <v>10.755555555555556</v>
      </c>
    </row>
    <row r="27" spans="1:11" x14ac:dyDescent="0.2">
      <c r="A27" s="10" t="s">
        <v>6</v>
      </c>
      <c r="B27">
        <f>VARP(B15:B23)</f>
        <v>14.579999999999995</v>
      </c>
      <c r="C27">
        <f>VARP(C15:C23)</f>
        <v>16.984691358024694</v>
      </c>
      <c r="E27" s="31" t="s">
        <v>16</v>
      </c>
      <c r="F27" s="31"/>
      <c r="H27" s="5" t="s">
        <v>19</v>
      </c>
      <c r="I27" s="1">
        <f>SUMSQ(K15:K23)</f>
        <v>6.1994570610848605</v>
      </c>
      <c r="J27" s="5" t="s">
        <v>24</v>
      </c>
      <c r="K27" s="1">
        <f>I27/(COUNT(B15:B23)-2)</f>
        <v>0.88563672301212293</v>
      </c>
    </row>
    <row r="28" spans="1:11" x14ac:dyDescent="0.2">
      <c r="A28" s="10" t="s">
        <v>7</v>
      </c>
      <c r="B28">
        <f>SQRT(B27)</f>
        <v>3.8183766184073558</v>
      </c>
      <c r="C28">
        <f>SQRT(C27)</f>
        <v>4.121248761968233</v>
      </c>
      <c r="E28" s="2" t="s">
        <v>21</v>
      </c>
      <c r="F28" s="2" t="s">
        <v>22</v>
      </c>
      <c r="H28" s="5" t="s">
        <v>20</v>
      </c>
      <c r="I28" s="1">
        <f>F20-I27</f>
        <v>146.66276516113734</v>
      </c>
      <c r="J28" s="5" t="s">
        <v>25</v>
      </c>
      <c r="K28" s="1">
        <f>I28/1</f>
        <v>146.66276516113734</v>
      </c>
    </row>
    <row r="29" spans="1:11" x14ac:dyDescent="0.2">
      <c r="E29" s="1">
        <f>(COUNT(B15:B23)-2)*I28/I27</f>
        <v>165.60149477804543</v>
      </c>
      <c r="F29" s="1">
        <f>_xlfn.F.INV(1-E14,1,COUNT(B15:B23)-2)</f>
        <v>3.5894280908647973</v>
      </c>
    </row>
    <row r="30" spans="1:11" x14ac:dyDescent="0.2">
      <c r="E30" s="32" t="s">
        <v>23</v>
      </c>
      <c r="F30" s="32"/>
    </row>
    <row r="32" spans="1:11" x14ac:dyDescent="0.2">
      <c r="E32" s="31" t="s">
        <v>26</v>
      </c>
      <c r="F32" s="31"/>
      <c r="G32">
        <f>TINV(E14,COUNT(B15:B23)-2)</f>
        <v>1.8945786050900073</v>
      </c>
    </row>
    <row r="33" spans="4:6" x14ac:dyDescent="0.2">
      <c r="E33" s="5" t="s">
        <v>27</v>
      </c>
      <c r="F33" s="5" t="s">
        <v>28</v>
      </c>
    </row>
    <row r="34" spans="4:6" x14ac:dyDescent="0.2">
      <c r="D34" s="5" t="s">
        <v>14</v>
      </c>
      <c r="E34" s="1">
        <f>$E$25- $G$32*SQRT($K$27) * SQRT(1/$F$19)</f>
        <v>-1.2128536068216886</v>
      </c>
      <c r="F34" s="1">
        <f>$E$25+ $G$32*SQRT($K$27) * SQRT(1/$F$19)</f>
        <v>-0.90155984641206577</v>
      </c>
    </row>
    <row r="35" spans="4:6" x14ac:dyDescent="0.2">
      <c r="D35" s="5" t="s">
        <v>15</v>
      </c>
      <c r="E35" s="1">
        <f>$F$25- $G$32*SQRT($K$27) * SQRT($B$25/(COUNT(B15:B23)*$F$19))</f>
        <v>18.779196717687682</v>
      </c>
      <c r="F35" s="1">
        <f>$F$25 + $G$32*SQRT($K$27) * SQRT($B$25/(COUNT(C15:C23)*$F$19))</f>
        <v>21.832115920968349</v>
      </c>
    </row>
    <row r="36" spans="4:6" x14ac:dyDescent="0.2">
      <c r="D36" s="11"/>
      <c r="E36" s="12"/>
      <c r="F36" s="12"/>
    </row>
  </sheetData>
  <mergeCells count="4">
    <mergeCell ref="E23:F23"/>
    <mergeCell ref="E27:F27"/>
    <mergeCell ref="E30:F30"/>
    <mergeCell ref="E32:F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9D2F-E52C-0844-BD6F-AC7322F3CC12}">
  <dimension ref="A14:K35"/>
  <sheetViews>
    <sheetView zoomScale="130" zoomScaleNormal="130" workbookViewId="0">
      <selection activeCell="K15" sqref="K15:K23"/>
    </sheetView>
  </sheetViews>
  <sheetFormatPr baseColWidth="10" defaultRowHeight="16" x14ac:dyDescent="0.2"/>
  <sheetData>
    <row r="14" spans="2:11" x14ac:dyDescent="0.2">
      <c r="B14" s="6" t="s">
        <v>0</v>
      </c>
      <c r="C14" s="6" t="s">
        <v>1</v>
      </c>
      <c r="D14" s="10" t="s">
        <v>30</v>
      </c>
      <c r="E14">
        <v>0.01</v>
      </c>
      <c r="H14" s="7" t="s">
        <v>11</v>
      </c>
      <c r="I14" s="8" t="s">
        <v>12</v>
      </c>
      <c r="J14" s="8" t="s">
        <v>17</v>
      </c>
      <c r="K14" s="8" t="s">
        <v>18</v>
      </c>
    </row>
    <row r="15" spans="2:11" x14ac:dyDescent="0.2">
      <c r="B15" s="1">
        <v>7.9</v>
      </c>
      <c r="C15" s="1">
        <v>13</v>
      </c>
      <c r="H15" s="3">
        <f>B15-$B$26</f>
        <v>-8.5333333333333297</v>
      </c>
      <c r="I15" s="4">
        <f>C15-$C$26</f>
        <v>-18.93333333333333</v>
      </c>
      <c r="J15" s="17">
        <f>$E$25*B15+$F$25</f>
        <v>14.563681966390774</v>
      </c>
      <c r="K15" s="17">
        <f>C15-J15</f>
        <v>-1.5636819663907744</v>
      </c>
    </row>
    <row r="16" spans="2:11" x14ac:dyDescent="0.2">
      <c r="B16" s="1">
        <v>11.6</v>
      </c>
      <c r="C16" s="1">
        <v>22.8</v>
      </c>
      <c r="H16" s="3">
        <f t="shared" ref="H16:H23" si="0">B16-$B$26</f>
        <v>-4.8333333333333304</v>
      </c>
      <c r="I16" s="4">
        <f t="shared" ref="I16:I23" si="1">C16-$C$26</f>
        <v>-9.1333333333333293</v>
      </c>
      <c r="J16" s="17">
        <f t="shared" ref="J16:J23" si="2">$E$25*B16+$F$25</f>
        <v>22.095054238776026</v>
      </c>
      <c r="K16" s="17">
        <f t="shared" ref="K16:K23" si="3">C16-J16</f>
        <v>0.7049457612239749</v>
      </c>
    </row>
    <row r="17" spans="1:11" x14ac:dyDescent="0.2">
      <c r="B17" s="1">
        <v>12.8</v>
      </c>
      <c r="C17" s="1">
        <v>24.8</v>
      </c>
      <c r="D17" s="13"/>
      <c r="E17" s="14" t="s">
        <v>29</v>
      </c>
      <c r="F17" s="15">
        <f>CORREL(B15:B23,C15:C23)</f>
        <v>0.98641629539516085</v>
      </c>
      <c r="H17" s="3">
        <f t="shared" si="0"/>
        <v>-3.6333333333333293</v>
      </c>
      <c r="I17" s="4">
        <f t="shared" si="1"/>
        <v>-7.1333333333333293</v>
      </c>
      <c r="J17" s="17">
        <f t="shared" si="2"/>
        <v>24.537661462252327</v>
      </c>
      <c r="K17" s="17">
        <f t="shared" si="3"/>
        <v>0.26233853774767368</v>
      </c>
    </row>
    <row r="18" spans="1:11" x14ac:dyDescent="0.2">
      <c r="B18" s="1">
        <v>14.9</v>
      </c>
      <c r="C18" s="1">
        <v>28.6</v>
      </c>
      <c r="D18" s="13"/>
      <c r="E18" s="13"/>
      <c r="F18" s="13"/>
      <c r="H18" s="3">
        <f t="shared" si="0"/>
        <v>-1.5333333333333297</v>
      </c>
      <c r="I18" s="4">
        <f t="shared" si="1"/>
        <v>-3.3333333333333286</v>
      </c>
      <c r="J18" s="17">
        <f t="shared" si="2"/>
        <v>28.812224103335847</v>
      </c>
      <c r="K18" s="17">
        <f t="shared" si="3"/>
        <v>-0.21222410333584563</v>
      </c>
    </row>
    <row r="19" spans="1:11" x14ac:dyDescent="0.2">
      <c r="B19" s="1">
        <v>16.3</v>
      </c>
      <c r="C19" s="1">
        <v>31.6</v>
      </c>
      <c r="D19" s="13"/>
      <c r="E19" s="14" t="s">
        <v>8</v>
      </c>
      <c r="F19" s="15">
        <f>SUMSQ(H15:H23)</f>
        <v>212.64</v>
      </c>
      <c r="H19" s="3">
        <f t="shared" si="0"/>
        <v>-0.13333333333332931</v>
      </c>
      <c r="I19" s="4">
        <f t="shared" si="1"/>
        <v>-0.3333333333333286</v>
      </c>
      <c r="J19" s="17">
        <f t="shared" si="2"/>
        <v>31.661932530724862</v>
      </c>
      <c r="K19" s="17">
        <f t="shared" si="3"/>
        <v>-6.1932530724860158E-2</v>
      </c>
    </row>
    <row r="20" spans="1:11" x14ac:dyDescent="0.2">
      <c r="B20" s="1">
        <v>18.600000000000001</v>
      </c>
      <c r="C20" s="1">
        <v>38.700000000000003</v>
      </c>
      <c r="D20" s="13"/>
      <c r="E20" s="16" t="s">
        <v>9</v>
      </c>
      <c r="F20" s="17">
        <f>SUMSQ(I15:I23)</f>
        <v>905.45999999999992</v>
      </c>
      <c r="H20" s="3">
        <f t="shared" si="0"/>
        <v>2.1666666666666714</v>
      </c>
      <c r="I20" s="4">
        <f t="shared" si="1"/>
        <v>6.7666666666666728</v>
      </c>
      <c r="J20" s="17">
        <f t="shared" si="2"/>
        <v>36.343596375721098</v>
      </c>
      <c r="K20" s="17">
        <f t="shared" si="3"/>
        <v>2.3564036242789044</v>
      </c>
    </row>
    <row r="21" spans="1:11" x14ac:dyDescent="0.2">
      <c r="B21" s="1">
        <v>20.3</v>
      </c>
      <c r="C21" s="1">
        <v>40</v>
      </c>
      <c r="D21" s="13"/>
      <c r="E21" s="16" t="s">
        <v>10</v>
      </c>
      <c r="F21" s="17">
        <f>SUMPRODUCT(H15:H23,I15:I23)</f>
        <v>432.83</v>
      </c>
      <c r="H21" s="3">
        <f t="shared" si="0"/>
        <v>3.8666666666666707</v>
      </c>
      <c r="I21" s="4">
        <f t="shared" si="1"/>
        <v>8.06666666666667</v>
      </c>
      <c r="J21" s="17">
        <f t="shared" si="2"/>
        <v>39.803956608979192</v>
      </c>
      <c r="K21" s="17">
        <f t="shared" si="3"/>
        <v>0.19604339102080814</v>
      </c>
    </row>
    <row r="22" spans="1:11" x14ac:dyDescent="0.2">
      <c r="B22" s="1">
        <v>21.9</v>
      </c>
      <c r="C22" s="1">
        <v>44.9</v>
      </c>
      <c r="D22" s="13"/>
      <c r="E22" s="13"/>
      <c r="F22" s="13"/>
      <c r="H22" s="3">
        <f t="shared" si="0"/>
        <v>5.4666666666666686</v>
      </c>
      <c r="I22" s="4">
        <f t="shared" si="1"/>
        <v>12.966666666666669</v>
      </c>
      <c r="J22" s="17">
        <f t="shared" si="2"/>
        <v>43.060766240280913</v>
      </c>
      <c r="K22" s="17">
        <f t="shared" si="3"/>
        <v>1.839233759719086</v>
      </c>
    </row>
    <row r="23" spans="1:11" x14ac:dyDescent="0.2">
      <c r="B23" s="1">
        <v>23.6</v>
      </c>
      <c r="C23" s="1">
        <v>43</v>
      </c>
      <c r="D23" s="13"/>
      <c r="E23" s="33" t="s">
        <v>13</v>
      </c>
      <c r="F23" s="34"/>
      <c r="H23" s="3">
        <f t="shared" si="0"/>
        <v>7.1666666666666714</v>
      </c>
      <c r="I23" s="4">
        <f t="shared" si="1"/>
        <v>11.06666666666667</v>
      </c>
      <c r="J23" s="17">
        <f t="shared" si="2"/>
        <v>46.521126473539013</v>
      </c>
      <c r="K23" s="17">
        <f t="shared" si="3"/>
        <v>-3.5211264735390131</v>
      </c>
    </row>
    <row r="24" spans="1:11" x14ac:dyDescent="0.2">
      <c r="A24" s="10" t="s">
        <v>2</v>
      </c>
      <c r="B24">
        <f>SUM(B15:B23)</f>
        <v>147.89999999999998</v>
      </c>
      <c r="C24">
        <f>SUM(C15:C23)</f>
        <v>287.39999999999998</v>
      </c>
      <c r="D24" s="13"/>
      <c r="E24" s="19" t="s">
        <v>14</v>
      </c>
      <c r="F24" s="20" t="s">
        <v>15</v>
      </c>
    </row>
    <row r="25" spans="1:11" x14ac:dyDescent="0.2">
      <c r="A25" s="10" t="s">
        <v>3</v>
      </c>
      <c r="B25">
        <f>SUMSQ(B15:B23)</f>
        <v>2643.13</v>
      </c>
      <c r="C25">
        <f>SUMSQ(C15:C23)</f>
        <v>10083.1</v>
      </c>
      <c r="D25" s="13"/>
      <c r="E25" s="21">
        <f>F21/F19</f>
        <v>2.0355060195635817</v>
      </c>
      <c r="F25" s="17">
        <f>C26-E25*B26</f>
        <v>-1.5168155881615206</v>
      </c>
    </row>
    <row r="26" spans="1:11" x14ac:dyDescent="0.2">
      <c r="A26" s="10" t="s">
        <v>5</v>
      </c>
      <c r="B26">
        <f>AVERAGE(B15:B23)</f>
        <v>16.43333333333333</v>
      </c>
      <c r="C26">
        <f>AVERAGE(C15:C23)</f>
        <v>31.93333333333333</v>
      </c>
      <c r="D26" s="13"/>
      <c r="E26" s="13"/>
      <c r="F26" s="13"/>
    </row>
    <row r="27" spans="1:11" x14ac:dyDescent="0.2">
      <c r="A27" s="10" t="s">
        <v>6</v>
      </c>
      <c r="B27">
        <f>VARP(B15:B23)</f>
        <v>23.626666666666782</v>
      </c>
      <c r="C27">
        <f>VARPA(C15:C23)</f>
        <v>100.60666666666702</v>
      </c>
      <c r="D27" s="13"/>
      <c r="E27" s="33" t="s">
        <v>16</v>
      </c>
      <c r="F27" s="34"/>
      <c r="H27" s="14" t="s">
        <v>19</v>
      </c>
      <c r="I27" s="15">
        <f>SUMSQ(K15:K23)</f>
        <v>24.431929552295031</v>
      </c>
      <c r="J27" s="23" t="s">
        <v>24</v>
      </c>
      <c r="K27" s="15">
        <f>I27/(COUNT(B15:B23)-2)</f>
        <v>3.4902756503278618</v>
      </c>
    </row>
    <row r="28" spans="1:11" x14ac:dyDescent="0.2">
      <c r="A28" s="10" t="s">
        <v>7</v>
      </c>
      <c r="B28">
        <f>SQRT(B27)</f>
        <v>4.8607269689488612</v>
      </c>
      <c r="C28">
        <f>SQRT(C27)</f>
        <v>10.03028746680109</v>
      </c>
      <c r="D28" s="13"/>
      <c r="E28" s="3" t="s">
        <v>21</v>
      </c>
      <c r="F28" s="4" t="s">
        <v>22</v>
      </c>
      <c r="H28" s="16" t="s">
        <v>20</v>
      </c>
      <c r="I28" s="17">
        <f>F20-I27</f>
        <v>881.02807044770486</v>
      </c>
      <c r="J28" s="22" t="s">
        <v>25</v>
      </c>
      <c r="K28" s="17">
        <f>I28/1</f>
        <v>881.02807044770486</v>
      </c>
    </row>
    <row r="29" spans="1:11" x14ac:dyDescent="0.2">
      <c r="D29" s="13"/>
      <c r="E29" s="21">
        <f>(COUNT(B15:B23)-2)*I28/I27</f>
        <v>252.42363604288531</v>
      </c>
      <c r="F29" s="17">
        <f>_xlfn.F.INV(1-E14,1,COUNT(B15:B23)-2)</f>
        <v>12.246383348435076</v>
      </c>
    </row>
    <row r="30" spans="1:11" x14ac:dyDescent="0.2">
      <c r="D30" s="13"/>
      <c r="E30" s="35" t="s">
        <v>23</v>
      </c>
      <c r="F30" s="36"/>
    </row>
    <row r="31" spans="1:11" x14ac:dyDescent="0.2">
      <c r="D31" s="13"/>
      <c r="E31" s="13"/>
      <c r="F31" s="13"/>
    </row>
    <row r="32" spans="1:11" x14ac:dyDescent="0.2">
      <c r="D32" s="13"/>
      <c r="E32" s="33" t="s">
        <v>26</v>
      </c>
      <c r="F32" s="34"/>
      <c r="G32">
        <f>TINV(E14,COUNT(B15:B23)-2)</f>
        <v>3.4994832973504946</v>
      </c>
    </row>
    <row r="33" spans="4:6" x14ac:dyDescent="0.2">
      <c r="D33" s="13"/>
      <c r="E33" s="16" t="s">
        <v>27</v>
      </c>
      <c r="F33" s="22" t="s">
        <v>28</v>
      </c>
    </row>
    <row r="34" spans="4:6" x14ac:dyDescent="0.2">
      <c r="D34" s="14" t="s">
        <v>14</v>
      </c>
      <c r="E34" s="17">
        <f>$E$25 - $G$32 * SQRT($K$27) * SQRT(1/$F$19)</f>
        <v>1.587162076565759</v>
      </c>
      <c r="F34" s="17">
        <f>$E$25 + $G$32 * SQRT($K$27) * SQRT(1/$F$19)</f>
        <v>2.4838499625614041</v>
      </c>
    </row>
    <row r="35" spans="4:6" x14ac:dyDescent="0.2">
      <c r="D35" s="16" t="s">
        <v>15</v>
      </c>
      <c r="E35" s="17">
        <f>$F$25 - $G$32*SQRT($K$27) * SQRT($B$25/(COUNT(B15:B23)*$F$19))</f>
        <v>-9.2001425389890308</v>
      </c>
      <c r="F35" s="17">
        <f>$F$25 + $G$32*SQRT($K$27) * SQRT($B$25/(COUNT(B15:B23)*$F$19))</f>
        <v>6.1665113626659904</v>
      </c>
    </row>
  </sheetData>
  <mergeCells count="4">
    <mergeCell ref="E23:F23"/>
    <mergeCell ref="E27:F27"/>
    <mergeCell ref="E30:F30"/>
    <mergeCell ref="E32:F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1995-F04E-E142-9876-A047E47E9322}">
  <dimension ref="A14:K36"/>
  <sheetViews>
    <sheetView zoomScale="130" zoomScaleNormal="130" workbookViewId="0">
      <selection activeCell="H39" sqref="H39"/>
    </sheetView>
  </sheetViews>
  <sheetFormatPr baseColWidth="10" defaultRowHeight="16" x14ac:dyDescent="0.2"/>
  <sheetData>
    <row r="14" spans="2:11" x14ac:dyDescent="0.2">
      <c r="B14" s="6" t="s">
        <v>0</v>
      </c>
      <c r="C14" s="6" t="s">
        <v>1</v>
      </c>
      <c r="D14" s="10" t="s">
        <v>30</v>
      </c>
      <c r="E14">
        <v>0.05</v>
      </c>
      <c r="H14" s="7" t="s">
        <v>11</v>
      </c>
      <c r="I14" s="8" t="s">
        <v>12</v>
      </c>
      <c r="J14" s="8" t="s">
        <v>17</v>
      </c>
      <c r="K14" s="8" t="s">
        <v>18</v>
      </c>
    </row>
    <row r="15" spans="2:11" x14ac:dyDescent="0.2">
      <c r="B15" s="1">
        <v>1</v>
      </c>
      <c r="C15" s="1">
        <v>0.21</v>
      </c>
      <c r="H15" s="3">
        <f t="shared" ref="H15:H26" si="0">B15-$B$34</f>
        <v>-8</v>
      </c>
      <c r="I15" s="4">
        <f t="shared" ref="I15:I23" si="1">C15-$C$34</f>
        <v>-8.9558823529411775</v>
      </c>
      <c r="J15" s="17">
        <f t="shared" ref="J15:J31" si="2">$E$25*B15+$F$25</f>
        <v>-4.1256862745097989</v>
      </c>
      <c r="K15" s="17">
        <f>C15-J15</f>
        <v>4.3356862745097988</v>
      </c>
    </row>
    <row r="16" spans="2:11" x14ac:dyDescent="0.2">
      <c r="B16" s="1">
        <v>2</v>
      </c>
      <c r="C16" s="1">
        <v>0.32</v>
      </c>
      <c r="H16" s="3">
        <f t="shared" si="0"/>
        <v>-7</v>
      </c>
      <c r="I16" s="4">
        <f t="shared" si="1"/>
        <v>-8.8458823529411781</v>
      </c>
      <c r="J16" s="17">
        <f t="shared" si="2"/>
        <v>-2.4642401960784266</v>
      </c>
      <c r="K16" s="17">
        <f t="shared" ref="K16:K31" si="3">C16-J16</f>
        <v>2.7842401960784264</v>
      </c>
    </row>
    <row r="17" spans="1:11" x14ac:dyDescent="0.2">
      <c r="B17" s="1">
        <v>3</v>
      </c>
      <c r="C17" s="1">
        <v>0.57999999999999996</v>
      </c>
      <c r="D17" s="13"/>
      <c r="E17" s="14" t="s">
        <v>29</v>
      </c>
      <c r="F17" s="15">
        <f>CORREL(B15:B31,C15:C31)</f>
        <v>0.95374096337543035</v>
      </c>
      <c r="H17" s="3">
        <f t="shared" si="0"/>
        <v>-6</v>
      </c>
      <c r="I17" s="4">
        <f t="shared" si="1"/>
        <v>-8.5858823529411783</v>
      </c>
      <c r="J17" s="17">
        <f t="shared" si="2"/>
        <v>-0.80279411764705433</v>
      </c>
      <c r="K17" s="17">
        <f t="shared" si="3"/>
        <v>1.3827941176470544</v>
      </c>
    </row>
    <row r="18" spans="1:11" x14ac:dyDescent="0.2">
      <c r="B18" s="1">
        <v>4</v>
      </c>
      <c r="C18" s="1">
        <v>1.02</v>
      </c>
      <c r="D18" s="13"/>
      <c r="E18" s="13"/>
      <c r="F18" s="13"/>
      <c r="H18" s="3">
        <f t="shared" si="0"/>
        <v>-5</v>
      </c>
      <c r="I18" s="4">
        <f t="shared" si="1"/>
        <v>-8.1458823529411788</v>
      </c>
      <c r="J18" s="17">
        <f t="shared" si="2"/>
        <v>0.85865196078431794</v>
      </c>
      <c r="K18" s="17">
        <f t="shared" si="3"/>
        <v>0.16134803921568208</v>
      </c>
    </row>
    <row r="19" spans="1:11" x14ac:dyDescent="0.2">
      <c r="B19" s="1">
        <v>5</v>
      </c>
      <c r="C19" s="1">
        <v>1.76</v>
      </c>
      <c r="D19" s="13"/>
      <c r="E19" s="14" t="s">
        <v>8</v>
      </c>
      <c r="F19" s="15">
        <f>SUMSQ(H15:H31)</f>
        <v>408</v>
      </c>
      <c r="H19" s="3">
        <f t="shared" si="0"/>
        <v>-4</v>
      </c>
      <c r="I19" s="4">
        <f t="shared" si="1"/>
        <v>-7.4058823529411786</v>
      </c>
      <c r="J19" s="17">
        <f t="shared" si="2"/>
        <v>2.5200980392156893</v>
      </c>
      <c r="K19" s="17">
        <f t="shared" si="3"/>
        <v>-0.7600980392156893</v>
      </c>
    </row>
    <row r="20" spans="1:11" x14ac:dyDescent="0.2">
      <c r="B20" s="1">
        <v>6</v>
      </c>
      <c r="C20" s="1">
        <v>2.68</v>
      </c>
      <c r="D20" s="13"/>
      <c r="E20" s="16" t="s">
        <v>9</v>
      </c>
      <c r="F20" s="17">
        <f>SUMSQ(I15:I31)</f>
        <v>1238.1458117647057</v>
      </c>
      <c r="H20" s="3">
        <f t="shared" si="0"/>
        <v>-3</v>
      </c>
      <c r="I20" s="4">
        <f t="shared" si="1"/>
        <v>-6.4858823529411787</v>
      </c>
      <c r="J20" s="17">
        <f t="shared" si="2"/>
        <v>4.1815441176470625</v>
      </c>
      <c r="K20" s="17">
        <f t="shared" si="3"/>
        <v>-1.5015441176470623</v>
      </c>
    </row>
    <row r="21" spans="1:11" x14ac:dyDescent="0.2">
      <c r="B21" s="1">
        <v>7</v>
      </c>
      <c r="C21" s="1">
        <v>3.75</v>
      </c>
      <c r="D21" s="13"/>
      <c r="E21" s="16" t="s">
        <v>10</v>
      </c>
      <c r="F21" s="17">
        <f>SUMPRODUCT(H15:H31,I15:I31)</f>
        <v>677.86999999999989</v>
      </c>
      <c r="H21" s="3">
        <f t="shared" si="0"/>
        <v>-2</v>
      </c>
      <c r="I21" s="4">
        <f t="shared" si="1"/>
        <v>-5.4158823529411784</v>
      </c>
      <c r="J21" s="17">
        <f t="shared" si="2"/>
        <v>5.8429901960784356</v>
      </c>
      <c r="K21" s="17">
        <f t="shared" si="3"/>
        <v>-2.0929901960784356</v>
      </c>
    </row>
    <row r="22" spans="1:11" x14ac:dyDescent="0.2">
      <c r="B22" s="1">
        <v>8</v>
      </c>
      <c r="C22" s="1">
        <v>5.07</v>
      </c>
      <c r="D22" s="13"/>
      <c r="E22" s="13"/>
      <c r="F22" s="13"/>
      <c r="H22" s="3">
        <f t="shared" si="0"/>
        <v>-1</v>
      </c>
      <c r="I22" s="4">
        <f t="shared" si="1"/>
        <v>-4.0958823529411781</v>
      </c>
      <c r="J22" s="17">
        <f t="shared" si="2"/>
        <v>7.504436274509807</v>
      </c>
      <c r="K22" s="17">
        <f t="shared" si="3"/>
        <v>-2.4344362745098067</v>
      </c>
    </row>
    <row r="23" spans="1:11" x14ac:dyDescent="0.2">
      <c r="B23" s="1">
        <v>9</v>
      </c>
      <c r="C23" s="1">
        <v>6.62</v>
      </c>
      <c r="D23" s="13"/>
      <c r="E23" s="18" t="s">
        <v>13</v>
      </c>
      <c r="F23" s="25"/>
      <c r="H23" s="26">
        <f t="shared" si="0"/>
        <v>0</v>
      </c>
      <c r="I23" s="26">
        <f t="shared" si="1"/>
        <v>-2.5458823529411783</v>
      </c>
      <c r="J23" s="27">
        <f t="shared" si="2"/>
        <v>9.1658823529411784</v>
      </c>
      <c r="K23" s="27">
        <f t="shared" si="3"/>
        <v>-2.5458823529411783</v>
      </c>
    </row>
    <row r="24" spans="1:11" x14ac:dyDescent="0.2">
      <c r="B24" s="24">
        <v>10</v>
      </c>
      <c r="C24" s="1">
        <v>8.32</v>
      </c>
      <c r="D24" s="13"/>
      <c r="E24" s="19" t="s">
        <v>14</v>
      </c>
      <c r="F24" s="20" t="s">
        <v>15</v>
      </c>
      <c r="H24" s="28">
        <f t="shared" si="0"/>
        <v>1</v>
      </c>
      <c r="I24" s="26">
        <f t="shared" ref="I24:I31" si="4">C24-$C$34</f>
        <v>-0.84588235294117808</v>
      </c>
      <c r="J24" s="29">
        <f t="shared" si="2"/>
        <v>10.82732843137255</v>
      </c>
      <c r="K24" s="29">
        <f t="shared" si="3"/>
        <v>-2.5073284313725495</v>
      </c>
    </row>
    <row r="25" spans="1:11" x14ac:dyDescent="0.2">
      <c r="B25" s="24">
        <v>11</v>
      </c>
      <c r="C25" s="1">
        <v>10.210000000000001</v>
      </c>
      <c r="D25" s="13"/>
      <c r="E25" s="21">
        <f>F21/F19</f>
        <v>1.6614460784313723</v>
      </c>
      <c r="F25" s="17">
        <f>C34-E25*B34</f>
        <v>-5.7871323529411711</v>
      </c>
      <c r="H25" s="28">
        <f t="shared" si="0"/>
        <v>2</v>
      </c>
      <c r="I25" s="26">
        <f t="shared" si="4"/>
        <v>1.0441176470588225</v>
      </c>
      <c r="J25" s="29">
        <f t="shared" si="2"/>
        <v>12.488774509803925</v>
      </c>
      <c r="K25" s="29">
        <f t="shared" si="3"/>
        <v>-2.2787745098039238</v>
      </c>
    </row>
    <row r="26" spans="1:11" x14ac:dyDescent="0.2">
      <c r="B26" s="24">
        <v>12</v>
      </c>
      <c r="C26" s="1">
        <v>12.33</v>
      </c>
      <c r="D26" s="13"/>
      <c r="E26" s="13"/>
      <c r="F26" s="13"/>
      <c r="H26" s="28">
        <f t="shared" si="0"/>
        <v>3</v>
      </c>
      <c r="I26" s="26">
        <f t="shared" si="4"/>
        <v>3.1641176470588217</v>
      </c>
      <c r="J26" s="29">
        <f t="shared" si="2"/>
        <v>14.150220588235296</v>
      </c>
      <c r="K26" s="29">
        <f t="shared" si="3"/>
        <v>-1.820220588235296</v>
      </c>
    </row>
    <row r="27" spans="1:11" x14ac:dyDescent="0.2">
      <c r="B27" s="24">
        <v>13</v>
      </c>
      <c r="C27" s="1">
        <v>14.58</v>
      </c>
      <c r="D27" s="13"/>
      <c r="E27" s="33" t="s">
        <v>16</v>
      </c>
      <c r="F27" s="34"/>
      <c r="H27" s="28">
        <f t="shared" ref="H27:H31" si="5">B27-$B$34</f>
        <v>4</v>
      </c>
      <c r="I27" s="26">
        <f t="shared" si="4"/>
        <v>5.4141176470588217</v>
      </c>
      <c r="J27" s="29">
        <f t="shared" si="2"/>
        <v>15.811666666666667</v>
      </c>
      <c r="K27" s="29">
        <f t="shared" si="3"/>
        <v>-1.2316666666666674</v>
      </c>
    </row>
    <row r="28" spans="1:11" x14ac:dyDescent="0.2">
      <c r="B28" s="24">
        <v>14</v>
      </c>
      <c r="C28" s="1">
        <v>17.07</v>
      </c>
      <c r="D28" s="13"/>
      <c r="E28" s="3" t="s">
        <v>21</v>
      </c>
      <c r="F28" s="4" t="s">
        <v>22</v>
      </c>
      <c r="H28" s="28">
        <f t="shared" si="5"/>
        <v>5</v>
      </c>
      <c r="I28" s="26">
        <f t="shared" si="4"/>
        <v>7.9041176470588219</v>
      </c>
      <c r="J28" s="29">
        <f t="shared" si="2"/>
        <v>17.473112745098042</v>
      </c>
      <c r="K28" s="29">
        <f t="shared" si="3"/>
        <v>-0.40311274509804207</v>
      </c>
    </row>
    <row r="29" spans="1:11" x14ac:dyDescent="0.2">
      <c r="B29" s="24">
        <v>15</v>
      </c>
      <c r="C29" s="1">
        <v>19.53</v>
      </c>
      <c r="D29" s="13"/>
      <c r="E29" s="21">
        <f>(COUNT(B15:B31)-2)*I35/I34</f>
        <v>150.96927340657254</v>
      </c>
      <c r="F29" s="17">
        <f>_xlfn.F.INV(1-E14,1,COUNT(B15:B31)-2)</f>
        <v>4.5430771652669675</v>
      </c>
      <c r="H29" s="28">
        <f t="shared" si="5"/>
        <v>6</v>
      </c>
      <c r="I29" s="26">
        <f t="shared" si="4"/>
        <v>10.364117647058823</v>
      </c>
      <c r="J29" s="29">
        <f t="shared" si="2"/>
        <v>19.134558823529414</v>
      </c>
      <c r="K29" s="29">
        <f t="shared" si="3"/>
        <v>0.39544117647058741</v>
      </c>
    </row>
    <row r="30" spans="1:11" x14ac:dyDescent="0.2">
      <c r="B30" s="24">
        <v>16</v>
      </c>
      <c r="C30" s="1">
        <v>22.72</v>
      </c>
      <c r="D30" s="13"/>
      <c r="E30" s="35" t="s">
        <v>23</v>
      </c>
      <c r="F30" s="36"/>
      <c r="H30" s="28">
        <f t="shared" si="5"/>
        <v>7</v>
      </c>
      <c r="I30" s="26">
        <f t="shared" si="4"/>
        <v>13.55411764705882</v>
      </c>
      <c r="J30" s="29">
        <f t="shared" si="2"/>
        <v>20.796004901960785</v>
      </c>
      <c r="K30" s="29">
        <f t="shared" si="3"/>
        <v>1.9239950980392138</v>
      </c>
    </row>
    <row r="31" spans="1:11" x14ac:dyDescent="0.2">
      <c r="B31" s="24">
        <v>17</v>
      </c>
      <c r="C31" s="1">
        <v>29.05</v>
      </c>
      <c r="D31" s="13"/>
      <c r="E31" s="13"/>
      <c r="F31" s="13"/>
      <c r="H31" s="28">
        <f t="shared" si="5"/>
        <v>8</v>
      </c>
      <c r="I31" s="26">
        <f t="shared" si="4"/>
        <v>19.884117647058822</v>
      </c>
      <c r="J31" s="29">
        <f t="shared" si="2"/>
        <v>22.457450980392156</v>
      </c>
      <c r="K31" s="29">
        <f t="shared" si="3"/>
        <v>6.5925490196078442</v>
      </c>
    </row>
    <row r="32" spans="1:11" x14ac:dyDescent="0.2">
      <c r="A32" s="10" t="s">
        <v>2</v>
      </c>
      <c r="B32">
        <f>SUM(B15:B31)</f>
        <v>153</v>
      </c>
      <c r="C32">
        <f>SUM(C15:C31)</f>
        <v>155.82000000000002</v>
      </c>
      <c r="D32" s="13"/>
      <c r="E32" s="33" t="s">
        <v>26</v>
      </c>
      <c r="F32" s="34"/>
      <c r="G32">
        <f>TINV(E14,COUNT(B15:B31)-2)</f>
        <v>2.1314495455597742</v>
      </c>
    </row>
    <row r="33" spans="1:11" x14ac:dyDescent="0.2">
      <c r="A33" s="10" t="s">
        <v>3</v>
      </c>
      <c r="B33">
        <f>SUMSQ(B15:B31)</f>
        <v>1785</v>
      </c>
      <c r="C33">
        <f>SUMSQ(C15:C31)</f>
        <v>2666.3735999999999</v>
      </c>
      <c r="D33" s="13"/>
      <c r="E33" s="16" t="s">
        <v>27</v>
      </c>
      <c r="F33" s="22" t="s">
        <v>28</v>
      </c>
    </row>
    <row r="34" spans="1:11" x14ac:dyDescent="0.2">
      <c r="A34" s="10" t="s">
        <v>5</v>
      </c>
      <c r="B34">
        <f>AVERAGE(B15:B31)</f>
        <v>9</v>
      </c>
      <c r="C34">
        <f>AVERAGE(C15:C31)</f>
        <v>9.1658823529411784</v>
      </c>
      <c r="D34" s="14" t="s">
        <v>14</v>
      </c>
      <c r="E34" s="17">
        <f>$E$25 - $G$32 * SQRT($K$34) * SQRT(1/$F$19)</f>
        <v>1.3732307827125674</v>
      </c>
      <c r="F34" s="17">
        <f>$E$25 + $G$32 * SQRT($K$34) * SQRT(1/$F$19)</f>
        <v>1.9496613741501772</v>
      </c>
      <c r="H34" s="14" t="s">
        <v>19</v>
      </c>
      <c r="I34" s="15">
        <f>SUMSQ(K15:K31)</f>
        <v>111.90135857843136</v>
      </c>
      <c r="J34" s="23" t="s">
        <v>24</v>
      </c>
      <c r="K34" s="15">
        <f>I34/(COUNT(B15:B31)-2)</f>
        <v>7.4600905718954236</v>
      </c>
    </row>
    <row r="35" spans="1:11" x14ac:dyDescent="0.2">
      <c r="A35" s="10" t="s">
        <v>6</v>
      </c>
      <c r="B35">
        <f>VARP(B15:B31)</f>
        <v>24</v>
      </c>
      <c r="C35">
        <f>VARPA(C15:C31)</f>
        <v>72.83210657439443</v>
      </c>
      <c r="D35" s="16" t="s">
        <v>15</v>
      </c>
      <c r="E35" s="17">
        <f>$F$25 - $G$32*SQRT($K$34) * SQRT($B$33/(COUNT(B15:B31)*$F$19))</f>
        <v>-8.7404602981682515</v>
      </c>
      <c r="F35" s="17">
        <f>$F$25 + $G$32*SQRT($K$34) * SQRT($B$33/(COUNT(B15:B31)*$F$19))</f>
        <v>-2.8338044077140911</v>
      </c>
      <c r="H35" s="16" t="s">
        <v>20</v>
      </c>
      <c r="I35" s="17">
        <f>F20-I34</f>
        <v>1126.2444531862743</v>
      </c>
      <c r="J35" s="22" t="s">
        <v>25</v>
      </c>
      <c r="K35" s="17">
        <f>I35/1</f>
        <v>1126.2444531862743</v>
      </c>
    </row>
    <row r="36" spans="1:11" x14ac:dyDescent="0.2">
      <c r="A36" s="10" t="s">
        <v>7</v>
      </c>
      <c r="B36">
        <f>SQRT(B35)</f>
        <v>4.8989794855663558</v>
      </c>
      <c r="C36">
        <f>SQRT(C35)</f>
        <v>8.5341728699619406</v>
      </c>
    </row>
  </sheetData>
  <mergeCells count="3">
    <mergeCell ref="E32:F32"/>
    <mergeCell ref="E27:F27"/>
    <mergeCell ref="E30:F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8D48-4B93-BF44-9B80-A0B501A0BE09}">
  <dimension ref="A14:N43"/>
  <sheetViews>
    <sheetView tabSelected="1" topLeftCell="A8" zoomScale="130" zoomScaleNormal="130" workbookViewId="0">
      <selection activeCell="E31" sqref="E31"/>
    </sheetView>
  </sheetViews>
  <sheetFormatPr baseColWidth="10" defaultRowHeight="16" x14ac:dyDescent="0.2"/>
  <cols>
    <col min="6" max="6" width="12.5" customWidth="1"/>
    <col min="7" max="7" width="13.1640625" customWidth="1"/>
    <col min="10" max="10" width="12.83203125" bestFit="1" customWidth="1"/>
  </cols>
  <sheetData>
    <row r="14" spans="2:14" x14ac:dyDescent="0.2">
      <c r="B14" s="6" t="s">
        <v>0</v>
      </c>
      <c r="C14" s="6" t="s">
        <v>1</v>
      </c>
      <c r="D14" s="30" t="s">
        <v>31</v>
      </c>
      <c r="E14" s="10" t="s">
        <v>33</v>
      </c>
      <c r="F14">
        <v>0.05</v>
      </c>
      <c r="I14" s="7" t="s">
        <v>11</v>
      </c>
      <c r="J14" s="8" t="s">
        <v>12</v>
      </c>
      <c r="K14" s="8" t="s">
        <v>17</v>
      </c>
      <c r="L14" s="8" t="s">
        <v>32</v>
      </c>
      <c r="M14" s="6" t="s">
        <v>35</v>
      </c>
      <c r="N14" s="6" t="s">
        <v>36</v>
      </c>
    </row>
    <row r="15" spans="2:14" x14ac:dyDescent="0.2">
      <c r="B15" s="1">
        <v>10</v>
      </c>
      <c r="C15" s="1">
        <v>5</v>
      </c>
      <c r="D15" s="37">
        <f>COUNT(B15:B19)</f>
        <v>5</v>
      </c>
      <c r="I15" s="21">
        <f>B15-$B$41</f>
        <v>-23.541666666666664</v>
      </c>
      <c r="J15" s="17">
        <f>C15-$C$41</f>
        <v>-9.25</v>
      </c>
      <c r="K15" s="1">
        <f>B15*$F$25+$G$25</f>
        <v>9.268060562364818</v>
      </c>
      <c r="L15" s="1">
        <f>C15-K15</f>
        <v>-4.268060562364818</v>
      </c>
      <c r="M15" s="38">
        <f>AVERAGE(C15:C19)</f>
        <v>5.8</v>
      </c>
      <c r="N15" s="1">
        <f>C15-$M$15</f>
        <v>-0.79999999999999982</v>
      </c>
    </row>
    <row r="16" spans="2:14" x14ac:dyDescent="0.2">
      <c r="B16" s="1">
        <v>10</v>
      </c>
      <c r="C16" s="1">
        <v>6</v>
      </c>
      <c r="D16" s="37"/>
      <c r="I16" s="21">
        <f t="shared" ref="I16:I38" si="0">B16-$B$41</f>
        <v>-23.541666666666664</v>
      </c>
      <c r="J16" s="17">
        <f t="shared" ref="J16:J38" si="1">C16-$C$41</f>
        <v>-8.25</v>
      </c>
      <c r="K16" s="1">
        <f t="shared" ref="K16:K38" si="2">B16*$F$25+$G$25</f>
        <v>9.268060562364818</v>
      </c>
      <c r="L16" s="1">
        <f t="shared" ref="L16:L38" si="3">C16-K16</f>
        <v>-3.268060562364818</v>
      </c>
      <c r="M16" s="39"/>
      <c r="N16" s="1">
        <f t="shared" ref="N16:N19" si="4">C16-$M$15</f>
        <v>0.20000000000000018</v>
      </c>
    </row>
    <row r="17" spans="2:14" x14ac:dyDescent="0.2">
      <c r="B17" s="1">
        <v>10</v>
      </c>
      <c r="C17" s="1">
        <v>5</v>
      </c>
      <c r="D17" s="37"/>
      <c r="E17" s="13"/>
      <c r="F17" s="14" t="s">
        <v>29</v>
      </c>
      <c r="G17" s="15">
        <f>CORREL(B15:B38,C15:C38)</f>
        <v>0.74782016581240829</v>
      </c>
      <c r="H17" s="13"/>
      <c r="I17" s="21">
        <f t="shared" si="0"/>
        <v>-23.541666666666664</v>
      </c>
      <c r="J17" s="17">
        <f t="shared" si="1"/>
        <v>-9.25</v>
      </c>
      <c r="K17" s="1">
        <f t="shared" si="2"/>
        <v>9.268060562364818</v>
      </c>
      <c r="L17" s="1">
        <f t="shared" si="3"/>
        <v>-4.268060562364818</v>
      </c>
      <c r="M17" s="39"/>
      <c r="N17" s="1">
        <f t="shared" si="4"/>
        <v>-0.79999999999999982</v>
      </c>
    </row>
    <row r="18" spans="2:14" x14ac:dyDescent="0.2">
      <c r="B18" s="1">
        <v>10</v>
      </c>
      <c r="C18" s="1">
        <v>6</v>
      </c>
      <c r="D18" s="37"/>
      <c r="E18" s="13"/>
      <c r="F18" s="13"/>
      <c r="G18" s="13"/>
      <c r="H18" s="13"/>
      <c r="I18" s="21">
        <f t="shared" si="0"/>
        <v>-23.541666666666664</v>
      </c>
      <c r="J18" s="17">
        <f t="shared" si="1"/>
        <v>-8.25</v>
      </c>
      <c r="K18" s="1">
        <f t="shared" si="2"/>
        <v>9.268060562364818</v>
      </c>
      <c r="L18" s="1">
        <f t="shared" si="3"/>
        <v>-3.268060562364818</v>
      </c>
      <c r="M18" s="39"/>
      <c r="N18" s="1">
        <f t="shared" si="4"/>
        <v>0.20000000000000018</v>
      </c>
    </row>
    <row r="19" spans="2:14" x14ac:dyDescent="0.2">
      <c r="B19" s="1">
        <v>10</v>
      </c>
      <c r="C19" s="1">
        <v>7</v>
      </c>
      <c r="D19" s="37"/>
      <c r="E19" s="13"/>
      <c r="F19" s="14" t="s">
        <v>8</v>
      </c>
      <c r="G19" s="15">
        <f>SUMSQ(I15:I38)</f>
        <v>7223.9583333333348</v>
      </c>
      <c r="H19" s="13"/>
      <c r="I19" s="21">
        <f t="shared" si="0"/>
        <v>-23.541666666666664</v>
      </c>
      <c r="J19" s="17">
        <f t="shared" si="1"/>
        <v>-7.25</v>
      </c>
      <c r="K19" s="1">
        <f t="shared" si="2"/>
        <v>9.268060562364818</v>
      </c>
      <c r="L19" s="1">
        <f t="shared" si="3"/>
        <v>-2.268060562364818</v>
      </c>
      <c r="M19" s="40"/>
      <c r="N19" s="1">
        <f t="shared" si="4"/>
        <v>1.2000000000000002</v>
      </c>
    </row>
    <row r="20" spans="2:14" x14ac:dyDescent="0.2">
      <c r="B20" s="1">
        <v>20</v>
      </c>
      <c r="C20" s="1">
        <v>12</v>
      </c>
      <c r="D20" s="37">
        <f>COUNT(B20:B23)</f>
        <v>4</v>
      </c>
      <c r="E20" s="13"/>
      <c r="F20" s="16" t="s">
        <v>9</v>
      </c>
      <c r="G20" s="17">
        <f>SUMSQ(J15:J38)</f>
        <v>578.5</v>
      </c>
      <c r="H20" s="13"/>
      <c r="I20" s="21">
        <f t="shared" si="0"/>
        <v>-13.541666666666664</v>
      </c>
      <c r="J20" s="17">
        <f t="shared" si="1"/>
        <v>-2.25</v>
      </c>
      <c r="K20" s="1">
        <f t="shared" si="2"/>
        <v>11.384282624369144</v>
      </c>
      <c r="L20" s="1">
        <f t="shared" si="3"/>
        <v>0.61571737563085627</v>
      </c>
      <c r="M20" s="38">
        <f>AVERAGE(C20:C23)</f>
        <v>13</v>
      </c>
      <c r="N20" s="1">
        <f>C20-$M$20</f>
        <v>-1</v>
      </c>
    </row>
    <row r="21" spans="2:14" x14ac:dyDescent="0.2">
      <c r="B21" s="1">
        <v>20</v>
      </c>
      <c r="C21" s="1">
        <v>13</v>
      </c>
      <c r="D21" s="37"/>
      <c r="E21" s="13"/>
      <c r="F21" s="16" t="s">
        <v>10</v>
      </c>
      <c r="G21" s="17">
        <f>SUMPRODUCT(I15:I38,J15:J38)</f>
        <v>1528.7499999999998</v>
      </c>
      <c r="H21" s="13"/>
      <c r="I21" s="21">
        <f t="shared" si="0"/>
        <v>-13.541666666666664</v>
      </c>
      <c r="J21" s="17">
        <f t="shared" si="1"/>
        <v>-1.25</v>
      </c>
      <c r="K21" s="1">
        <f t="shared" si="2"/>
        <v>11.384282624369144</v>
      </c>
      <c r="L21" s="1">
        <f t="shared" si="3"/>
        <v>1.6157173756308563</v>
      </c>
      <c r="M21" s="39"/>
      <c r="N21" s="1">
        <f t="shared" ref="N21:N22" si="5">C21-$M$20</f>
        <v>0</v>
      </c>
    </row>
    <row r="22" spans="2:14" x14ac:dyDescent="0.2">
      <c r="B22" s="1">
        <v>20</v>
      </c>
      <c r="C22" s="1">
        <v>14</v>
      </c>
      <c r="D22" s="37"/>
      <c r="E22" s="13"/>
      <c r="F22" s="13"/>
      <c r="G22" s="13"/>
      <c r="H22" s="13"/>
      <c r="I22" s="21">
        <f t="shared" si="0"/>
        <v>-13.541666666666664</v>
      </c>
      <c r="J22" s="17">
        <f t="shared" si="1"/>
        <v>-0.25</v>
      </c>
      <c r="K22" s="1">
        <f t="shared" si="2"/>
        <v>11.384282624369144</v>
      </c>
      <c r="L22" s="1">
        <f t="shared" si="3"/>
        <v>2.6157173756308563</v>
      </c>
      <c r="M22" s="39"/>
      <c r="N22" s="1">
        <f t="shared" si="5"/>
        <v>1</v>
      </c>
    </row>
    <row r="23" spans="2:14" x14ac:dyDescent="0.2">
      <c r="B23" s="1">
        <v>20</v>
      </c>
      <c r="C23" s="1">
        <v>13</v>
      </c>
      <c r="D23" s="37"/>
      <c r="E23" s="13"/>
      <c r="F23" s="33" t="s">
        <v>13</v>
      </c>
      <c r="G23" s="44"/>
      <c r="H23" s="13"/>
      <c r="I23" s="21">
        <f>B23-$B$41</f>
        <v>-13.541666666666664</v>
      </c>
      <c r="J23" s="17">
        <f t="shared" si="1"/>
        <v>-1.25</v>
      </c>
      <c r="K23" s="1">
        <f t="shared" si="2"/>
        <v>11.384282624369144</v>
      </c>
      <c r="L23" s="1">
        <f t="shared" si="3"/>
        <v>1.6157173756308563</v>
      </c>
      <c r="M23" s="40"/>
      <c r="N23" s="1">
        <f>C23-$M$20</f>
        <v>0</v>
      </c>
    </row>
    <row r="24" spans="2:14" x14ac:dyDescent="0.2">
      <c r="B24" s="1">
        <v>35</v>
      </c>
      <c r="C24" s="1">
        <v>17</v>
      </c>
      <c r="D24" s="37">
        <f>COUNT(B24:B28)</f>
        <v>5</v>
      </c>
      <c r="E24" s="13"/>
      <c r="F24" s="19" t="s">
        <v>14</v>
      </c>
      <c r="G24" s="20" t="s">
        <v>15</v>
      </c>
      <c r="H24" s="13"/>
      <c r="I24" s="21">
        <f t="shared" si="0"/>
        <v>1.4583333333333357</v>
      </c>
      <c r="J24" s="17">
        <f t="shared" si="1"/>
        <v>2.75</v>
      </c>
      <c r="K24" s="1">
        <f t="shared" si="2"/>
        <v>14.558615717375631</v>
      </c>
      <c r="L24" s="1">
        <f t="shared" si="3"/>
        <v>2.4413842826243695</v>
      </c>
      <c r="M24" s="38">
        <f>AVERAGE(C24:C28)</f>
        <v>16.399999999999999</v>
      </c>
      <c r="N24" s="1">
        <f>C24-$M$24</f>
        <v>0.60000000000000142</v>
      </c>
    </row>
    <row r="25" spans="2:14" x14ac:dyDescent="0.2">
      <c r="B25" s="1">
        <v>35</v>
      </c>
      <c r="C25" s="1">
        <v>19</v>
      </c>
      <c r="D25" s="37"/>
      <c r="E25" s="13"/>
      <c r="F25" s="21">
        <f>G21/G19</f>
        <v>0.21162220620043251</v>
      </c>
      <c r="G25" s="17">
        <f>C41-F25*B41</f>
        <v>7.1518385003604932</v>
      </c>
      <c r="H25" s="13"/>
      <c r="I25" s="21">
        <f t="shared" si="0"/>
        <v>1.4583333333333357</v>
      </c>
      <c r="J25" s="17">
        <f t="shared" si="1"/>
        <v>4.75</v>
      </c>
      <c r="K25" s="1">
        <f t="shared" si="2"/>
        <v>14.558615717375631</v>
      </c>
      <c r="L25" s="1">
        <f t="shared" si="3"/>
        <v>4.4413842826243695</v>
      </c>
      <c r="M25" s="39"/>
      <c r="N25" s="1">
        <f t="shared" ref="N25:N28" si="6">C25-$M$24</f>
        <v>2.6000000000000014</v>
      </c>
    </row>
    <row r="26" spans="2:14" x14ac:dyDescent="0.2">
      <c r="B26" s="1">
        <v>35</v>
      </c>
      <c r="C26" s="1">
        <v>16</v>
      </c>
      <c r="D26" s="37"/>
      <c r="E26" s="13"/>
      <c r="F26" s="13"/>
      <c r="G26" s="13"/>
      <c r="H26" s="13"/>
      <c r="I26" s="21">
        <f t="shared" si="0"/>
        <v>1.4583333333333357</v>
      </c>
      <c r="J26" s="17">
        <f t="shared" si="1"/>
        <v>1.75</v>
      </c>
      <c r="K26" s="1">
        <f t="shared" si="2"/>
        <v>14.558615717375631</v>
      </c>
      <c r="L26" s="1">
        <f t="shared" si="3"/>
        <v>1.4413842826243695</v>
      </c>
      <c r="M26" s="39"/>
      <c r="N26" s="1">
        <f t="shared" si="6"/>
        <v>-0.39999999999999858</v>
      </c>
    </row>
    <row r="27" spans="2:14" x14ac:dyDescent="0.2">
      <c r="B27" s="1">
        <v>35</v>
      </c>
      <c r="C27" s="1">
        <v>15</v>
      </c>
      <c r="D27" s="37"/>
      <c r="E27" s="13"/>
      <c r="F27" s="33" t="s">
        <v>16</v>
      </c>
      <c r="G27" s="44"/>
      <c r="H27" s="13"/>
      <c r="I27" s="21">
        <f t="shared" si="0"/>
        <v>1.4583333333333357</v>
      </c>
      <c r="J27" s="17">
        <f t="shared" si="1"/>
        <v>0.75</v>
      </c>
      <c r="K27" s="1">
        <f t="shared" si="2"/>
        <v>14.558615717375631</v>
      </c>
      <c r="L27" s="1">
        <f t="shared" si="3"/>
        <v>0.44138428262436946</v>
      </c>
      <c r="M27" s="39"/>
      <c r="N27" s="1">
        <f t="shared" si="6"/>
        <v>-1.3999999999999986</v>
      </c>
    </row>
    <row r="28" spans="2:14" x14ac:dyDescent="0.2">
      <c r="B28" s="1">
        <v>35</v>
      </c>
      <c r="C28" s="1">
        <v>15</v>
      </c>
      <c r="D28" s="37"/>
      <c r="E28" s="13"/>
      <c r="F28" s="3" t="s">
        <v>21</v>
      </c>
      <c r="G28" s="4" t="s">
        <v>22</v>
      </c>
      <c r="H28" s="13"/>
      <c r="I28" s="21">
        <f t="shared" si="0"/>
        <v>1.4583333333333357</v>
      </c>
      <c r="J28" s="17">
        <f t="shared" si="1"/>
        <v>0.75</v>
      </c>
      <c r="K28" s="1">
        <f t="shared" si="2"/>
        <v>14.558615717375631</v>
      </c>
      <c r="L28" s="1">
        <f t="shared" si="3"/>
        <v>0.44138428262436946</v>
      </c>
      <c r="M28" s="40"/>
      <c r="N28" s="1">
        <f t="shared" si="6"/>
        <v>-1.3999999999999986</v>
      </c>
    </row>
    <row r="29" spans="2:14" x14ac:dyDescent="0.2">
      <c r="B29" s="1">
        <v>40</v>
      </c>
      <c r="C29" s="1">
        <v>18</v>
      </c>
      <c r="D29" s="37">
        <f>COUNT(B29:B33)</f>
        <v>5</v>
      </c>
      <c r="E29" s="13"/>
      <c r="F29" s="21">
        <f>(COUNT(B15:B38)-2)*J41/J40</f>
        <v>27.913219107121829</v>
      </c>
      <c r="G29" s="17">
        <f>_xlfn.F.INV(1-F14,1,COUNT(B15:B38)-2)</f>
        <v>4.300949501777656</v>
      </c>
      <c r="H29" s="13"/>
      <c r="I29" s="21">
        <f t="shared" si="0"/>
        <v>6.4583333333333357</v>
      </c>
      <c r="J29" s="17">
        <f t="shared" si="1"/>
        <v>3.75</v>
      </c>
      <c r="K29" s="1">
        <f t="shared" si="2"/>
        <v>15.616726748377793</v>
      </c>
      <c r="L29" s="1">
        <f t="shared" si="3"/>
        <v>2.3832732516222066</v>
      </c>
      <c r="M29" s="38">
        <f>AVERAGE(C29:C33)</f>
        <v>19.399999999999999</v>
      </c>
      <c r="N29" s="1">
        <f>C29-$M$29</f>
        <v>-1.3999999999999986</v>
      </c>
    </row>
    <row r="30" spans="2:14" x14ac:dyDescent="0.2">
      <c r="B30" s="1">
        <v>40</v>
      </c>
      <c r="C30" s="1">
        <v>20</v>
      </c>
      <c r="D30" s="37"/>
      <c r="E30" s="13"/>
      <c r="F30" s="35" t="s">
        <v>23</v>
      </c>
      <c r="G30" s="43"/>
      <c r="H30" s="13"/>
      <c r="I30" s="21">
        <f t="shared" si="0"/>
        <v>6.4583333333333357</v>
      </c>
      <c r="J30" s="17">
        <f t="shared" si="1"/>
        <v>5.75</v>
      </c>
      <c r="K30" s="1">
        <f t="shared" si="2"/>
        <v>15.616726748377793</v>
      </c>
      <c r="L30" s="1">
        <f t="shared" si="3"/>
        <v>4.3832732516222066</v>
      </c>
      <c r="M30" s="39"/>
      <c r="N30" s="1">
        <f t="shared" ref="N30:N33" si="7">C30-$M$29</f>
        <v>0.60000000000000142</v>
      </c>
    </row>
    <row r="31" spans="2:14" x14ac:dyDescent="0.2">
      <c r="B31" s="1">
        <v>40</v>
      </c>
      <c r="C31" s="1">
        <v>21</v>
      </c>
      <c r="D31" s="37"/>
      <c r="E31" s="13"/>
      <c r="F31" s="13"/>
      <c r="G31" s="13"/>
      <c r="H31" s="13"/>
      <c r="I31" s="21">
        <f t="shared" si="0"/>
        <v>6.4583333333333357</v>
      </c>
      <c r="J31" s="17">
        <f t="shared" si="1"/>
        <v>6.75</v>
      </c>
      <c r="K31" s="1">
        <f t="shared" si="2"/>
        <v>15.616726748377793</v>
      </c>
      <c r="L31" s="1">
        <f t="shared" si="3"/>
        <v>5.3832732516222066</v>
      </c>
      <c r="M31" s="39"/>
      <c r="N31" s="1">
        <f t="shared" si="7"/>
        <v>1.6000000000000014</v>
      </c>
    </row>
    <row r="32" spans="2:14" x14ac:dyDescent="0.2">
      <c r="B32" s="1">
        <v>40</v>
      </c>
      <c r="C32" s="1">
        <v>18</v>
      </c>
      <c r="D32" s="37"/>
      <c r="E32" s="13"/>
      <c r="F32" s="33" t="s">
        <v>26</v>
      </c>
      <c r="G32" s="44"/>
      <c r="H32" s="13"/>
      <c r="I32" s="21">
        <f t="shared" si="0"/>
        <v>6.4583333333333357</v>
      </c>
      <c r="J32" s="17">
        <f t="shared" si="1"/>
        <v>3.75</v>
      </c>
      <c r="K32" s="1">
        <f t="shared" si="2"/>
        <v>15.616726748377793</v>
      </c>
      <c r="L32" s="1">
        <f t="shared" si="3"/>
        <v>2.3832732516222066</v>
      </c>
      <c r="M32" s="39"/>
      <c r="N32" s="1">
        <f t="shared" si="7"/>
        <v>-1.3999999999999986</v>
      </c>
    </row>
    <row r="33" spans="1:14" x14ac:dyDescent="0.2">
      <c r="B33" s="1">
        <v>40</v>
      </c>
      <c r="C33" s="1">
        <v>20</v>
      </c>
      <c r="D33" s="37"/>
      <c r="E33" s="13"/>
      <c r="F33" s="16" t="s">
        <v>27</v>
      </c>
      <c r="G33" s="22" t="s">
        <v>28</v>
      </c>
      <c r="H33" s="13"/>
      <c r="I33" s="21">
        <f t="shared" si="0"/>
        <v>6.4583333333333357</v>
      </c>
      <c r="J33" s="17">
        <f t="shared" si="1"/>
        <v>5.75</v>
      </c>
      <c r="K33" s="1">
        <f t="shared" si="2"/>
        <v>15.616726748377793</v>
      </c>
      <c r="L33" s="1">
        <f t="shared" si="3"/>
        <v>4.3832732516222066</v>
      </c>
      <c r="M33" s="40"/>
      <c r="N33" s="1">
        <f t="shared" si="7"/>
        <v>0.60000000000000142</v>
      </c>
    </row>
    <row r="34" spans="1:14" x14ac:dyDescent="0.2">
      <c r="B34" s="1">
        <v>60</v>
      </c>
      <c r="C34" s="1">
        <v>17</v>
      </c>
      <c r="D34" s="37">
        <f>COUNT(B34:B38)</f>
        <v>5</v>
      </c>
      <c r="E34" s="14" t="s">
        <v>14</v>
      </c>
      <c r="F34" s="17"/>
      <c r="G34" s="17"/>
      <c r="H34" s="13"/>
      <c r="I34" s="21">
        <f t="shared" si="0"/>
        <v>26.458333333333336</v>
      </c>
      <c r="J34" s="17">
        <f t="shared" si="1"/>
        <v>2.75</v>
      </c>
      <c r="K34" s="1">
        <f t="shared" si="2"/>
        <v>19.849170872386445</v>
      </c>
      <c r="L34" s="1">
        <f t="shared" si="3"/>
        <v>-2.8491708723864448</v>
      </c>
      <c r="M34" s="38">
        <f>AVERAGE(C34:C38)</f>
        <v>16.399999999999999</v>
      </c>
      <c r="N34" s="1">
        <f>C34-$M$34</f>
        <v>0.60000000000000142</v>
      </c>
    </row>
    <row r="35" spans="1:14" x14ac:dyDescent="0.2">
      <c r="B35" s="1">
        <v>60</v>
      </c>
      <c r="C35" s="1">
        <v>19</v>
      </c>
      <c r="D35" s="37"/>
      <c r="E35" s="16" t="s">
        <v>15</v>
      </c>
      <c r="F35" s="17"/>
      <c r="G35" s="17"/>
      <c r="H35" s="13"/>
      <c r="I35" s="21">
        <f t="shared" si="0"/>
        <v>26.458333333333336</v>
      </c>
      <c r="J35" s="17">
        <f t="shared" si="1"/>
        <v>4.75</v>
      </c>
      <c r="K35" s="1">
        <f t="shared" si="2"/>
        <v>19.849170872386445</v>
      </c>
      <c r="L35" s="1">
        <f t="shared" si="3"/>
        <v>-0.84917087238644484</v>
      </c>
      <c r="M35" s="39"/>
      <c r="N35" s="1">
        <f t="shared" ref="N35:N38" si="8">C35-$M$34</f>
        <v>2.6000000000000014</v>
      </c>
    </row>
    <row r="36" spans="1:14" x14ac:dyDescent="0.2">
      <c r="B36" s="1">
        <v>60</v>
      </c>
      <c r="C36" s="1">
        <v>16</v>
      </c>
      <c r="D36" s="37"/>
      <c r="I36" s="21">
        <f t="shared" si="0"/>
        <v>26.458333333333336</v>
      </c>
      <c r="J36" s="17">
        <f t="shared" si="1"/>
        <v>1.75</v>
      </c>
      <c r="K36" s="1">
        <f t="shared" si="2"/>
        <v>19.849170872386445</v>
      </c>
      <c r="L36" s="1">
        <f t="shared" si="3"/>
        <v>-3.8491708723864448</v>
      </c>
      <c r="M36" s="39"/>
      <c r="N36" s="1">
        <f t="shared" si="8"/>
        <v>-0.39999999999999858</v>
      </c>
    </row>
    <row r="37" spans="1:14" x14ac:dyDescent="0.2">
      <c r="B37" s="1">
        <v>60</v>
      </c>
      <c r="C37" s="1">
        <v>14</v>
      </c>
      <c r="D37" s="37"/>
      <c r="F37" s="41" t="s">
        <v>38</v>
      </c>
      <c r="G37" s="41"/>
      <c r="I37" s="21">
        <f t="shared" si="0"/>
        <v>26.458333333333336</v>
      </c>
      <c r="J37" s="17">
        <f t="shared" si="1"/>
        <v>-0.25</v>
      </c>
      <c r="K37" s="1">
        <f t="shared" si="2"/>
        <v>19.849170872386445</v>
      </c>
      <c r="L37" s="1">
        <f t="shared" si="3"/>
        <v>-5.8491708723864448</v>
      </c>
      <c r="M37" s="39"/>
      <c r="N37" s="1">
        <f t="shared" si="8"/>
        <v>-2.3999999999999986</v>
      </c>
    </row>
    <row r="38" spans="1:14" x14ac:dyDescent="0.2">
      <c r="B38" s="1">
        <v>60</v>
      </c>
      <c r="C38" s="1">
        <v>16</v>
      </c>
      <c r="D38" s="37"/>
      <c r="F38" s="5" t="s">
        <v>21</v>
      </c>
      <c r="G38" s="5" t="s">
        <v>22</v>
      </c>
      <c r="I38" s="21">
        <f t="shared" si="0"/>
        <v>26.458333333333336</v>
      </c>
      <c r="J38" s="17">
        <f t="shared" si="1"/>
        <v>1.75</v>
      </c>
      <c r="K38" s="1">
        <f t="shared" si="2"/>
        <v>19.849170872386445</v>
      </c>
      <c r="L38" s="1">
        <f t="shared" si="3"/>
        <v>-3.8491708723864448</v>
      </c>
      <c r="M38" s="40"/>
      <c r="N38" s="1">
        <f t="shared" si="8"/>
        <v>-0.39999999999999858</v>
      </c>
    </row>
    <row r="39" spans="1:14" x14ac:dyDescent="0.2">
      <c r="A39" s="10" t="s">
        <v>2</v>
      </c>
      <c r="B39">
        <f>SUM(B15:B38)</f>
        <v>805</v>
      </c>
      <c r="C39">
        <f>SUM(C15:C38)</f>
        <v>342</v>
      </c>
      <c r="F39" s="1">
        <f>J43/J42 * (COUNT(C15:C38)-5)/3</f>
        <v>7.2728157401623376E+16</v>
      </c>
      <c r="G39" s="1">
        <f>_xlfn.F.INV(1-F14,3,COUNT(C15:C38)-5)</f>
        <v>3.1273500051133976</v>
      </c>
    </row>
    <row r="40" spans="1:14" x14ac:dyDescent="0.2">
      <c r="A40" s="10" t="s">
        <v>3</v>
      </c>
      <c r="B40">
        <f>SUMSQ(B15:B38)</f>
        <v>34225</v>
      </c>
      <c r="C40">
        <f>SUMSQ(C15:C38)</f>
        <v>5452</v>
      </c>
      <c r="F40" s="42" t="s">
        <v>39</v>
      </c>
      <c r="G40" s="42"/>
      <c r="I40" s="14" t="s">
        <v>19</v>
      </c>
      <c r="J40" s="15">
        <f>SUMSQ(L15:L38)</f>
        <v>254.98255227108879</v>
      </c>
      <c r="K40" s="23" t="s">
        <v>24</v>
      </c>
      <c r="L40" s="15">
        <f>J40/(COUNT(B15:B38)-2)</f>
        <v>11.590116012322218</v>
      </c>
    </row>
    <row r="41" spans="1:14" x14ac:dyDescent="0.2">
      <c r="A41" s="10" t="s">
        <v>5</v>
      </c>
      <c r="B41">
        <f>AVERAGE(B15:B38)</f>
        <v>33.541666666666664</v>
      </c>
      <c r="C41">
        <f>AVERAGE(C15:C38)</f>
        <v>14.25</v>
      </c>
      <c r="I41" s="16" t="s">
        <v>20</v>
      </c>
      <c r="J41" s="17">
        <f>G20-J40</f>
        <v>323.51744772891118</v>
      </c>
      <c r="K41" s="22" t="s">
        <v>25</v>
      </c>
      <c r="L41" s="17">
        <f>J41/1</f>
        <v>323.51744772891118</v>
      </c>
    </row>
    <row r="42" spans="1:14" x14ac:dyDescent="0.2">
      <c r="A42" s="10" t="s">
        <v>6</v>
      </c>
      <c r="B42">
        <f>VARP(B15:B38)</f>
        <v>300.99826388888891</v>
      </c>
      <c r="C42">
        <f>VARP(C15:C38)</f>
        <v>24.104166666666668</v>
      </c>
      <c r="I42" s="5" t="s">
        <v>34</v>
      </c>
      <c r="J42" s="1">
        <f>SUM(N15:N38)</f>
        <v>2.2204460492503131E-14</v>
      </c>
    </row>
    <row r="43" spans="1:14" x14ac:dyDescent="0.2">
      <c r="A43" s="10" t="s">
        <v>7</v>
      </c>
      <c r="B43">
        <f>SQRT(B42)</f>
        <v>17.349301538934899</v>
      </c>
      <c r="C43">
        <f>SQRT(C42)</f>
        <v>4.909599440551812</v>
      </c>
      <c r="I43" s="5" t="s">
        <v>37</v>
      </c>
      <c r="J43" s="1">
        <f>J40-J42</f>
        <v>254.98255227108876</v>
      </c>
    </row>
  </sheetData>
  <mergeCells count="16">
    <mergeCell ref="M15:M19"/>
    <mergeCell ref="M20:M23"/>
    <mergeCell ref="M24:M28"/>
    <mergeCell ref="M29:M33"/>
    <mergeCell ref="M34:M38"/>
    <mergeCell ref="F37:G37"/>
    <mergeCell ref="F40:G40"/>
    <mergeCell ref="F30:G30"/>
    <mergeCell ref="F23:G23"/>
    <mergeCell ref="F27:G27"/>
    <mergeCell ref="F32:G32"/>
    <mergeCell ref="D15:D19"/>
    <mergeCell ref="D20:D23"/>
    <mergeCell ref="D24:D28"/>
    <mergeCell ref="D29:D33"/>
    <mergeCell ref="D34:D38"/>
  </mergeCells>
  <pageMargins left="0.7" right="0.7" top="0.75" bottom="0.75" header="0.3" footer="0.3"/>
  <ignoredErrors>
    <ignoredError sqref="D15 D20 D24 D29 D34 M15 M2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19.330</vt:lpstr>
      <vt:lpstr>19.331</vt:lpstr>
      <vt:lpstr>19.332</vt:lpstr>
      <vt:lpstr>19.333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2020-11-12T23:24:36Z</dcterms:created>
  <dcterms:modified xsi:type="dcterms:W3CDTF">2020-11-14T06:43:14Z</dcterms:modified>
</cp:coreProperties>
</file>