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Red3_WD/Backup_3_19_22/brad_files/WSU/new_data_3_23_22/signac_aggregator/noble_gas_free_energies/rev_2/gomc_lrc/project/analysis/"/>
    </mc:Choice>
  </mc:AlternateContent>
  <xr:revisionPtr revIDLastSave="0" documentId="13_ncr:1_{EBB77128-3AA8-C140-B193-C0FF946C48D6}" xr6:coauthVersionLast="47" xr6:coauthVersionMax="47" xr10:uidLastSave="{00000000-0000-0000-0000-000000000000}"/>
  <bookViews>
    <workbookView xWindow="-33920" yWindow="880" windowWidth="32420" windowHeight="16840" tabRatio="500" firstSheet="4" activeTab="7" xr2:uid="{00000000-000D-0000-FFFF-FFFF00000000}"/>
  </bookViews>
  <sheets>
    <sheet name="SPCE" sheetId="1" r:id="rId1"/>
    <sheet name="SPC" sheetId="2" r:id="rId2"/>
    <sheet name="MSPCE" sheetId="3" r:id="rId3"/>
    <sheet name="TIP4P2005" sheetId="4" r:id="rId4"/>
    <sheet name="Comparison" sheetId="5" r:id="rId5"/>
    <sheet name="TIP4P_densityies" sheetId="6" r:id="rId6"/>
    <sheet name="Vrabec_et_al_and_Rn_Mick_et_al" sheetId="7" r:id="rId7"/>
    <sheet name="Experimental_Nist" sheetId="8" r:id="rId8"/>
    <sheet name="Experimental_Crovetto_et_al" sheetId="9" r:id="rId9"/>
    <sheet name="Warr_et_al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3" i="8" l="1"/>
  <c r="C74" i="8"/>
  <c r="C75" i="8"/>
  <c r="C76" i="8"/>
  <c r="C77" i="8"/>
  <c r="C72" i="8"/>
  <c r="C12" i="8"/>
  <c r="C13" i="8"/>
  <c r="C14" i="8"/>
  <c r="C15" i="8"/>
  <c r="D15" i="8" s="1"/>
  <c r="C16" i="8"/>
  <c r="E16" i="8" s="1"/>
  <c r="C11" i="8"/>
  <c r="D77" i="8"/>
  <c r="E76" i="8"/>
  <c r="F76" i="8" s="1"/>
  <c r="D75" i="8"/>
  <c r="D74" i="8"/>
  <c r="D73" i="8"/>
  <c r="D72" i="8"/>
  <c r="G40" i="9"/>
  <c r="G39" i="9"/>
  <c r="G38" i="9"/>
  <c r="G37" i="9"/>
  <c r="G36" i="9"/>
  <c r="G35" i="9"/>
  <c r="G31" i="9"/>
  <c r="G30" i="9"/>
  <c r="G29" i="9"/>
  <c r="G28" i="9"/>
  <c r="G27" i="9"/>
  <c r="G26" i="9"/>
  <c r="G22" i="9"/>
  <c r="G21" i="9"/>
  <c r="G20" i="9"/>
  <c r="G19" i="9"/>
  <c r="G18" i="9"/>
  <c r="G17" i="9"/>
  <c r="G16" i="9"/>
  <c r="G15" i="9"/>
  <c r="G11" i="9"/>
  <c r="G10" i="9"/>
  <c r="G9" i="9"/>
  <c r="G8" i="9"/>
  <c r="G7" i="9"/>
  <c r="G6" i="9"/>
  <c r="G5" i="9"/>
  <c r="D65" i="8"/>
  <c r="C65" i="8"/>
  <c r="E65" i="8" s="1"/>
  <c r="F64" i="8"/>
  <c r="E64" i="8"/>
  <c r="C64" i="8"/>
  <c r="D64" i="8" s="1"/>
  <c r="D63" i="8"/>
  <c r="C63" i="8"/>
  <c r="E63" i="8" s="1"/>
  <c r="F62" i="8"/>
  <c r="E62" i="8"/>
  <c r="C62" i="8"/>
  <c r="D62" i="8" s="1"/>
  <c r="D61" i="8"/>
  <c r="C61" i="8"/>
  <c r="E61" i="8" s="1"/>
  <c r="F60" i="8"/>
  <c r="E60" i="8"/>
  <c r="C60" i="8"/>
  <c r="D60" i="8" s="1"/>
  <c r="D53" i="8"/>
  <c r="C53" i="8"/>
  <c r="E53" i="8" s="1"/>
  <c r="F52" i="8"/>
  <c r="E52" i="8"/>
  <c r="C52" i="8"/>
  <c r="D52" i="8" s="1"/>
  <c r="D51" i="8"/>
  <c r="C51" i="8"/>
  <c r="E51" i="8" s="1"/>
  <c r="F50" i="8"/>
  <c r="E50" i="8"/>
  <c r="C50" i="8"/>
  <c r="D50" i="8" s="1"/>
  <c r="D49" i="8"/>
  <c r="C49" i="8"/>
  <c r="E49" i="8" s="1"/>
  <c r="F48" i="8"/>
  <c r="E48" i="8"/>
  <c r="C48" i="8"/>
  <c r="D48" i="8" s="1"/>
  <c r="D41" i="8"/>
  <c r="C41" i="8"/>
  <c r="E41" i="8" s="1"/>
  <c r="F40" i="8"/>
  <c r="E40" i="8"/>
  <c r="C40" i="8"/>
  <c r="D40" i="8" s="1"/>
  <c r="D39" i="8"/>
  <c r="C39" i="8"/>
  <c r="E39" i="8" s="1"/>
  <c r="F38" i="8"/>
  <c r="E38" i="8"/>
  <c r="C38" i="8"/>
  <c r="D38" i="8" s="1"/>
  <c r="C37" i="8"/>
  <c r="E37" i="8" s="1"/>
  <c r="F36" i="8"/>
  <c r="E36" i="8"/>
  <c r="C36" i="8"/>
  <c r="D36" i="8" s="1"/>
  <c r="C28" i="8"/>
  <c r="E28" i="8" s="1"/>
  <c r="F27" i="8"/>
  <c r="E27" i="8"/>
  <c r="C27" i="8"/>
  <c r="D27" i="8" s="1"/>
  <c r="D26" i="8"/>
  <c r="C26" i="8"/>
  <c r="E26" i="8" s="1"/>
  <c r="F25" i="8"/>
  <c r="E25" i="8"/>
  <c r="C25" i="8"/>
  <c r="D25" i="8" s="1"/>
  <c r="D24" i="8"/>
  <c r="C24" i="8"/>
  <c r="E24" i="8" s="1"/>
  <c r="F23" i="8"/>
  <c r="E23" i="8"/>
  <c r="C23" i="8"/>
  <c r="D23" i="8" s="1"/>
  <c r="E14" i="8"/>
  <c r="E13" i="8"/>
  <c r="F13" i="8" s="1"/>
  <c r="D13" i="8"/>
  <c r="E12" i="8"/>
  <c r="D11" i="8"/>
  <c r="B4" i="8"/>
  <c r="B3" i="8"/>
  <c r="S65" i="7"/>
  <c r="T65" i="7" s="1"/>
  <c r="U65" i="7" s="1"/>
  <c r="O65" i="7"/>
  <c r="P65" i="7" s="1"/>
  <c r="Q65" i="7" s="1"/>
  <c r="L65" i="7"/>
  <c r="K65" i="7"/>
  <c r="F65" i="7"/>
  <c r="G65" i="7" s="1"/>
  <c r="H65" i="7" s="1"/>
  <c r="E65" i="7"/>
  <c r="B65" i="7"/>
  <c r="S64" i="7"/>
  <c r="T64" i="7" s="1"/>
  <c r="U64" i="7" s="1"/>
  <c r="O64" i="7"/>
  <c r="P64" i="7" s="1"/>
  <c r="Q64" i="7" s="1"/>
  <c r="E64" i="7"/>
  <c r="F64" i="7" s="1"/>
  <c r="G64" i="7" s="1"/>
  <c r="H64" i="7" s="1"/>
  <c r="B64" i="7"/>
  <c r="S63" i="7"/>
  <c r="T63" i="7" s="1"/>
  <c r="U63" i="7" s="1"/>
  <c r="O63" i="7"/>
  <c r="E63" i="7"/>
  <c r="F63" i="7" s="1"/>
  <c r="G63" i="7" s="1"/>
  <c r="H63" i="7" s="1"/>
  <c r="B63" i="7"/>
  <c r="P63" i="7" s="1"/>
  <c r="Q63" i="7" s="1"/>
  <c r="S62" i="7"/>
  <c r="O62" i="7"/>
  <c r="E62" i="7"/>
  <c r="B62" i="7"/>
  <c r="S61" i="7"/>
  <c r="P61" i="7"/>
  <c r="Q61" i="7" s="1"/>
  <c r="O61" i="7"/>
  <c r="E61" i="7"/>
  <c r="F61" i="7" s="1"/>
  <c r="G61" i="7" s="1"/>
  <c r="B61" i="7"/>
  <c r="T60" i="7"/>
  <c r="U60" i="7" s="1"/>
  <c r="S60" i="7"/>
  <c r="O60" i="7"/>
  <c r="P60" i="7" s="1"/>
  <c r="Q60" i="7" s="1"/>
  <c r="E60" i="7"/>
  <c r="F60" i="7" s="1"/>
  <c r="G60" i="7" s="1"/>
  <c r="H60" i="7" s="1"/>
  <c r="B60" i="7"/>
  <c r="S59" i="7"/>
  <c r="T59" i="7" s="1"/>
  <c r="U59" i="7" s="1"/>
  <c r="O59" i="7"/>
  <c r="P59" i="7" s="1"/>
  <c r="Q59" i="7" s="1"/>
  <c r="E59" i="7"/>
  <c r="B59" i="7"/>
  <c r="F59" i="7" s="1"/>
  <c r="G59" i="7" s="1"/>
  <c r="S55" i="7"/>
  <c r="T55" i="7" s="1"/>
  <c r="U55" i="7" s="1"/>
  <c r="O55" i="7"/>
  <c r="L55" i="7"/>
  <c r="K55" i="7"/>
  <c r="E55" i="7"/>
  <c r="F55" i="7" s="1"/>
  <c r="G55" i="7" s="1"/>
  <c r="H55" i="7" s="1"/>
  <c r="B55" i="7"/>
  <c r="P55" i="7" s="1"/>
  <c r="Q55" i="7" s="1"/>
  <c r="S54" i="7"/>
  <c r="T54" i="7" s="1"/>
  <c r="U54" i="7" s="1"/>
  <c r="O54" i="7"/>
  <c r="P54" i="7" s="1"/>
  <c r="Q54" i="7" s="1"/>
  <c r="E54" i="7"/>
  <c r="B54" i="7"/>
  <c r="F54" i="7" s="1"/>
  <c r="G54" i="7" s="1"/>
  <c r="H54" i="7" s="1"/>
  <c r="S53" i="7"/>
  <c r="T53" i="7" s="1"/>
  <c r="U53" i="7" s="1"/>
  <c r="O53" i="7"/>
  <c r="E53" i="7"/>
  <c r="B53" i="7"/>
  <c r="F53" i="7" s="1"/>
  <c r="G53" i="7" s="1"/>
  <c r="S52" i="7"/>
  <c r="O52" i="7"/>
  <c r="P52" i="7" s="1"/>
  <c r="Q52" i="7" s="1"/>
  <c r="F52" i="7"/>
  <c r="G52" i="7" s="1"/>
  <c r="E52" i="7"/>
  <c r="B52" i="7"/>
  <c r="S51" i="7"/>
  <c r="T51" i="7" s="1"/>
  <c r="U51" i="7" s="1"/>
  <c r="O51" i="7"/>
  <c r="P51" i="7" s="1"/>
  <c r="Q51" i="7" s="1"/>
  <c r="E51" i="7"/>
  <c r="F51" i="7" s="1"/>
  <c r="G51" i="7" s="1"/>
  <c r="B51" i="7"/>
  <c r="S50" i="7"/>
  <c r="T50" i="7" s="1"/>
  <c r="U50" i="7" s="1"/>
  <c r="O50" i="7"/>
  <c r="E50" i="7"/>
  <c r="F50" i="7" s="1"/>
  <c r="G50" i="7" s="1"/>
  <c r="B50" i="7"/>
  <c r="P50" i="7" s="1"/>
  <c r="Q50" i="7" s="1"/>
  <c r="S49" i="7"/>
  <c r="O49" i="7"/>
  <c r="E49" i="7"/>
  <c r="B49" i="7"/>
  <c r="S45" i="7"/>
  <c r="O45" i="7"/>
  <c r="L45" i="7"/>
  <c r="K45" i="7"/>
  <c r="E45" i="7"/>
  <c r="F45" i="7" s="1"/>
  <c r="G45" i="7" s="1"/>
  <c r="B45" i="7"/>
  <c r="P45" i="7" s="1"/>
  <c r="Q45" i="7" s="1"/>
  <c r="S44" i="7"/>
  <c r="O44" i="7"/>
  <c r="E44" i="7"/>
  <c r="B44" i="7"/>
  <c r="S43" i="7"/>
  <c r="P43" i="7"/>
  <c r="Q43" i="7" s="1"/>
  <c r="O43" i="7"/>
  <c r="E43" i="7"/>
  <c r="F43" i="7" s="1"/>
  <c r="G43" i="7" s="1"/>
  <c r="B43" i="7"/>
  <c r="T42" i="7"/>
  <c r="U42" i="7" s="1"/>
  <c r="S42" i="7"/>
  <c r="O42" i="7"/>
  <c r="P42" i="7" s="1"/>
  <c r="Q42" i="7" s="1"/>
  <c r="E42" i="7"/>
  <c r="F42" i="7" s="1"/>
  <c r="G42" i="7" s="1"/>
  <c r="H42" i="7" s="1"/>
  <c r="B42" i="7"/>
  <c r="S41" i="7"/>
  <c r="T41" i="7" s="1"/>
  <c r="U41" i="7" s="1"/>
  <c r="O41" i="7"/>
  <c r="P41" i="7" s="1"/>
  <c r="Q41" i="7" s="1"/>
  <c r="E41" i="7"/>
  <c r="B41" i="7"/>
  <c r="F41" i="7" s="1"/>
  <c r="G41" i="7" s="1"/>
  <c r="S40" i="7"/>
  <c r="T40" i="7" s="1"/>
  <c r="U40" i="7" s="1"/>
  <c r="O40" i="7"/>
  <c r="E40" i="7"/>
  <c r="B40" i="7"/>
  <c r="F40" i="7" s="1"/>
  <c r="G40" i="7" s="1"/>
  <c r="S39" i="7"/>
  <c r="O39" i="7"/>
  <c r="P39" i="7" s="1"/>
  <c r="Q39" i="7" s="1"/>
  <c r="F39" i="7"/>
  <c r="G39" i="7" s="1"/>
  <c r="E39" i="7"/>
  <c r="B39" i="7"/>
  <c r="S35" i="7"/>
  <c r="T35" i="7" s="1"/>
  <c r="U35" i="7" s="1"/>
  <c r="O35" i="7"/>
  <c r="P35" i="7" s="1"/>
  <c r="Q35" i="7" s="1"/>
  <c r="L35" i="7"/>
  <c r="K35" i="7"/>
  <c r="E35" i="7"/>
  <c r="B35" i="7"/>
  <c r="F35" i="7" s="1"/>
  <c r="G35" i="7" s="1"/>
  <c r="S34" i="7"/>
  <c r="O34" i="7"/>
  <c r="P34" i="7" s="1"/>
  <c r="Q34" i="7" s="1"/>
  <c r="F34" i="7"/>
  <c r="G34" i="7" s="1"/>
  <c r="E34" i="7"/>
  <c r="B34" i="7"/>
  <c r="S33" i="7"/>
  <c r="T33" i="7" s="1"/>
  <c r="U33" i="7" s="1"/>
  <c r="O33" i="7"/>
  <c r="P33" i="7" s="1"/>
  <c r="Q33" i="7" s="1"/>
  <c r="E33" i="7"/>
  <c r="F33" i="7" s="1"/>
  <c r="G33" i="7" s="1"/>
  <c r="B33" i="7"/>
  <c r="S32" i="7"/>
  <c r="T32" i="7" s="1"/>
  <c r="U32" i="7" s="1"/>
  <c r="O32" i="7"/>
  <c r="E32" i="7"/>
  <c r="B32" i="7"/>
  <c r="P32" i="7" s="1"/>
  <c r="Q32" i="7" s="1"/>
  <c r="S31" i="7"/>
  <c r="O31" i="7"/>
  <c r="P31" i="7" s="1"/>
  <c r="Q31" i="7" s="1"/>
  <c r="E31" i="7"/>
  <c r="B31" i="7"/>
  <c r="S30" i="7"/>
  <c r="T30" i="7" s="1"/>
  <c r="U30" i="7" s="1"/>
  <c r="P30" i="7"/>
  <c r="Q30" i="7" s="1"/>
  <c r="O30" i="7"/>
  <c r="E30" i="7"/>
  <c r="F30" i="7" s="1"/>
  <c r="G30" i="7" s="1"/>
  <c r="H30" i="7" s="1"/>
  <c r="B30" i="7"/>
  <c r="T29" i="7"/>
  <c r="U29" i="7" s="1"/>
  <c r="S29" i="7"/>
  <c r="O29" i="7"/>
  <c r="P29" i="7" s="1"/>
  <c r="Q29" i="7" s="1"/>
  <c r="E29" i="7"/>
  <c r="F29" i="7" s="1"/>
  <c r="G29" i="7" s="1"/>
  <c r="B29" i="7"/>
  <c r="S25" i="7"/>
  <c r="T25" i="7" s="1"/>
  <c r="U25" i="7" s="1"/>
  <c r="O25" i="7"/>
  <c r="L25" i="7"/>
  <c r="K25" i="7"/>
  <c r="E25" i="7"/>
  <c r="F25" i="7" s="1"/>
  <c r="G25" i="7" s="1"/>
  <c r="B25" i="7"/>
  <c r="P25" i="7" s="1"/>
  <c r="Q25" i="7" s="1"/>
  <c r="T24" i="7"/>
  <c r="U24" i="7" s="1"/>
  <c r="S24" i="7"/>
  <c r="O24" i="7"/>
  <c r="P24" i="7" s="1"/>
  <c r="Q24" i="7" s="1"/>
  <c r="E24" i="7"/>
  <c r="F24" i="7" s="1"/>
  <c r="G24" i="7" s="1"/>
  <c r="H24" i="7" s="1"/>
  <c r="B24" i="7"/>
  <c r="S23" i="7"/>
  <c r="T23" i="7" s="1"/>
  <c r="U23" i="7" s="1"/>
  <c r="O23" i="7"/>
  <c r="E23" i="7"/>
  <c r="B23" i="7"/>
  <c r="S22" i="7"/>
  <c r="O22" i="7"/>
  <c r="E22" i="7"/>
  <c r="F22" i="7" s="1"/>
  <c r="G22" i="7" s="1"/>
  <c r="B22" i="7"/>
  <c r="S21" i="7"/>
  <c r="O21" i="7"/>
  <c r="P21" i="7" s="1"/>
  <c r="Q21" i="7" s="1"/>
  <c r="F21" i="7"/>
  <c r="G21" i="7" s="1"/>
  <c r="E21" i="7"/>
  <c r="B21" i="7"/>
  <c r="S20" i="7"/>
  <c r="T20" i="7" s="1"/>
  <c r="U20" i="7" s="1"/>
  <c r="O20" i="7"/>
  <c r="P20" i="7" s="1"/>
  <c r="Q20" i="7" s="1"/>
  <c r="E20" i="7"/>
  <c r="F20" i="7" s="1"/>
  <c r="G20" i="7" s="1"/>
  <c r="H20" i="7" s="1"/>
  <c r="B20" i="7"/>
  <c r="S19" i="7"/>
  <c r="T19" i="7" s="1"/>
  <c r="U19" i="7" s="1"/>
  <c r="O19" i="7"/>
  <c r="E19" i="7"/>
  <c r="B19" i="7"/>
  <c r="P19" i="7" s="1"/>
  <c r="Q19" i="7" s="1"/>
  <c r="S15" i="7"/>
  <c r="O15" i="7"/>
  <c r="P15" i="7" s="1"/>
  <c r="Q15" i="7" s="1"/>
  <c r="L15" i="7"/>
  <c r="K15" i="7"/>
  <c r="E15" i="7"/>
  <c r="F15" i="7" s="1"/>
  <c r="G15" i="7" s="1"/>
  <c r="B15" i="7"/>
  <c r="T15" i="7" s="1"/>
  <c r="U15" i="7" s="1"/>
  <c r="S14" i="7"/>
  <c r="T14" i="7" s="1"/>
  <c r="U14" i="7" s="1"/>
  <c r="O14" i="7"/>
  <c r="E14" i="7"/>
  <c r="B14" i="7"/>
  <c r="P14" i="7" s="1"/>
  <c r="Q14" i="7" s="1"/>
  <c r="S13" i="7"/>
  <c r="O13" i="7"/>
  <c r="P13" i="7" s="1"/>
  <c r="Q13" i="7" s="1"/>
  <c r="E13" i="7"/>
  <c r="B13" i="7"/>
  <c r="S12" i="7"/>
  <c r="T12" i="7" s="1"/>
  <c r="U12" i="7" s="1"/>
  <c r="P12" i="7"/>
  <c r="Q12" i="7" s="1"/>
  <c r="O12" i="7"/>
  <c r="E12" i="7"/>
  <c r="B12" i="7"/>
  <c r="F12" i="7" s="1"/>
  <c r="G12" i="7" s="1"/>
  <c r="H12" i="7" s="1"/>
  <c r="T11" i="7"/>
  <c r="U11" i="7" s="1"/>
  <c r="S11" i="7"/>
  <c r="O11" i="7"/>
  <c r="P11" i="7" s="1"/>
  <c r="Q11" i="7" s="1"/>
  <c r="E11" i="7"/>
  <c r="F11" i="7" s="1"/>
  <c r="G11" i="7" s="1"/>
  <c r="B11" i="7"/>
  <c r="S10" i="7"/>
  <c r="T10" i="7" s="1"/>
  <c r="U10" i="7" s="1"/>
  <c r="O10" i="7"/>
  <c r="E10" i="7"/>
  <c r="B10" i="7"/>
  <c r="F10" i="7" s="1"/>
  <c r="G10" i="7" s="1"/>
  <c r="T9" i="7"/>
  <c r="U9" i="7" s="1"/>
  <c r="S9" i="7"/>
  <c r="O9" i="7"/>
  <c r="E9" i="7"/>
  <c r="F9" i="7" s="1"/>
  <c r="G9" i="7" s="1"/>
  <c r="B9" i="7"/>
  <c r="B4" i="7"/>
  <c r="B3" i="7"/>
  <c r="F62" i="7" s="1"/>
  <c r="G62" i="7" s="1"/>
  <c r="G30" i="6"/>
  <c r="F30" i="6"/>
  <c r="E5" i="6"/>
  <c r="E6" i="6" s="1"/>
  <c r="F4" i="6"/>
  <c r="G4" i="6" s="1"/>
  <c r="E4" i="6"/>
  <c r="G3" i="6"/>
  <c r="F3" i="6"/>
  <c r="H9" i="5"/>
  <c r="J6" i="5"/>
  <c r="H6" i="5"/>
  <c r="J5" i="5"/>
  <c r="H5" i="5"/>
  <c r="J4" i="5"/>
  <c r="H4" i="5"/>
  <c r="J3" i="5"/>
  <c r="H3" i="5"/>
  <c r="J2" i="5"/>
  <c r="H2" i="5"/>
  <c r="G6" i="4"/>
  <c r="G5" i="4"/>
  <c r="G4" i="4"/>
  <c r="G3" i="4"/>
  <c r="G2" i="4"/>
  <c r="G6" i="3"/>
  <c r="K5" i="3"/>
  <c r="G5" i="3"/>
  <c r="K4" i="3"/>
  <c r="G4" i="3"/>
  <c r="K3" i="3"/>
  <c r="G3" i="3"/>
  <c r="K2" i="3"/>
  <c r="G2" i="3"/>
  <c r="G6" i="2"/>
  <c r="G5" i="2"/>
  <c r="G4" i="2"/>
  <c r="G3" i="2"/>
  <c r="G2" i="2"/>
  <c r="G6" i="1"/>
  <c r="G5" i="1"/>
  <c r="G4" i="1"/>
  <c r="G3" i="1"/>
  <c r="G2" i="1"/>
  <c r="E15" i="8" l="1"/>
  <c r="F15" i="8" s="1"/>
  <c r="E75" i="8"/>
  <c r="F75" i="8" s="1"/>
  <c r="E11" i="8"/>
  <c r="F11" i="8" s="1"/>
  <c r="E73" i="8"/>
  <c r="F73" i="8" s="1"/>
  <c r="E77" i="8"/>
  <c r="F77" i="8" s="1"/>
  <c r="D76" i="8"/>
  <c r="E72" i="8"/>
  <c r="F72" i="8" s="1"/>
  <c r="E74" i="8"/>
  <c r="F74" i="8" s="1"/>
  <c r="H10" i="7"/>
  <c r="H40" i="7"/>
  <c r="H62" i="7"/>
  <c r="H9" i="7"/>
  <c r="H34" i="7"/>
  <c r="H50" i="7"/>
  <c r="H11" i="7"/>
  <c r="H29" i="7"/>
  <c r="H59" i="7"/>
  <c r="F6" i="6"/>
  <c r="G6" i="6" s="1"/>
  <c r="E7" i="6"/>
  <c r="H21" i="7"/>
  <c r="H41" i="7"/>
  <c r="H15" i="7"/>
  <c r="H25" i="7"/>
  <c r="H33" i="7"/>
  <c r="H35" i="7"/>
  <c r="H39" i="7"/>
  <c r="H51" i="7"/>
  <c r="P10" i="7"/>
  <c r="Q10" i="7" s="1"/>
  <c r="F14" i="7"/>
  <c r="G14" i="7" s="1"/>
  <c r="H14" i="7" s="1"/>
  <c r="F19" i="7"/>
  <c r="G19" i="7" s="1"/>
  <c r="H19" i="7" s="1"/>
  <c r="T22" i="7"/>
  <c r="U22" i="7" s="1"/>
  <c r="P23" i="7"/>
  <c r="Q23" i="7" s="1"/>
  <c r="F32" i="7"/>
  <c r="G32" i="7" s="1"/>
  <c r="H32" i="7" s="1"/>
  <c r="D12" i="8"/>
  <c r="D14" i="8"/>
  <c r="D16" i="8"/>
  <c r="D28" i="8"/>
  <c r="D37" i="8"/>
  <c r="T43" i="7"/>
  <c r="U43" i="7" s="1"/>
  <c r="H43" i="7" s="1"/>
  <c r="P44" i="7"/>
  <c r="Q44" i="7" s="1"/>
  <c r="T45" i="7"/>
  <c r="U45" i="7" s="1"/>
  <c r="H45" i="7" s="1"/>
  <c r="P49" i="7"/>
  <c r="Q49" i="7" s="1"/>
  <c r="T61" i="7"/>
  <c r="U61" i="7" s="1"/>
  <c r="H61" i="7" s="1"/>
  <c r="P62" i="7"/>
  <c r="Q62" i="7" s="1"/>
  <c r="F12" i="8"/>
  <c r="F14" i="8"/>
  <c r="F16" i="8"/>
  <c r="F24" i="8"/>
  <c r="F26" i="8"/>
  <c r="F28" i="8"/>
  <c r="F37" i="8"/>
  <c r="F39" i="8"/>
  <c r="F41" i="8"/>
  <c r="F49" i="8"/>
  <c r="F51" i="8"/>
  <c r="F53" i="8"/>
  <c r="F61" i="8"/>
  <c r="F63" i="8"/>
  <c r="F65" i="8"/>
  <c r="F5" i="6"/>
  <c r="G5" i="6" s="1"/>
  <c r="T13" i="7"/>
  <c r="U13" i="7" s="1"/>
  <c r="F23" i="7"/>
  <c r="G23" i="7" s="1"/>
  <c r="H23" i="7" s="1"/>
  <c r="T31" i="7"/>
  <c r="U31" i="7" s="1"/>
  <c r="T44" i="7"/>
  <c r="U44" i="7" s="1"/>
  <c r="T49" i="7"/>
  <c r="U49" i="7" s="1"/>
  <c r="T62" i="7"/>
  <c r="U62" i="7" s="1"/>
  <c r="P9" i="7"/>
  <c r="Q9" i="7" s="1"/>
  <c r="F13" i="7"/>
  <c r="G13" i="7" s="1"/>
  <c r="T21" i="7"/>
  <c r="U21" i="7" s="1"/>
  <c r="P22" i="7"/>
  <c r="Q22" i="7" s="1"/>
  <c r="H22" i="7" s="1"/>
  <c r="F31" i="7"/>
  <c r="G31" i="7" s="1"/>
  <c r="H31" i="7" s="1"/>
  <c r="T34" i="7"/>
  <c r="U34" i="7" s="1"/>
  <c r="T39" i="7"/>
  <c r="U39" i="7" s="1"/>
  <c r="P40" i="7"/>
  <c r="Q40" i="7" s="1"/>
  <c r="F44" i="7"/>
  <c r="G44" i="7" s="1"/>
  <c r="F49" i="7"/>
  <c r="G49" i="7" s="1"/>
  <c r="H49" i="7" s="1"/>
  <c r="T52" i="7"/>
  <c r="U52" i="7" s="1"/>
  <c r="H52" i="7" s="1"/>
  <c r="P53" i="7"/>
  <c r="Q53" i="7" s="1"/>
  <c r="H53" i="7" s="1"/>
  <c r="E8" i="6" l="1"/>
  <c r="F7" i="6"/>
  <c r="G7" i="6" s="1"/>
  <c r="H13" i="7"/>
  <c r="H44" i="7"/>
  <c r="F8" i="6" l="1"/>
  <c r="G8" i="6" s="1"/>
  <c r="E9" i="6"/>
  <c r="E10" i="6" l="1"/>
  <c r="F9" i="6"/>
  <c r="G9" i="6" s="1"/>
  <c r="E11" i="6" l="1"/>
  <c r="F10" i="6"/>
  <c r="G10" i="6" s="1"/>
  <c r="F11" i="6" l="1"/>
  <c r="G11" i="6" s="1"/>
  <c r="E12" i="6"/>
  <c r="E13" i="6" l="1"/>
  <c r="F12" i="6"/>
  <c r="G12" i="6" s="1"/>
  <c r="E14" i="6" l="1"/>
  <c r="F13" i="6"/>
  <c r="G13" i="6" s="1"/>
  <c r="E15" i="6" l="1"/>
  <c r="F14" i="6"/>
  <c r="G14" i="6" s="1"/>
  <c r="E16" i="6" l="1"/>
  <c r="F15" i="6"/>
  <c r="G15" i="6" s="1"/>
  <c r="B9" i="6"/>
  <c r="F16" i="6" l="1"/>
  <c r="G16" i="6" s="1"/>
  <c r="E17" i="6"/>
  <c r="E18" i="6" l="1"/>
  <c r="F17" i="6"/>
  <c r="G17" i="6" s="1"/>
  <c r="E19" i="6" l="1"/>
  <c r="F18" i="6"/>
  <c r="G18" i="6" s="1"/>
  <c r="F19" i="6" l="1"/>
  <c r="G19" i="6" s="1"/>
  <c r="E20" i="6"/>
  <c r="E21" i="6" l="1"/>
  <c r="F20" i="6"/>
  <c r="G20" i="6" s="1"/>
  <c r="F21" i="6" l="1"/>
  <c r="G21" i="6" s="1"/>
  <c r="E22" i="6"/>
  <c r="E23" i="6" l="1"/>
  <c r="F22" i="6"/>
  <c r="G22" i="6" s="1"/>
  <c r="E24" i="6" l="1"/>
  <c r="F23" i="6"/>
  <c r="G23" i="6" s="1"/>
  <c r="F24" i="6" l="1"/>
  <c r="G24" i="6" s="1"/>
  <c r="E25" i="6"/>
  <c r="E26" i="6" l="1"/>
  <c r="F25" i="6"/>
  <c r="G25" i="6" s="1"/>
  <c r="E27" i="6" l="1"/>
  <c r="F26" i="6"/>
  <c r="G26" i="6" s="1"/>
  <c r="F27" i="6" l="1"/>
  <c r="G27" i="6" s="1"/>
  <c r="E28" i="6"/>
  <c r="G28" i="6" l="1"/>
  <c r="F2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https://aip.scitation.org/doi/pdf/10.1063/1.451846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http://physics.ujep.cz/~mlisal/mol_simul_21/mspce.pdf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3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https://aip.scitation.org/doi/pdf/10.1063/1.2121687</t>
        </r>
      </text>
    </comment>
    <comment ref="I2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http://catalan.quim.ucm.es/namd/tip4p_2005_namd.tar.gz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4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https://pubs.acs.org/doi/10.1021/acs.jced.9b00565</t>
        </r>
      </text>
    </comment>
    <comment ref="I1" authorId="0" shapeId="0" xr:uid="{00000000-0006-0000-0400-000004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Water model: TIP4P2005
Simulation tool ms2
NPT
864 particles 
rcut 15A
2E4 equilibration 
3E6 production cycle 
long range</t>
        </r>
      </text>
    </comment>
    <comment ref="G2" authorId="0" shapeId="0" xr:uid="{00000000-0006-0000-04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Warr et al.</t>
        </r>
      </text>
    </comment>
    <comment ref="G6" authorId="0" shapeId="0" xr:uid="{00000000-0006-0000-04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Mick et al.</t>
        </r>
      </text>
    </comment>
  </commentList>
</comments>
</file>

<file path=xl/sharedStrings.xml><?xml version="1.0" encoding="utf-8"?>
<sst xmlns="http://schemas.openxmlformats.org/spreadsheetml/2006/main" count="287" uniqueCount="65">
  <si>
    <t>TI_1(Kcal/mol)</t>
  </si>
  <si>
    <t>TI_2(Kcal/mol)</t>
  </si>
  <si>
    <t>TI_3(Kcal/mol)</t>
  </si>
  <si>
    <t>TI_4(Kcal/mol)</t>
  </si>
  <si>
    <t>TI_5(Kcal/mol)</t>
  </si>
  <si>
    <t>Average</t>
  </si>
  <si>
    <t>Experimental(Kcal/mol)</t>
  </si>
  <si>
    <t>NE</t>
  </si>
  <si>
    <t>AR</t>
  </si>
  <si>
    <t>KR</t>
  </si>
  <si>
    <t>XE</t>
  </si>
  <si>
    <t>RN</t>
  </si>
  <si>
    <t>SPCE</t>
  </si>
  <si>
    <t>SPC</t>
  </si>
  <si>
    <t>MSPCE</t>
  </si>
  <si>
    <t>TIP4P2005</t>
  </si>
  <si>
    <t>Experimental</t>
  </si>
  <si>
    <t>Vrabec KH</t>
  </si>
  <si>
    <t>Vrabec DeltaG(kcal/mol)</t>
  </si>
  <si>
    <t>c</t>
  </si>
  <si>
    <t>from paper</t>
  </si>
  <si>
    <t>T/K</t>
  </si>
  <si>
    <t>TIP4P/2005</t>
  </si>
  <si>
    <t>Expt.</t>
  </si>
  <si>
    <t>all x^4 poly</t>
  </si>
  <si>
    <t>all x^4 poly plus last value</t>
  </si>
  <si>
    <t>Density water (kg/m^3)</t>
  </si>
  <si>
    <t>Pressure (ba)r</t>
  </si>
  <si>
    <t>R (m^3*bar/(mol * K))</t>
  </si>
  <si>
    <t>kb (kcal/mol/K)</t>
  </si>
  <si>
    <t>Mw H2O (kg/mol)</t>
  </si>
  <si>
    <t>He</t>
  </si>
  <si>
    <t>calc std dev for pluss</t>
  </si>
  <si>
    <t>T_K</t>
  </si>
  <si>
    <t>TIP4P density (kg/m^3)</t>
  </si>
  <si>
    <t>H (Gpa)</t>
  </si>
  <si>
    <t>dH(dGpa) uncertanites</t>
  </si>
  <si>
    <t>H (bar *kg /mol)</t>
  </si>
  <si>
    <t>H_unitless</t>
  </si>
  <si>
    <t>dG (kcal/mol)</t>
  </si>
  <si>
    <t>ddG (kcal/mol)</t>
  </si>
  <si>
    <t>Ne</t>
  </si>
  <si>
    <t>Ar</t>
  </si>
  <si>
    <t>Kr</t>
  </si>
  <si>
    <t>Xe</t>
  </si>
  <si>
    <t>Rn (Mick et al)</t>
  </si>
  <si>
    <t>Temp</t>
  </si>
  <si>
    <t>kh0 (mol/(kg*bar))</t>
  </si>
  <si>
    <t>d(ln(Kn))/d(1/T) (K) at 298.15 K</t>
  </si>
  <si>
    <t>Temp (K)</t>
  </si>
  <si>
    <t>Kn (mol/(kg*bar))</t>
  </si>
  <si>
    <t>H (kg*bar/mol)</t>
  </si>
  <si>
    <t>H unitless</t>
  </si>
  <si>
    <t>Neon data</t>
  </si>
  <si>
    <t>Rn</t>
  </si>
  <si>
    <t>P ref (MPa)</t>
  </si>
  <si>
    <t>P_MPa</t>
  </si>
  <si>
    <t>x_times_10000</t>
  </si>
  <si>
    <t>y</t>
  </si>
  <si>
    <t>fx_MPa</t>
  </si>
  <si>
    <t>ln_kh_per_Gpa</t>
  </si>
  <si>
    <t>kh_GPa</t>
  </si>
  <si>
    <t>1. 940</t>
  </si>
  <si>
    <t>Pressure at 1 atm</t>
  </si>
  <si>
    <t>Partion coeff kh_MPa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</si>
</sst>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Times New Roman"/>
      <family val="1"/>
      <charset val="1"/>
    </font>
  </fonts>
  <fills count="17">
    <fill>
      <patternFill patternType="none"/>
    </fill>
    <fill>
      <patternFill patternType="gray125"/>
    </fill>
    <fill>
      <patternFill patternType="solid">
        <fgColor rgb="FFB4C7E7"/>
        <bgColor rgb="FFBDD7EE"/>
      </patternFill>
    </fill>
    <fill>
      <patternFill patternType="solid">
        <fgColor rgb="FFF8CBAD"/>
        <bgColor rgb="FFFFE699"/>
      </patternFill>
    </fill>
    <fill>
      <patternFill patternType="solid">
        <fgColor rgb="FFDBDBDB"/>
        <bgColor rgb="FFD9D9D9"/>
      </patternFill>
    </fill>
    <fill>
      <patternFill patternType="solid">
        <fgColor rgb="FFFFE699"/>
        <bgColor rgb="FFF8CBAD"/>
      </patternFill>
    </fill>
    <fill>
      <patternFill patternType="solid">
        <fgColor rgb="FFBDD7EE"/>
        <bgColor rgb="FFB4C7E7"/>
      </patternFill>
    </fill>
    <fill>
      <patternFill patternType="solid">
        <fgColor rgb="FFC5E0B4"/>
        <bgColor rgb="FFD9D9D9"/>
      </patternFill>
    </fill>
    <fill>
      <patternFill patternType="solid">
        <fgColor rgb="FFE7E6E6"/>
        <bgColor rgb="FFDBDBDB"/>
      </patternFill>
    </fill>
    <fill>
      <patternFill patternType="solid">
        <fgColor rgb="FF7F7F7F"/>
        <bgColor rgb="FF595959"/>
      </patternFill>
    </fill>
    <fill>
      <patternFill patternType="solid">
        <fgColor rgb="FF00B0F0"/>
        <bgColor rgb="FF008080"/>
      </patternFill>
    </fill>
    <fill>
      <patternFill patternType="solid">
        <fgColor rgb="FF00A933"/>
        <bgColor rgb="FF00B050"/>
      </patternFill>
    </fill>
    <fill>
      <patternFill patternType="solid">
        <fgColor rgb="FFAFABAB"/>
        <bgColor rgb="FFAEAAAA"/>
      </patternFill>
    </fill>
    <fill>
      <patternFill patternType="solid">
        <fgColor rgb="FFFFFFFF"/>
        <bgColor rgb="FFE7E6E6"/>
      </patternFill>
    </fill>
    <fill>
      <patternFill patternType="solid">
        <fgColor rgb="FFAEAAAA"/>
        <bgColor rgb="FFAFABAB"/>
      </patternFill>
    </fill>
    <fill>
      <patternFill patternType="solid">
        <fgColor rgb="FFD0CECE"/>
        <bgColor rgb="FFD9D9D9"/>
      </patternFill>
    </fill>
    <fill>
      <patternFill patternType="solid">
        <fgColor rgb="FF8FAADC"/>
        <bgColor rgb="FFA5A5A5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/>
    </xf>
    <xf numFmtId="0" fontId="1" fillId="10" borderId="4" xfId="0" applyFont="1" applyFill="1" applyBorder="1" applyAlignment="1"/>
    <xf numFmtId="0" fontId="0" fillId="0" borderId="0" xfId="0" applyAlignment="1">
      <alignment vertical="top"/>
    </xf>
    <xf numFmtId="0" fontId="1" fillId="0" borderId="14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vertical="top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2" borderId="0" xfId="0" applyFont="1" applyFill="1"/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11" borderId="0" xfId="0" applyFill="1"/>
    <xf numFmtId="3" fontId="0" fillId="0" borderId="0" xfId="0" applyNumberFormat="1"/>
    <xf numFmtId="0" fontId="1" fillId="0" borderId="0" xfId="0" applyFont="1"/>
    <xf numFmtId="0" fontId="0" fillId="12" borderId="0" xfId="0" applyFont="1" applyFill="1"/>
    <xf numFmtId="3" fontId="0" fillId="12" borderId="0" xfId="0" applyNumberFormat="1" applyFont="1" applyFill="1"/>
    <xf numFmtId="0" fontId="2" fillId="13" borderId="0" xfId="0" applyFont="1" applyFill="1"/>
    <xf numFmtId="0" fontId="0" fillId="0" borderId="0" xfId="0" applyAlignment="1">
      <alignment horizontal="right"/>
    </xf>
    <xf numFmtId="0" fontId="0" fillId="14" borderId="0" xfId="0" applyFont="1" applyFill="1"/>
    <xf numFmtId="0" fontId="0" fillId="2" borderId="0" xfId="0" applyFill="1"/>
    <xf numFmtId="0" fontId="0" fillId="15" borderId="0" xfId="0" applyFont="1" applyFill="1"/>
    <xf numFmtId="0" fontId="3" fillId="12" borderId="0" xfId="0" applyFont="1" applyFill="1"/>
    <xf numFmtId="0" fontId="4" fillId="2" borderId="0" xfId="0" applyFont="1" applyFill="1"/>
    <xf numFmtId="0" fontId="3" fillId="0" borderId="0" xfId="0" applyFont="1"/>
    <xf numFmtId="0" fontId="4" fillId="2" borderId="0" xfId="0" applyFont="1" applyFill="1" applyAlignment="1">
      <alignment horizontal="right"/>
    </xf>
    <xf numFmtId="0" fontId="2" fillId="16" borderId="0" xfId="0" applyFont="1" applyFill="1"/>
    <xf numFmtId="4" fontId="2" fillId="16" borderId="0" xfId="0" applyNumberFormat="1" applyFont="1" applyFill="1"/>
    <xf numFmtId="0" fontId="3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800000"/>
      <rgbColor rgb="FF00A933"/>
      <rgbColor rgb="FF000080"/>
      <rgbColor rgb="FF70AD47"/>
      <rgbColor rgb="FF800080"/>
      <rgbColor rgb="FF008080"/>
      <rgbColor rgb="FFBFBFBF"/>
      <rgbColor rgb="FF7F7F7F"/>
      <rgbColor rgb="FF8FAADC"/>
      <rgbColor rgb="FF993366"/>
      <rgbColor rgb="FFE7E6E6"/>
      <rgbColor rgb="FFDBDBDB"/>
      <rgbColor rgb="FF660066"/>
      <rgbColor rgb="FFAEAAAA"/>
      <rgbColor rgb="FF0066CC"/>
      <rgbColor rgb="FFBDD7EE"/>
      <rgbColor rgb="FF000080"/>
      <rgbColor rgb="FFFF00FF"/>
      <rgbColor rgb="FFD0CECE"/>
      <rgbColor rgb="FF00FFFF"/>
      <rgbColor rgb="FF800080"/>
      <rgbColor rgb="FF800000"/>
      <rgbColor rgb="FF008080"/>
      <rgbColor rgb="FF0000FF"/>
      <rgbColor rgb="FF00B0F0"/>
      <rgbColor rgb="FFD9D9D9"/>
      <rgbColor rgb="FFC5E0B4"/>
      <rgbColor rgb="FFFFE699"/>
      <rgbColor rgb="FFB4C7E7"/>
      <rgbColor rgb="FFB3B3B3"/>
      <rgbColor rgb="FFAFABAB"/>
      <rgbColor rgb="FFF8CBAD"/>
      <rgbColor rgb="FF4472C4"/>
      <rgbColor rgb="FF5B9BD5"/>
      <rgbColor rgb="FF92D050"/>
      <rgbColor rgb="FFFFC000"/>
      <rgbColor rgb="FFFF9900"/>
      <rgbColor rgb="FFED7D31"/>
      <rgbColor rgb="FF595959"/>
      <rgbColor rgb="FFA5A5A5"/>
      <rgbColor rgb="FF004586"/>
      <rgbColor rgb="FF00B050"/>
      <rgbColor rgb="FF003300"/>
      <rgbColor rgb="FF333300"/>
      <rgbColor rgb="FFFF42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595959"/>
                </a:solidFill>
                <a:latin typeface="Calibri"/>
              </a:rPr>
              <a:t>Free Energy of Hydration of Noble Gases_SPCE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SPCE!$B$1</c:f>
              <c:strCache>
                <c:ptCount val="1"/>
                <c:pt idx="0">
                  <c:v>TI_1(Kcal/mol)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SPCE!$A$2:$A$6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SPCE!$B$2:$B$6</c:f>
              <c:numCache>
                <c:formatCode>General</c:formatCode>
                <c:ptCount val="5"/>
                <c:pt idx="0">
                  <c:v>1.825</c:v>
                </c:pt>
                <c:pt idx="1">
                  <c:v>1.49</c:v>
                </c:pt>
                <c:pt idx="2">
                  <c:v>1.07</c:v>
                </c:pt>
                <c:pt idx="3">
                  <c:v>0.82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A-0048-8136-6C58545992F4}"/>
            </c:ext>
          </c:extLst>
        </c:ser>
        <c:ser>
          <c:idx val="1"/>
          <c:order val="1"/>
          <c:tx>
            <c:strRef>
              <c:f>SPCE!$C$1</c:f>
              <c:strCache>
                <c:ptCount val="1"/>
                <c:pt idx="0">
                  <c:v>TI_2(Kcal/mol)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SPCE!$A$2:$A$6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SPCE!$C$2:$C$6</c:f>
              <c:numCache>
                <c:formatCode>General</c:formatCode>
                <c:ptCount val="5"/>
                <c:pt idx="0">
                  <c:v>1.81</c:v>
                </c:pt>
                <c:pt idx="1">
                  <c:v>1.625</c:v>
                </c:pt>
                <c:pt idx="2">
                  <c:v>1.45</c:v>
                </c:pt>
                <c:pt idx="3">
                  <c:v>0.83</c:v>
                </c:pt>
                <c:pt idx="4">
                  <c:v>-0.09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A-0048-8136-6C58545992F4}"/>
            </c:ext>
          </c:extLst>
        </c:ser>
        <c:ser>
          <c:idx val="2"/>
          <c:order val="2"/>
          <c:tx>
            <c:strRef>
              <c:f>SPCE!$D$1</c:f>
              <c:strCache>
                <c:ptCount val="1"/>
                <c:pt idx="0">
                  <c:v>TI_3(Kcal/mol)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SPCE!$A$2:$A$6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SPCE!$D$2:$D$6</c:f>
              <c:numCache>
                <c:formatCode>General</c:formatCode>
                <c:ptCount val="5"/>
                <c:pt idx="0">
                  <c:v>1.8320000000000001</c:v>
                </c:pt>
                <c:pt idx="1">
                  <c:v>1.56</c:v>
                </c:pt>
                <c:pt idx="2">
                  <c:v>1.17</c:v>
                </c:pt>
                <c:pt idx="3">
                  <c:v>0.83</c:v>
                </c:pt>
                <c:pt idx="4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0A-0048-8136-6C58545992F4}"/>
            </c:ext>
          </c:extLst>
        </c:ser>
        <c:ser>
          <c:idx val="3"/>
          <c:order val="3"/>
          <c:tx>
            <c:strRef>
              <c:f>SPCE!$E$1</c:f>
              <c:strCache>
                <c:ptCount val="1"/>
                <c:pt idx="0">
                  <c:v>TI_4(Kcal/mol)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SPCE!$A$2:$A$6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SPCE!$E$2:$E$6</c:f>
              <c:numCache>
                <c:formatCode>General</c:formatCode>
                <c:ptCount val="5"/>
                <c:pt idx="0">
                  <c:v>1.8620000000000001</c:v>
                </c:pt>
                <c:pt idx="1">
                  <c:v>1.52</c:v>
                </c:pt>
                <c:pt idx="2">
                  <c:v>1.1499999999999999</c:v>
                </c:pt>
                <c:pt idx="3">
                  <c:v>0.99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0A-0048-8136-6C58545992F4}"/>
            </c:ext>
          </c:extLst>
        </c:ser>
        <c:ser>
          <c:idx val="4"/>
          <c:order val="4"/>
          <c:tx>
            <c:strRef>
              <c:f>SPCE!$F$1</c:f>
              <c:strCache>
                <c:ptCount val="1"/>
                <c:pt idx="0">
                  <c:v>TI_5(Kcal/mol)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SPCE!$A$2:$A$6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SPCE!$F$2:$F$6</c:f>
              <c:numCache>
                <c:formatCode>General</c:formatCode>
                <c:ptCount val="5"/>
                <c:pt idx="0">
                  <c:v>1.835</c:v>
                </c:pt>
                <c:pt idx="1">
                  <c:v>1.575</c:v>
                </c:pt>
                <c:pt idx="2">
                  <c:v>1.1000000000000001</c:v>
                </c:pt>
                <c:pt idx="3">
                  <c:v>0.88</c:v>
                </c:pt>
                <c:pt idx="4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0A-0048-8136-6C58545992F4}"/>
            </c:ext>
          </c:extLst>
        </c:ser>
        <c:ser>
          <c:idx val="5"/>
          <c:order val="5"/>
          <c:tx>
            <c:strRef>
              <c:f>SPCE!$H$1</c:f>
              <c:strCache>
                <c:ptCount val="1"/>
                <c:pt idx="0">
                  <c:v>Experimental(Kcal/mol)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SPCE!$A$2:$A$6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SPCE!$H$2:$H$6</c:f>
              <c:numCache>
                <c:formatCode>General</c:formatCode>
                <c:ptCount val="5"/>
                <c:pt idx="0">
                  <c:v>2.477536196</c:v>
                </c:pt>
                <c:pt idx="1">
                  <c:v>1.9867612755999999</c:v>
                </c:pt>
                <c:pt idx="2">
                  <c:v>1.6625257360000001</c:v>
                </c:pt>
                <c:pt idx="3">
                  <c:v>1.447420336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0A-0048-8136-6C585459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12708"/>
        <c:axId val="7077879"/>
      </c:barChart>
      <c:catAx>
        <c:axId val="428127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77879"/>
        <c:crosses val="autoZero"/>
        <c:auto val="1"/>
        <c:lblAlgn val="ctr"/>
        <c:lblOffset val="100"/>
        <c:noMultiLvlLbl val="0"/>
      </c:catAx>
      <c:valAx>
        <c:axId val="70778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2812708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Experimental_Nist!$A$23:$A$28</c:f>
              <c:numCache>
                <c:formatCode>General</c:formatCode>
                <c:ptCount val="6"/>
                <c:pt idx="0">
                  <c:v>275</c:v>
                </c:pt>
                <c:pt idx="1">
                  <c:v>295</c:v>
                </c:pt>
                <c:pt idx="2">
                  <c:v>315</c:v>
                </c:pt>
                <c:pt idx="3">
                  <c:v>335</c:v>
                </c:pt>
                <c:pt idx="4">
                  <c:v>355</c:v>
                </c:pt>
                <c:pt idx="5">
                  <c:v>375</c:v>
                </c:pt>
              </c:numCache>
            </c:numRef>
          </c:xVal>
          <c:yVal>
            <c:numRef>
              <c:f>Experimental_Nist!$D$23:$D$28</c:f>
              <c:numCache>
                <c:formatCode>General</c:formatCode>
                <c:ptCount val="6"/>
                <c:pt idx="0">
                  <c:v>1957.0758685804637</c:v>
                </c:pt>
                <c:pt idx="1">
                  <c:v>2186.6952000594993</c:v>
                </c:pt>
                <c:pt idx="2">
                  <c:v>2409.0769437729832</c:v>
                </c:pt>
                <c:pt idx="3">
                  <c:v>2623.5582570117285</c:v>
                </c:pt>
                <c:pt idx="4">
                  <c:v>2829.8096786158876</c:v>
                </c:pt>
                <c:pt idx="5">
                  <c:v>3027.735837444824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2-2040-A54A-C3E75F8D6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98712"/>
        <c:axId val="48554973"/>
      </c:scatterChart>
      <c:valAx>
        <c:axId val="798987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554973"/>
        <c:crosses val="autoZero"/>
        <c:crossBetween val="midCat"/>
      </c:valAx>
      <c:valAx>
        <c:axId val="485549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98987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550691091858999"/>
          <c:y val="2.29206049149338E-2"/>
          <c:w val="0.82593743800013197"/>
          <c:h val="0.76110586011342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Experimental_Crovetto_et_al!$A$3:$A$3</c:f>
              <c:strCache>
                <c:ptCount val="1"/>
                <c:pt idx="0">
                  <c:v>Ne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Experimental_Crovetto_et_al!$A$5:$A$11</c:f>
              <c:numCache>
                <c:formatCode>General</c:formatCode>
                <c:ptCount val="7"/>
                <c:pt idx="0">
                  <c:v>294.89999999999998</c:v>
                </c:pt>
                <c:pt idx="1">
                  <c:v>337.4</c:v>
                </c:pt>
                <c:pt idx="2">
                  <c:v>361</c:v>
                </c:pt>
                <c:pt idx="3">
                  <c:v>388.9</c:v>
                </c:pt>
                <c:pt idx="4">
                  <c:v>427.7</c:v>
                </c:pt>
                <c:pt idx="5">
                  <c:v>543.20000000000005</c:v>
                </c:pt>
                <c:pt idx="6">
                  <c:v>543.4</c:v>
                </c:pt>
              </c:numCache>
            </c:numRef>
          </c:xVal>
          <c:yVal>
            <c:numRef>
              <c:f>Experimental_Crovetto_et_al!$I$5:$I$11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3A-0F46-AC7C-74DCF811D4E5}"/>
            </c:ext>
          </c:extLst>
        </c:ser>
        <c:ser>
          <c:idx val="1"/>
          <c:order val="1"/>
          <c:tx>
            <c:strRef>
              <c:f>Experimental_Crovetto_et_al!$A$13:$A$13</c:f>
              <c:strCache>
                <c:ptCount val="1"/>
                <c:pt idx="0">
                  <c:v>Ar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Experimental_Crovetto_et_al!$A$15:$A$22</c:f>
              <c:numCache>
                <c:formatCode>General</c:formatCode>
                <c:ptCount val="8"/>
                <c:pt idx="0">
                  <c:v>306.89999999999998</c:v>
                </c:pt>
                <c:pt idx="1">
                  <c:v>335.9</c:v>
                </c:pt>
                <c:pt idx="2">
                  <c:v>365.3</c:v>
                </c:pt>
                <c:pt idx="3">
                  <c:v>368.3</c:v>
                </c:pt>
                <c:pt idx="4">
                  <c:v>397.3</c:v>
                </c:pt>
                <c:pt idx="5">
                  <c:v>424.7</c:v>
                </c:pt>
                <c:pt idx="6">
                  <c:v>453.7</c:v>
                </c:pt>
                <c:pt idx="7">
                  <c:v>568.4</c:v>
                </c:pt>
              </c:numCache>
            </c:numRef>
          </c:xVal>
          <c:yVal>
            <c:numRef>
              <c:f>Experimental_Crovetto_et_al!$I$15:$I$22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3A-0F46-AC7C-74DCF811D4E5}"/>
            </c:ext>
          </c:extLst>
        </c:ser>
        <c:ser>
          <c:idx val="2"/>
          <c:order val="2"/>
          <c:tx>
            <c:strRef>
              <c:f>Experimental_Crovetto_et_al!$A$24:$A$24</c:f>
              <c:strCache>
                <c:ptCount val="1"/>
                <c:pt idx="0">
                  <c:v>Kr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Experimental_Crovetto_et_al!$A$26:$A$31</c:f>
              <c:numCache>
                <c:formatCode>General</c:formatCode>
                <c:ptCount val="6"/>
                <c:pt idx="0">
                  <c:v>333.7</c:v>
                </c:pt>
                <c:pt idx="1">
                  <c:v>359</c:v>
                </c:pt>
                <c:pt idx="2">
                  <c:v>387.6</c:v>
                </c:pt>
                <c:pt idx="3">
                  <c:v>426</c:v>
                </c:pt>
                <c:pt idx="4">
                  <c:v>477.5</c:v>
                </c:pt>
                <c:pt idx="5">
                  <c:v>523.4</c:v>
                </c:pt>
              </c:numCache>
            </c:numRef>
          </c:xVal>
          <c:yVal>
            <c:numRef>
              <c:f>Experimental_Crovetto_et_al!$I$26:$I$31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3A-0F46-AC7C-74DCF811D4E5}"/>
            </c:ext>
          </c:extLst>
        </c:ser>
        <c:ser>
          <c:idx val="3"/>
          <c:order val="3"/>
          <c:tx>
            <c:strRef>
              <c:f>Experimental_Crovetto_et_al!$A$33:$A$33</c:f>
              <c:strCache>
                <c:ptCount val="1"/>
                <c:pt idx="0">
                  <c:v>Xe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Experimental_Crovetto_et_al!$A$35:$A$40</c:f>
              <c:numCache>
                <c:formatCode>General</c:formatCode>
                <c:ptCount val="6"/>
                <c:pt idx="0">
                  <c:v>334.5</c:v>
                </c:pt>
                <c:pt idx="1">
                  <c:v>364.1</c:v>
                </c:pt>
                <c:pt idx="2">
                  <c:v>391.5</c:v>
                </c:pt>
                <c:pt idx="3">
                  <c:v>439.3</c:v>
                </c:pt>
                <c:pt idx="4">
                  <c:v>473.7</c:v>
                </c:pt>
                <c:pt idx="5">
                  <c:v>476.3</c:v>
                </c:pt>
              </c:numCache>
            </c:numRef>
          </c:xVal>
          <c:yVal>
            <c:numRef>
              <c:f>Experimental_Crovetto_et_al!$I$35:$I$40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3A-0F46-AC7C-74DCF811D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34648"/>
        <c:axId val="96654148"/>
      </c:scatterChart>
      <c:valAx>
        <c:axId val="83434648"/>
        <c:scaling>
          <c:orientation val="minMax"/>
          <c:max val="480"/>
          <c:min val="2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Arial"/>
                  </a:rPr>
                  <a:t>Temp (K)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96654148"/>
        <c:crosses val="autoZero"/>
        <c:crossBetween val="midCat"/>
      </c:valAx>
      <c:valAx>
        <c:axId val="966541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Arial"/>
                  </a:rPr>
                  <a:t>dG (kcal/mol)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83434648"/>
        <c:crosses val="autoZero"/>
        <c:crossBetween val="midCat"/>
      </c:val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21830214953034399"/>
          <c:y val="0.14583333333333301"/>
          <c:w val="0.40905486492644999"/>
          <c:h val="8.9494094488188999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552278820375299"/>
          <c:y val="2.29206049149338E-2"/>
          <c:w val="0.82593833780160797"/>
          <c:h val="0.76110586011342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Experimental_Crovetto_et_al!$A$3:$A$3</c:f>
              <c:strCache>
                <c:ptCount val="1"/>
                <c:pt idx="0">
                  <c:v>Ne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Experimental_Crovetto_et_al!$A$5:$A$11</c:f>
              <c:numCache>
                <c:formatCode>General</c:formatCode>
                <c:ptCount val="7"/>
                <c:pt idx="0">
                  <c:v>294.89999999999998</c:v>
                </c:pt>
                <c:pt idx="1">
                  <c:v>337.4</c:v>
                </c:pt>
                <c:pt idx="2">
                  <c:v>361</c:v>
                </c:pt>
                <c:pt idx="3">
                  <c:v>388.9</c:v>
                </c:pt>
                <c:pt idx="4">
                  <c:v>427.7</c:v>
                </c:pt>
                <c:pt idx="5">
                  <c:v>543.20000000000005</c:v>
                </c:pt>
                <c:pt idx="6">
                  <c:v>543.4</c:v>
                </c:pt>
              </c:numCache>
            </c:numRef>
          </c:xVal>
          <c:yVal>
            <c:numRef>
              <c:f>Experimental_Crovetto_et_al!$G$5:$G$11</c:f>
              <c:numCache>
                <c:formatCode>General</c:formatCode>
                <c:ptCount val="7"/>
                <c:pt idx="0">
                  <c:v>12.280344793851139</c:v>
                </c:pt>
                <c:pt idx="1">
                  <c:v>13.396587361407848</c:v>
                </c:pt>
                <c:pt idx="2">
                  <c:v>12.37898157325731</c:v>
                </c:pt>
                <c:pt idx="3">
                  <c:v>11.189770357552705</c:v>
                </c:pt>
                <c:pt idx="4">
                  <c:v>8.1498538941995537</c:v>
                </c:pt>
                <c:pt idx="5">
                  <c:v>3.3434392741929435</c:v>
                </c:pt>
                <c:pt idx="6">
                  <c:v>3.2027185627468664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90-174C-BBDE-D2AC1F55FF48}"/>
            </c:ext>
          </c:extLst>
        </c:ser>
        <c:ser>
          <c:idx val="1"/>
          <c:order val="1"/>
          <c:tx>
            <c:strRef>
              <c:f>Experimental_Crovetto_et_al!$A$13:$A$13</c:f>
              <c:strCache>
                <c:ptCount val="1"/>
                <c:pt idx="0">
                  <c:v>Ar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Experimental_Crovetto_et_al!$A$15:$A$22</c:f>
              <c:numCache>
                <c:formatCode>General</c:formatCode>
                <c:ptCount val="8"/>
                <c:pt idx="0">
                  <c:v>306.89999999999998</c:v>
                </c:pt>
                <c:pt idx="1">
                  <c:v>335.9</c:v>
                </c:pt>
                <c:pt idx="2">
                  <c:v>365.3</c:v>
                </c:pt>
                <c:pt idx="3">
                  <c:v>368.3</c:v>
                </c:pt>
                <c:pt idx="4">
                  <c:v>397.3</c:v>
                </c:pt>
                <c:pt idx="5">
                  <c:v>424.7</c:v>
                </c:pt>
                <c:pt idx="6">
                  <c:v>453.7</c:v>
                </c:pt>
                <c:pt idx="7">
                  <c:v>568.4</c:v>
                </c:pt>
              </c:numCache>
            </c:numRef>
          </c:xVal>
          <c:yVal>
            <c:numRef>
              <c:f>Experimental_Crovetto_et_al!$G$15:$G$22</c:f>
              <c:numCache>
                <c:formatCode>General</c:formatCode>
                <c:ptCount val="8"/>
                <c:pt idx="0">
                  <c:v>4.7445661746993988</c:v>
                </c:pt>
                <c:pt idx="1">
                  <c:v>6.0860544609681657</c:v>
                </c:pt>
                <c:pt idx="2">
                  <c:v>6.4044944390451697</c:v>
                </c:pt>
                <c:pt idx="3">
                  <c:v>6.5995403323941808</c:v>
                </c:pt>
                <c:pt idx="4">
                  <c:v>6.1472203251842421</c:v>
                </c:pt>
                <c:pt idx="5">
                  <c:v>5.3387951490731762</c:v>
                </c:pt>
                <c:pt idx="6">
                  <c:v>4.3579423156170289</c:v>
                </c:pt>
                <c:pt idx="7">
                  <c:v>1.6955378396018199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90-174C-BBDE-D2AC1F55FF48}"/>
            </c:ext>
          </c:extLst>
        </c:ser>
        <c:ser>
          <c:idx val="2"/>
          <c:order val="2"/>
          <c:tx>
            <c:strRef>
              <c:f>Experimental_Crovetto_et_al!$A$24:$A$24</c:f>
              <c:strCache>
                <c:ptCount val="1"/>
                <c:pt idx="0">
                  <c:v>Kr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Experimental_Crovetto_et_al!$A$26:$A$31</c:f>
              <c:numCache>
                <c:formatCode>General</c:formatCode>
                <c:ptCount val="6"/>
                <c:pt idx="0">
                  <c:v>333.7</c:v>
                </c:pt>
                <c:pt idx="1">
                  <c:v>359</c:v>
                </c:pt>
                <c:pt idx="2">
                  <c:v>387.6</c:v>
                </c:pt>
                <c:pt idx="3">
                  <c:v>426</c:v>
                </c:pt>
                <c:pt idx="4">
                  <c:v>477.5</c:v>
                </c:pt>
                <c:pt idx="5">
                  <c:v>523.4</c:v>
                </c:pt>
              </c:numCache>
            </c:numRef>
          </c:xVal>
          <c:yVal>
            <c:numRef>
              <c:f>Experimental_Crovetto_et_al!$G$26:$G$31</c:f>
              <c:numCache>
                <c:formatCode>General</c:formatCode>
                <c:ptCount val="6"/>
                <c:pt idx="0">
                  <c:v>3.6002381642143031</c:v>
                </c:pt>
                <c:pt idx="1">
                  <c:v>4.4772096213655006</c:v>
                </c:pt>
                <c:pt idx="2">
                  <c:v>4.463798119812358</c:v>
                </c:pt>
                <c:pt idx="3">
                  <c:v>4.0511467938021157</c:v>
                </c:pt>
                <c:pt idx="4">
                  <c:v>3.058730620510393</c:v>
                </c:pt>
                <c:pt idx="5">
                  <c:v>2.425408587773163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90-174C-BBDE-D2AC1F55FF48}"/>
            </c:ext>
          </c:extLst>
        </c:ser>
        <c:ser>
          <c:idx val="3"/>
          <c:order val="3"/>
          <c:tx>
            <c:strRef>
              <c:f>Experimental_Crovetto_et_al!$A$33:$A$33</c:f>
              <c:strCache>
                <c:ptCount val="1"/>
                <c:pt idx="0">
                  <c:v>Xe</c:v>
                </c:pt>
              </c:strCache>
            </c:strRef>
          </c:tx>
          <c:spPr>
            <a:ln w="1908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Experimental_Crovetto_et_al!$A$35:$A$40</c:f>
              <c:numCache>
                <c:formatCode>General</c:formatCode>
                <c:ptCount val="6"/>
                <c:pt idx="0">
                  <c:v>334.5</c:v>
                </c:pt>
                <c:pt idx="1">
                  <c:v>364.1</c:v>
                </c:pt>
                <c:pt idx="2">
                  <c:v>391.5</c:v>
                </c:pt>
                <c:pt idx="3">
                  <c:v>439.3</c:v>
                </c:pt>
                <c:pt idx="4">
                  <c:v>473.7</c:v>
                </c:pt>
                <c:pt idx="5">
                  <c:v>476.3</c:v>
                </c:pt>
              </c:numCache>
            </c:numRef>
          </c:xVal>
          <c:yVal>
            <c:numRef>
              <c:f>Experimental_Crovetto_et_al!$G$35:$G$40</c:f>
              <c:numCache>
                <c:formatCode>General</c:formatCode>
                <c:ptCount val="6"/>
                <c:pt idx="0">
                  <c:v>2.6143094761801691</c:v>
                </c:pt>
                <c:pt idx="1">
                  <c:v>3.1205210778255728</c:v>
                </c:pt>
                <c:pt idx="2">
                  <c:v>3.2252162427004807</c:v>
                </c:pt>
                <c:pt idx="3">
                  <c:v>2.7566054132008251</c:v>
                </c:pt>
                <c:pt idx="4">
                  <c:v>2.4205626181825304</c:v>
                </c:pt>
                <c:pt idx="5">
                  <c:v>2.4205626181825304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90-174C-BBDE-D2AC1F55F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1722"/>
        <c:axId val="80349176"/>
      </c:scatterChart>
      <c:valAx>
        <c:axId val="27021722"/>
        <c:scaling>
          <c:orientation val="minMax"/>
          <c:max val="480"/>
          <c:min val="2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Arial"/>
                  </a:rPr>
                  <a:t>Temp (K)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80349176"/>
        <c:crosses val="autoZero"/>
        <c:crossBetween val="midCat"/>
      </c:valAx>
      <c:valAx>
        <c:axId val="803491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Arial"/>
                  </a:rPr>
                  <a:t>Kh (GPa)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27021722"/>
        <c:crosses val="autoZero"/>
        <c:crossBetween val="midCat"/>
      </c:val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45195702627203799"/>
          <c:y val="7.4999999999999997E-2"/>
          <c:w val="0.40905486492644999"/>
          <c:h val="8.9494094488188999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550691091858999"/>
          <c:y val="2.2889150127930299E-2"/>
          <c:w val="0.82593743800013197"/>
          <c:h val="0.761358135675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Warr_et_al!$A$3:$A$3</c:f>
              <c:strCache>
                <c:ptCount val="1"/>
                <c:pt idx="0">
                  <c:v>He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Warr_et_al!$A$5:$A$11</c:f>
              <c:numCache>
                <c:formatCode>General</c:formatCode>
                <c:ptCount val="7"/>
                <c:pt idx="0">
                  <c:v>293.14999999999998</c:v>
                </c:pt>
                <c:pt idx="1">
                  <c:v>303.14999999999998</c:v>
                </c:pt>
                <c:pt idx="2">
                  <c:v>313.14999999999998</c:v>
                </c:pt>
                <c:pt idx="3">
                  <c:v>323.14999999999998</c:v>
                </c:pt>
                <c:pt idx="4">
                  <c:v>333.15</c:v>
                </c:pt>
                <c:pt idx="5">
                  <c:v>343.15</c:v>
                </c:pt>
                <c:pt idx="6">
                  <c:v>353.15</c:v>
                </c:pt>
              </c:numCache>
            </c:numRef>
          </c:xVal>
          <c:yVal>
            <c:numRef>
              <c:f>Warr_et_al!$D$5:$D$11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02-F741-AD59-2D459480DBD5}"/>
            </c:ext>
          </c:extLst>
        </c:ser>
        <c:ser>
          <c:idx val="1"/>
          <c:order val="1"/>
          <c:tx>
            <c:strRef>
              <c:f>Warr_et_al!$A$23:$A$23</c:f>
              <c:strCache>
                <c:ptCount val="1"/>
                <c:pt idx="0">
                  <c:v>Ar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Warr_et_al!$A$25:$A$31</c:f>
              <c:numCache>
                <c:formatCode>General</c:formatCode>
                <c:ptCount val="7"/>
                <c:pt idx="0">
                  <c:v>293.14999999999998</c:v>
                </c:pt>
                <c:pt idx="1">
                  <c:v>303.14999999999998</c:v>
                </c:pt>
                <c:pt idx="2">
                  <c:v>313.14999999999998</c:v>
                </c:pt>
                <c:pt idx="3">
                  <c:v>323.14999999999998</c:v>
                </c:pt>
                <c:pt idx="4">
                  <c:v>333.15</c:v>
                </c:pt>
                <c:pt idx="5">
                  <c:v>343.15</c:v>
                </c:pt>
                <c:pt idx="6">
                  <c:v>353.15</c:v>
                </c:pt>
              </c:numCache>
            </c:numRef>
          </c:xVal>
          <c:yVal>
            <c:numRef>
              <c:f>Warr_et_al!$D$25:$D$31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02-F741-AD59-2D459480DBD5}"/>
            </c:ext>
          </c:extLst>
        </c:ser>
        <c:ser>
          <c:idx val="2"/>
          <c:order val="2"/>
          <c:tx>
            <c:strRef>
              <c:f>Warr_et_al!$A$33:$A$33</c:f>
              <c:strCache>
                <c:ptCount val="1"/>
                <c:pt idx="0">
                  <c:v>Kr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Warr_et_al!$A$35:$A$40</c:f>
              <c:numCache>
                <c:formatCode>General</c:formatCode>
                <c:ptCount val="6"/>
                <c:pt idx="0">
                  <c:v>293.14999999999998</c:v>
                </c:pt>
                <c:pt idx="1">
                  <c:v>303.14999999999998</c:v>
                </c:pt>
                <c:pt idx="2">
                  <c:v>313.14999999999998</c:v>
                </c:pt>
                <c:pt idx="3">
                  <c:v>323.14999999999998</c:v>
                </c:pt>
                <c:pt idx="4">
                  <c:v>333.15</c:v>
                </c:pt>
                <c:pt idx="5">
                  <c:v>343.15</c:v>
                </c:pt>
              </c:numCache>
            </c:numRef>
          </c:xVal>
          <c:yVal>
            <c:numRef>
              <c:f>Warr_et_al!$D$35:$D$40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02-F741-AD59-2D459480DBD5}"/>
            </c:ext>
          </c:extLst>
        </c:ser>
        <c:ser>
          <c:idx val="3"/>
          <c:order val="3"/>
          <c:tx>
            <c:strRef>
              <c:f>Warr_et_al!$A$43:$A$43</c:f>
              <c:strCache>
                <c:ptCount val="1"/>
                <c:pt idx="0">
                  <c:v>Xe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Warr_et_al!$A$45:$A$50</c:f>
              <c:numCache>
                <c:formatCode>General</c:formatCode>
                <c:ptCount val="6"/>
                <c:pt idx="0">
                  <c:v>293.14999999999998</c:v>
                </c:pt>
                <c:pt idx="1">
                  <c:v>303.14999999999998</c:v>
                </c:pt>
                <c:pt idx="2">
                  <c:v>313.14999999999998</c:v>
                </c:pt>
                <c:pt idx="3">
                  <c:v>323.14999999999998</c:v>
                </c:pt>
                <c:pt idx="4">
                  <c:v>333.15</c:v>
                </c:pt>
                <c:pt idx="5">
                  <c:v>343.15</c:v>
                </c:pt>
              </c:numCache>
            </c:numRef>
          </c:xVal>
          <c:yVal>
            <c:numRef>
              <c:f>Warr_et_al!$D$45:$D$50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02-F741-AD59-2D459480D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6550"/>
        <c:axId val="18858692"/>
      </c:scatterChart>
      <c:valAx>
        <c:axId val="40366550"/>
        <c:scaling>
          <c:orientation val="minMax"/>
          <c:max val="380"/>
          <c:min val="2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Arial"/>
                  </a:rPr>
                  <a:t>Temp (K)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18858692"/>
        <c:crosses val="autoZero"/>
        <c:crossBetween val="midCat"/>
      </c:valAx>
      <c:valAx>
        <c:axId val="188586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Arial"/>
                  </a:rPr>
                  <a:t>dG (kcal/mol)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40366550"/>
        <c:crosses val="autoZero"/>
        <c:crossBetween val="midCat"/>
      </c:val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54198918061287404"/>
          <c:y val="0.59705281352026096"/>
          <c:w val="0.40905486492644999"/>
          <c:h val="8.9494094488188999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3311950267839401"/>
          <c:y val="2.2921108742004301E-2"/>
          <c:w val="0.72865551220157398"/>
          <c:h val="0.76119402985074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Warr_et_al!$A$3:$A$3</c:f>
              <c:strCache>
                <c:ptCount val="1"/>
                <c:pt idx="0">
                  <c:v>He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Warr_et_al!$A$5:$A$11</c:f>
              <c:numCache>
                <c:formatCode>General</c:formatCode>
                <c:ptCount val="7"/>
                <c:pt idx="0">
                  <c:v>293.14999999999998</c:v>
                </c:pt>
                <c:pt idx="1">
                  <c:v>303.14999999999998</c:v>
                </c:pt>
                <c:pt idx="2">
                  <c:v>313.14999999999998</c:v>
                </c:pt>
                <c:pt idx="3">
                  <c:v>323.14999999999998</c:v>
                </c:pt>
                <c:pt idx="4">
                  <c:v>333.15</c:v>
                </c:pt>
                <c:pt idx="5">
                  <c:v>343.15</c:v>
                </c:pt>
                <c:pt idx="6">
                  <c:v>353.15</c:v>
                </c:pt>
              </c:numCache>
            </c:numRef>
          </c:xVal>
          <c:yVal>
            <c:numRef>
              <c:f>Warr_et_al!$B$5:$B$11</c:f>
              <c:numCache>
                <c:formatCode>#,##0.00</c:formatCode>
                <c:ptCount val="7"/>
                <c:pt idx="0">
                  <c:v>14425.6</c:v>
                </c:pt>
                <c:pt idx="1">
                  <c:v>14712.7</c:v>
                </c:pt>
                <c:pt idx="2">
                  <c:v>14723.2</c:v>
                </c:pt>
                <c:pt idx="3">
                  <c:v>14494.7</c:v>
                </c:pt>
                <c:pt idx="4">
                  <c:v>14070.5</c:v>
                </c:pt>
                <c:pt idx="5">
                  <c:v>13495</c:v>
                </c:pt>
                <c:pt idx="6">
                  <c:v>12810.2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0-A444-82D1-8706B1EEAF89}"/>
            </c:ext>
          </c:extLst>
        </c:ser>
        <c:ser>
          <c:idx val="1"/>
          <c:order val="1"/>
          <c:tx>
            <c:strRef>
              <c:f>Warr_et_al!$A$23:$A$23</c:f>
              <c:strCache>
                <c:ptCount val="1"/>
                <c:pt idx="0">
                  <c:v>Ar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Warr_et_al!$A$25:$A$31</c:f>
              <c:numCache>
                <c:formatCode>General</c:formatCode>
                <c:ptCount val="7"/>
                <c:pt idx="0">
                  <c:v>293.14999999999998</c:v>
                </c:pt>
                <c:pt idx="1">
                  <c:v>303.14999999999998</c:v>
                </c:pt>
                <c:pt idx="2">
                  <c:v>313.14999999999998</c:v>
                </c:pt>
                <c:pt idx="3">
                  <c:v>323.14999999999998</c:v>
                </c:pt>
                <c:pt idx="4">
                  <c:v>333.15</c:v>
                </c:pt>
                <c:pt idx="5">
                  <c:v>343.15</c:v>
                </c:pt>
                <c:pt idx="6">
                  <c:v>353.15</c:v>
                </c:pt>
              </c:numCache>
            </c:numRef>
          </c:xVal>
          <c:yVal>
            <c:numRef>
              <c:f>Warr_et_al!$B$25:$B$31</c:f>
              <c:numCache>
                <c:formatCode>General</c:formatCode>
                <c:ptCount val="7"/>
                <c:pt idx="0">
                  <c:v>3707.1</c:v>
                </c:pt>
                <c:pt idx="1">
                  <c:v>4405.6000000000004</c:v>
                </c:pt>
                <c:pt idx="2">
                  <c:v>5037.1000000000004</c:v>
                </c:pt>
                <c:pt idx="3">
                  <c:v>5572</c:v>
                </c:pt>
                <c:pt idx="4">
                  <c:v>5991.9</c:v>
                </c:pt>
                <c:pt idx="5">
                  <c:v>6289.2</c:v>
                </c:pt>
                <c:pt idx="6">
                  <c:v>6465.5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70-A444-82D1-8706B1EEAF89}"/>
            </c:ext>
          </c:extLst>
        </c:ser>
        <c:ser>
          <c:idx val="2"/>
          <c:order val="2"/>
          <c:tx>
            <c:strRef>
              <c:f>Warr_et_al!$A$33:$A$33</c:f>
              <c:strCache>
                <c:ptCount val="1"/>
                <c:pt idx="0">
                  <c:v>Kr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Warr_et_al!$A$35:$A$40</c:f>
              <c:numCache>
                <c:formatCode>General</c:formatCode>
                <c:ptCount val="6"/>
                <c:pt idx="0">
                  <c:v>293.14999999999998</c:v>
                </c:pt>
                <c:pt idx="1">
                  <c:v>303.14999999999998</c:v>
                </c:pt>
                <c:pt idx="2">
                  <c:v>313.14999999999998</c:v>
                </c:pt>
                <c:pt idx="3">
                  <c:v>323.14999999999998</c:v>
                </c:pt>
                <c:pt idx="4">
                  <c:v>333.15</c:v>
                </c:pt>
                <c:pt idx="5">
                  <c:v>343.15</c:v>
                </c:pt>
              </c:numCache>
            </c:numRef>
          </c:xVal>
          <c:yVal>
            <c:numRef>
              <c:f>Warr_et_al!$B$35:$B$40</c:f>
              <c:numCache>
                <c:formatCode>General</c:formatCode>
                <c:ptCount val="6"/>
                <c:pt idx="0">
                  <c:v>2012.6</c:v>
                </c:pt>
                <c:pt idx="1">
                  <c:v>2490.6999999999998</c:v>
                </c:pt>
                <c:pt idx="2">
                  <c:v>2948.3</c:v>
                </c:pt>
                <c:pt idx="3">
                  <c:v>3362.6</c:v>
                </c:pt>
                <c:pt idx="4">
                  <c:v>3717</c:v>
                </c:pt>
                <c:pt idx="5">
                  <c:v>4001.9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70-A444-82D1-8706B1EEAF89}"/>
            </c:ext>
          </c:extLst>
        </c:ser>
        <c:ser>
          <c:idx val="3"/>
          <c:order val="3"/>
          <c:tx>
            <c:strRef>
              <c:f>Warr_et_al!$A$43:$A$43</c:f>
              <c:strCache>
                <c:ptCount val="1"/>
                <c:pt idx="0">
                  <c:v>Xe</c:v>
                </c:pt>
              </c:strCache>
            </c:strRef>
          </c:tx>
          <c:spPr>
            <a:ln w="1908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Warr_et_al!$A$45:$A$50</c:f>
              <c:numCache>
                <c:formatCode>General</c:formatCode>
                <c:ptCount val="6"/>
                <c:pt idx="0">
                  <c:v>293.14999999999998</c:v>
                </c:pt>
                <c:pt idx="1">
                  <c:v>303.14999999999998</c:v>
                </c:pt>
                <c:pt idx="2">
                  <c:v>313.14999999999998</c:v>
                </c:pt>
                <c:pt idx="3">
                  <c:v>323.14999999999998</c:v>
                </c:pt>
                <c:pt idx="4">
                  <c:v>333.15</c:v>
                </c:pt>
                <c:pt idx="5">
                  <c:v>343.15</c:v>
                </c:pt>
              </c:numCache>
            </c:numRef>
          </c:xVal>
          <c:yVal>
            <c:numRef>
              <c:f>Warr_et_al!$B$45:$B$50</c:f>
              <c:numCache>
                <c:formatCode>General</c:formatCode>
                <c:ptCount val="6"/>
                <c:pt idx="0">
                  <c:v>1151</c:v>
                </c:pt>
                <c:pt idx="1">
                  <c:v>1513.4</c:v>
                </c:pt>
                <c:pt idx="2">
                  <c:v>1876.1</c:v>
                </c:pt>
                <c:pt idx="3" formatCode="#,##0.00">
                  <c:v>2216.1999999999998</c:v>
                </c:pt>
                <c:pt idx="4">
                  <c:v>2516.1</c:v>
                </c:pt>
                <c:pt idx="5">
                  <c:v>2764.6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70-A444-82D1-8706B1EEA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76676"/>
        <c:axId val="30970818"/>
      </c:scatterChart>
      <c:valAx>
        <c:axId val="61776676"/>
        <c:scaling>
          <c:orientation val="minMax"/>
          <c:max val="380"/>
          <c:min val="2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Arial"/>
                  </a:rPr>
                  <a:t>Temp (K)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30970818"/>
        <c:crosses val="autoZero"/>
        <c:crossBetween val="midCat"/>
      </c:valAx>
      <c:valAx>
        <c:axId val="309708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Arial"/>
                  </a:rPr>
                  <a:t>Kh (MPa)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61776676"/>
        <c:crosses val="autoZero"/>
        <c:crossBetween val="midCat"/>
      </c:val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25688735853355898"/>
          <c:y val="0.30808270676691701"/>
          <c:w val="0.40905486492644999"/>
          <c:h val="8.9494094488188999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595959"/>
                </a:solidFill>
                <a:latin typeface="Calibri"/>
              </a:rPr>
              <a:t>Free Energy of Hydration of Noble Gases_SPC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SPC!$B$1</c:f>
              <c:strCache>
                <c:ptCount val="1"/>
                <c:pt idx="0">
                  <c:v>TI_1(Kcal/mol)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SPC!$A$2:$A$6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SPC!$B$2:$B$6</c:f>
              <c:numCache>
                <c:formatCode>General</c:formatCode>
                <c:ptCount val="5"/>
                <c:pt idx="0">
                  <c:v>1.93</c:v>
                </c:pt>
                <c:pt idx="1">
                  <c:v>1.75</c:v>
                </c:pt>
                <c:pt idx="2">
                  <c:v>1.62</c:v>
                </c:pt>
                <c:pt idx="3">
                  <c:v>1.18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1-1342-A9B7-E88D813F8EF1}"/>
            </c:ext>
          </c:extLst>
        </c:ser>
        <c:ser>
          <c:idx val="1"/>
          <c:order val="1"/>
          <c:tx>
            <c:strRef>
              <c:f>SPC!$C$1</c:f>
              <c:strCache>
                <c:ptCount val="1"/>
                <c:pt idx="0">
                  <c:v>TI_2(Kcal/mol)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SPC!$A$2:$A$6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SPC!$C$2:$C$6</c:f>
              <c:numCache>
                <c:formatCode>General</c:formatCode>
                <c:ptCount val="5"/>
                <c:pt idx="0">
                  <c:v>1.95</c:v>
                </c:pt>
                <c:pt idx="1">
                  <c:v>1.73</c:v>
                </c:pt>
                <c:pt idx="2">
                  <c:v>1.45</c:v>
                </c:pt>
                <c:pt idx="3">
                  <c:v>1.1499999999999999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1-1342-A9B7-E88D813F8EF1}"/>
            </c:ext>
          </c:extLst>
        </c:ser>
        <c:ser>
          <c:idx val="2"/>
          <c:order val="2"/>
          <c:tx>
            <c:strRef>
              <c:f>SPC!$D$1</c:f>
              <c:strCache>
                <c:ptCount val="1"/>
                <c:pt idx="0">
                  <c:v>TI_3(Kcal/mol)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SPC!$A$2:$A$6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SPC!$D$2:$D$6</c:f>
              <c:numCache>
                <c:formatCode>General</c:formatCode>
                <c:ptCount val="5"/>
                <c:pt idx="0">
                  <c:v>1.97</c:v>
                </c:pt>
                <c:pt idx="1">
                  <c:v>1.87</c:v>
                </c:pt>
                <c:pt idx="2">
                  <c:v>1.52</c:v>
                </c:pt>
                <c:pt idx="3">
                  <c:v>1.18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1-1342-A9B7-E88D813F8EF1}"/>
            </c:ext>
          </c:extLst>
        </c:ser>
        <c:ser>
          <c:idx val="3"/>
          <c:order val="3"/>
          <c:tx>
            <c:strRef>
              <c:f>SPC!$E$1</c:f>
              <c:strCache>
                <c:ptCount val="1"/>
                <c:pt idx="0">
                  <c:v>TI_4(Kcal/mol)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SPC!$A$2:$A$6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SPC!$E$2:$E$6</c:f>
              <c:numCache>
                <c:formatCode>General</c:formatCode>
                <c:ptCount val="5"/>
                <c:pt idx="0">
                  <c:v>1.96</c:v>
                </c:pt>
                <c:pt idx="1">
                  <c:v>1.81</c:v>
                </c:pt>
                <c:pt idx="2">
                  <c:v>1.7</c:v>
                </c:pt>
                <c:pt idx="3">
                  <c:v>1.5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91-1342-A9B7-E88D813F8EF1}"/>
            </c:ext>
          </c:extLst>
        </c:ser>
        <c:ser>
          <c:idx val="4"/>
          <c:order val="4"/>
          <c:tx>
            <c:strRef>
              <c:f>SPC!$F$1</c:f>
              <c:strCache>
                <c:ptCount val="1"/>
                <c:pt idx="0">
                  <c:v>TI_5(Kcal/mol)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SPC!$A$2:$A$6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SPC!$F$2:$F$6</c:f>
              <c:numCache>
                <c:formatCode>General</c:formatCode>
                <c:ptCount val="5"/>
                <c:pt idx="0">
                  <c:v>1.95</c:v>
                </c:pt>
                <c:pt idx="1">
                  <c:v>1.9</c:v>
                </c:pt>
                <c:pt idx="2">
                  <c:v>1.61</c:v>
                </c:pt>
                <c:pt idx="3">
                  <c:v>1.1000000000000001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91-1342-A9B7-E88D813F8EF1}"/>
            </c:ext>
          </c:extLst>
        </c:ser>
        <c:ser>
          <c:idx val="5"/>
          <c:order val="5"/>
          <c:tx>
            <c:strRef>
              <c:f>SPC!$H$1</c:f>
              <c:strCache>
                <c:ptCount val="1"/>
                <c:pt idx="0">
                  <c:v>Experimental(Kcal/mol)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SPC!$A$2:$A$6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SPC!$H$2:$H$6</c:f>
              <c:numCache>
                <c:formatCode>General</c:formatCode>
                <c:ptCount val="5"/>
                <c:pt idx="0">
                  <c:v>2.477536196</c:v>
                </c:pt>
                <c:pt idx="1">
                  <c:v>1.9867612755999999</c:v>
                </c:pt>
                <c:pt idx="2">
                  <c:v>1.6625257360000001</c:v>
                </c:pt>
                <c:pt idx="3">
                  <c:v>1.447420336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91-1342-A9B7-E88D813F8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83220"/>
        <c:axId val="32839871"/>
      </c:barChart>
      <c:catAx>
        <c:axId val="316832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839871"/>
        <c:crosses val="autoZero"/>
        <c:auto val="1"/>
        <c:lblAlgn val="ctr"/>
        <c:lblOffset val="100"/>
        <c:noMultiLvlLbl val="0"/>
      </c:catAx>
      <c:valAx>
        <c:axId val="328398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68322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595959"/>
                </a:solidFill>
                <a:latin typeface="Calibri"/>
              </a:rPr>
              <a:t>Free Energy of Hydration of Noble Gases_MSPCE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MSPCE!$B$1</c:f>
              <c:strCache>
                <c:ptCount val="1"/>
                <c:pt idx="0">
                  <c:v>TI_1(Kcal/mol)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MSPCE!$A$2:$A$6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MSPCE!$B$2:$B$6</c:f>
              <c:numCache>
                <c:formatCode>General</c:formatCode>
                <c:ptCount val="5"/>
                <c:pt idx="0">
                  <c:v>1.96</c:v>
                </c:pt>
                <c:pt idx="1">
                  <c:v>1.84</c:v>
                </c:pt>
                <c:pt idx="2">
                  <c:v>1.48</c:v>
                </c:pt>
                <c:pt idx="3">
                  <c:v>1.1200000000000001</c:v>
                </c:pt>
                <c:pt idx="4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2-294C-800C-755D00CCD9BC}"/>
            </c:ext>
          </c:extLst>
        </c:ser>
        <c:ser>
          <c:idx val="1"/>
          <c:order val="1"/>
          <c:tx>
            <c:strRef>
              <c:f>MSPCE!$C$1</c:f>
              <c:strCache>
                <c:ptCount val="1"/>
                <c:pt idx="0">
                  <c:v>TI_2(Kcal/mol)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MSPCE!$A$2:$A$6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MSPCE!$C$2:$C$6</c:f>
              <c:numCache>
                <c:formatCode>General</c:formatCode>
                <c:ptCount val="5"/>
                <c:pt idx="0">
                  <c:v>1.81</c:v>
                </c:pt>
                <c:pt idx="1">
                  <c:v>1.57</c:v>
                </c:pt>
                <c:pt idx="2">
                  <c:v>1.2</c:v>
                </c:pt>
                <c:pt idx="3">
                  <c:v>1.07</c:v>
                </c:pt>
                <c:pt idx="4">
                  <c:v>-0.17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2-294C-800C-755D00CCD9BC}"/>
            </c:ext>
          </c:extLst>
        </c:ser>
        <c:ser>
          <c:idx val="2"/>
          <c:order val="2"/>
          <c:tx>
            <c:strRef>
              <c:f>MSPCE!$D$1</c:f>
              <c:strCache>
                <c:ptCount val="1"/>
                <c:pt idx="0">
                  <c:v>TI_3(Kcal/mol)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MSPCE!$A$2:$A$6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MSPCE!$D$2:$D$6</c:f>
              <c:numCache>
                <c:formatCode>General</c:formatCode>
                <c:ptCount val="5"/>
                <c:pt idx="0">
                  <c:v>1.8</c:v>
                </c:pt>
                <c:pt idx="1">
                  <c:v>1.66</c:v>
                </c:pt>
                <c:pt idx="2">
                  <c:v>1.34</c:v>
                </c:pt>
                <c:pt idx="3">
                  <c:v>0.95</c:v>
                </c:pt>
                <c:pt idx="4">
                  <c:v>-0.15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92-294C-800C-755D00CCD9BC}"/>
            </c:ext>
          </c:extLst>
        </c:ser>
        <c:ser>
          <c:idx val="3"/>
          <c:order val="3"/>
          <c:tx>
            <c:strRef>
              <c:f>MSPCE!$E$1</c:f>
              <c:strCache>
                <c:ptCount val="1"/>
                <c:pt idx="0">
                  <c:v>TI_4(Kcal/mol)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MSPCE!$A$2:$A$6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MSPCE!$E$2:$E$6</c:f>
              <c:numCache>
                <c:formatCode>General</c:formatCode>
                <c:ptCount val="5"/>
                <c:pt idx="0">
                  <c:v>1.84</c:v>
                </c:pt>
                <c:pt idx="1">
                  <c:v>1.58</c:v>
                </c:pt>
                <c:pt idx="2">
                  <c:v>1.1000000000000001</c:v>
                </c:pt>
                <c:pt idx="3">
                  <c:v>0.83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92-294C-800C-755D00CCD9BC}"/>
            </c:ext>
          </c:extLst>
        </c:ser>
        <c:ser>
          <c:idx val="4"/>
          <c:order val="4"/>
          <c:tx>
            <c:strRef>
              <c:f>MSPCE!$F$1</c:f>
              <c:strCache>
                <c:ptCount val="1"/>
                <c:pt idx="0">
                  <c:v>TI_5(Kcal/mol)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MSPCE!$A$2:$A$6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MSPCE!$F$2:$F$6</c:f>
              <c:numCache>
                <c:formatCode>General</c:formatCode>
                <c:ptCount val="5"/>
                <c:pt idx="0">
                  <c:v>1.82</c:v>
                </c:pt>
                <c:pt idx="1">
                  <c:v>1.5</c:v>
                </c:pt>
                <c:pt idx="2">
                  <c:v>1.0900000000000001</c:v>
                </c:pt>
                <c:pt idx="3">
                  <c:v>0.81</c:v>
                </c:pt>
                <c:pt idx="4">
                  <c:v>-0.06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92-294C-800C-755D00CCD9BC}"/>
            </c:ext>
          </c:extLst>
        </c:ser>
        <c:ser>
          <c:idx val="5"/>
          <c:order val="5"/>
          <c:tx>
            <c:strRef>
              <c:f>MSPCE!$H$1</c:f>
              <c:strCache>
                <c:ptCount val="1"/>
                <c:pt idx="0">
                  <c:v>Experimental(Kcal/mol)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MSPCE!$A$2:$A$6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MSPCE!$H$2:$H$6</c:f>
              <c:numCache>
                <c:formatCode>General</c:formatCode>
                <c:ptCount val="5"/>
                <c:pt idx="0">
                  <c:v>2.477536196</c:v>
                </c:pt>
                <c:pt idx="1">
                  <c:v>1.9867612755999999</c:v>
                </c:pt>
                <c:pt idx="2">
                  <c:v>1.6625257360000001</c:v>
                </c:pt>
                <c:pt idx="3">
                  <c:v>1.447420336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92-294C-800C-755D00CCD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81716"/>
        <c:axId val="7797146"/>
      </c:barChart>
      <c:catAx>
        <c:axId val="479817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797146"/>
        <c:crosses val="autoZero"/>
        <c:auto val="1"/>
        <c:lblAlgn val="ctr"/>
        <c:lblOffset val="100"/>
        <c:noMultiLvlLbl val="0"/>
      </c:catAx>
      <c:valAx>
        <c:axId val="77971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98171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595959"/>
                </a:solidFill>
                <a:latin typeface="Calibri"/>
              </a:rPr>
              <a:t>Free Energy of Hydration of Noble Gases_TIP4P2005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TIP4P2005!$B$1</c:f>
              <c:strCache>
                <c:ptCount val="1"/>
                <c:pt idx="0">
                  <c:v>TI_1(Kcal/mol)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TIP4P2005!$A$2:$A$6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TIP4P2005!$B$2:$B$6</c:f>
              <c:numCache>
                <c:formatCode>General</c:formatCode>
                <c:ptCount val="5"/>
                <c:pt idx="0">
                  <c:v>1.84</c:v>
                </c:pt>
                <c:pt idx="1">
                  <c:v>1.91</c:v>
                </c:pt>
                <c:pt idx="2">
                  <c:v>1.45</c:v>
                </c:pt>
                <c:pt idx="3">
                  <c:v>1.1100000000000001</c:v>
                </c:pt>
                <c:pt idx="4">
                  <c:v>-0.09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F-2946-BC4E-28BECA8251A2}"/>
            </c:ext>
          </c:extLst>
        </c:ser>
        <c:ser>
          <c:idx val="1"/>
          <c:order val="1"/>
          <c:tx>
            <c:strRef>
              <c:f>TIP4P2005!$C$1</c:f>
              <c:strCache>
                <c:ptCount val="1"/>
                <c:pt idx="0">
                  <c:v>TI_2(Kcal/mol)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TIP4P2005!$A$2:$A$6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TIP4P2005!$C$2:$C$6</c:f>
              <c:numCache>
                <c:formatCode>General</c:formatCode>
                <c:ptCount val="5"/>
                <c:pt idx="0">
                  <c:v>1.86</c:v>
                </c:pt>
                <c:pt idx="1">
                  <c:v>1.56</c:v>
                </c:pt>
                <c:pt idx="2">
                  <c:v>1.1599999999999999</c:v>
                </c:pt>
                <c:pt idx="3">
                  <c:v>1.2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F-2946-BC4E-28BECA8251A2}"/>
            </c:ext>
          </c:extLst>
        </c:ser>
        <c:ser>
          <c:idx val="2"/>
          <c:order val="2"/>
          <c:tx>
            <c:strRef>
              <c:f>TIP4P2005!$D$1</c:f>
              <c:strCache>
                <c:ptCount val="1"/>
                <c:pt idx="0">
                  <c:v>TI_3(Kcal/mol)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TIP4P2005!$A$2:$A$6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TIP4P2005!$D$2:$D$6</c:f>
              <c:numCache>
                <c:formatCode>General</c:formatCode>
                <c:ptCount val="5"/>
                <c:pt idx="0">
                  <c:v>1.93</c:v>
                </c:pt>
                <c:pt idx="1">
                  <c:v>1.81</c:v>
                </c:pt>
                <c:pt idx="2">
                  <c:v>1.63</c:v>
                </c:pt>
                <c:pt idx="3">
                  <c:v>0.85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0F-2946-BC4E-28BECA8251A2}"/>
            </c:ext>
          </c:extLst>
        </c:ser>
        <c:ser>
          <c:idx val="3"/>
          <c:order val="3"/>
          <c:tx>
            <c:strRef>
              <c:f>TIP4P2005!$E$1</c:f>
              <c:strCache>
                <c:ptCount val="1"/>
                <c:pt idx="0">
                  <c:v>TI_4(Kcal/mol)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TIP4P2005!$A$2:$A$6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TIP4P2005!$E$2:$E$6</c:f>
              <c:numCache>
                <c:formatCode>General</c:formatCode>
                <c:ptCount val="5"/>
                <c:pt idx="0">
                  <c:v>1.98</c:v>
                </c:pt>
                <c:pt idx="1">
                  <c:v>1.75</c:v>
                </c:pt>
                <c:pt idx="2">
                  <c:v>1.61</c:v>
                </c:pt>
                <c:pt idx="3">
                  <c:v>0.83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0F-2946-BC4E-28BECA8251A2}"/>
            </c:ext>
          </c:extLst>
        </c:ser>
        <c:ser>
          <c:idx val="4"/>
          <c:order val="4"/>
          <c:tx>
            <c:strRef>
              <c:f>TIP4P2005!$F$1</c:f>
              <c:strCache>
                <c:ptCount val="1"/>
                <c:pt idx="0">
                  <c:v>TI_5(Kcal/mol)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TIP4P2005!$A$2:$A$6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TIP4P2005!$F$2:$F$6</c:f>
              <c:numCache>
                <c:formatCode>General</c:formatCode>
                <c:ptCount val="5"/>
                <c:pt idx="0">
                  <c:v>1.97</c:v>
                </c:pt>
                <c:pt idx="1">
                  <c:v>1.63</c:v>
                </c:pt>
                <c:pt idx="2">
                  <c:v>1.51</c:v>
                </c:pt>
                <c:pt idx="3">
                  <c:v>1.2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0F-2946-BC4E-28BECA8251A2}"/>
            </c:ext>
          </c:extLst>
        </c:ser>
        <c:ser>
          <c:idx val="5"/>
          <c:order val="5"/>
          <c:tx>
            <c:strRef>
              <c:f>TIP4P2005!$H$1</c:f>
              <c:strCache>
                <c:ptCount val="1"/>
                <c:pt idx="0">
                  <c:v>Experimental(Kcal/mol)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TIP4P2005!$A$2:$A$6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TIP4P2005!$H$2:$H$6</c:f>
              <c:numCache>
                <c:formatCode>General</c:formatCode>
                <c:ptCount val="5"/>
                <c:pt idx="0">
                  <c:v>2.477536196</c:v>
                </c:pt>
                <c:pt idx="1">
                  <c:v>1.9867612755999999</c:v>
                </c:pt>
                <c:pt idx="2">
                  <c:v>1.6625257360000001</c:v>
                </c:pt>
                <c:pt idx="3">
                  <c:v>1.447420336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0F-2946-BC4E-28BECA825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40104"/>
        <c:axId val="8320622"/>
      </c:barChart>
      <c:catAx>
        <c:axId val="2654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320622"/>
        <c:crosses val="autoZero"/>
        <c:auto val="1"/>
        <c:lblAlgn val="ctr"/>
        <c:lblOffset val="100"/>
        <c:noMultiLvlLbl val="0"/>
      </c:catAx>
      <c:valAx>
        <c:axId val="83206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54010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595959"/>
                </a:solidFill>
                <a:latin typeface="Calibri"/>
              </a:rPr>
              <a:t>Free Energy of Hydration of Noble Gases</a:t>
            </a:r>
          </a:p>
        </c:rich>
      </c:tx>
      <c:layout>
        <c:manualLayout>
          <c:xMode val="edge"/>
          <c:yMode val="edge"/>
          <c:x val="5.9050674270777599E-2"/>
          <c:y val="9.2996701344836299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SPCE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Comparison!$A$2:$A$6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Comparison!$B$2:$B$6</c:f>
              <c:numCache>
                <c:formatCode>General</c:formatCode>
                <c:ptCount val="5"/>
                <c:pt idx="0">
                  <c:v>1.8328</c:v>
                </c:pt>
                <c:pt idx="1">
                  <c:v>1.554</c:v>
                </c:pt>
                <c:pt idx="2">
                  <c:v>1.1879999999999999</c:v>
                </c:pt>
                <c:pt idx="3">
                  <c:v>0.87</c:v>
                </c:pt>
                <c:pt idx="4">
                  <c:v>0.124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2-914F-9CE9-462486667AE1}"/>
            </c:ext>
          </c:extLst>
        </c:ser>
        <c:ser>
          <c:idx val="1"/>
          <c:order val="1"/>
          <c:tx>
            <c:strRef>
              <c:f>Comparison!$C$1</c:f>
              <c:strCache>
                <c:ptCount val="1"/>
                <c:pt idx="0">
                  <c:v>SPC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Comparison!$A$2:$A$6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Comparison!$C$2:$C$6</c:f>
              <c:numCache>
                <c:formatCode>General</c:formatCode>
                <c:ptCount val="5"/>
                <c:pt idx="0">
                  <c:v>1.952</c:v>
                </c:pt>
                <c:pt idx="1">
                  <c:v>1.8120000000000001</c:v>
                </c:pt>
                <c:pt idx="2">
                  <c:v>1.58</c:v>
                </c:pt>
                <c:pt idx="3">
                  <c:v>1.222</c:v>
                </c:pt>
                <c:pt idx="4">
                  <c:v>0.55200000000000005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2-914F-9CE9-462486667AE1}"/>
            </c:ext>
          </c:extLst>
        </c:ser>
        <c:ser>
          <c:idx val="2"/>
          <c:order val="2"/>
          <c:tx>
            <c:strRef>
              <c:f>Comparison!$D$1</c:f>
              <c:strCache>
                <c:ptCount val="1"/>
                <c:pt idx="0">
                  <c:v>MSPCE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Comparison!$A$2:$A$6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Comparison!$D$2:$D$6</c:f>
              <c:numCache>
                <c:formatCode>General</c:formatCode>
                <c:ptCount val="5"/>
                <c:pt idx="0">
                  <c:v>1.8460000000000001</c:v>
                </c:pt>
                <c:pt idx="1">
                  <c:v>1.63</c:v>
                </c:pt>
                <c:pt idx="2">
                  <c:v>1.242</c:v>
                </c:pt>
                <c:pt idx="3">
                  <c:v>0.95599999999999996</c:v>
                </c:pt>
                <c:pt idx="4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82-914F-9CE9-462486667AE1}"/>
            </c:ext>
          </c:extLst>
        </c:ser>
        <c:ser>
          <c:idx val="3"/>
          <c:order val="3"/>
          <c:tx>
            <c:strRef>
              <c:f>Comparison!$E$1</c:f>
              <c:strCache>
                <c:ptCount val="1"/>
                <c:pt idx="0">
                  <c:v>TIP4P2005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Comparison!$A$2:$A$6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Comparison!$E$2:$E$6</c:f>
              <c:numCache>
                <c:formatCode>General</c:formatCode>
                <c:ptCount val="5"/>
                <c:pt idx="0">
                  <c:v>1.9159999999999999</c:v>
                </c:pt>
                <c:pt idx="1">
                  <c:v>1.732</c:v>
                </c:pt>
                <c:pt idx="2">
                  <c:v>1.472</c:v>
                </c:pt>
                <c:pt idx="3">
                  <c:v>1.038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82-914F-9CE9-462486667AE1}"/>
            </c:ext>
          </c:extLst>
        </c:ser>
        <c:ser>
          <c:idx val="4"/>
          <c:order val="4"/>
          <c:tx>
            <c:strRef>
              <c:f>Comparison!$F$1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Comparison!$A$2:$A$6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Comparison!$F$2:$F$6</c:f>
              <c:numCache>
                <c:formatCode>General</c:formatCode>
                <c:ptCount val="5"/>
                <c:pt idx="0">
                  <c:v>2.477536196</c:v>
                </c:pt>
                <c:pt idx="1">
                  <c:v>1.9867612755999999</c:v>
                </c:pt>
                <c:pt idx="2">
                  <c:v>1.6625257360000001</c:v>
                </c:pt>
                <c:pt idx="3">
                  <c:v>1.447420336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82-914F-9CE9-462486667AE1}"/>
            </c:ext>
          </c:extLst>
        </c:ser>
        <c:ser>
          <c:idx val="5"/>
          <c:order val="5"/>
          <c:tx>
            <c:strRef>
              <c:f>Comparison!$H$1</c:f>
              <c:strCache>
                <c:ptCount val="1"/>
                <c:pt idx="0">
                  <c:v>Vrabec DeltaG(kcal/mol)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Comparison!$A$2:$A$6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Comparison!$H$2:$H$6</c:f>
              <c:numCache>
                <c:formatCode>General</c:formatCode>
                <c:ptCount val="5"/>
                <c:pt idx="0">
                  <c:v>1.5274273423683451</c:v>
                </c:pt>
                <c:pt idx="1">
                  <c:v>1.0960473066882035</c:v>
                </c:pt>
                <c:pt idx="2">
                  <c:v>0.9341107791176948</c:v>
                </c:pt>
                <c:pt idx="3">
                  <c:v>0.64421497894445434</c:v>
                </c:pt>
                <c:pt idx="4">
                  <c:v>-0.17131467414503551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82-914F-9CE9-462486667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09945"/>
        <c:axId val="90226720"/>
      </c:barChart>
      <c:catAx>
        <c:axId val="827099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226720"/>
        <c:crosses val="autoZero"/>
        <c:auto val="1"/>
        <c:lblAlgn val="ctr"/>
        <c:lblOffset val="100"/>
        <c:noMultiLvlLbl val="0"/>
      </c:catAx>
      <c:valAx>
        <c:axId val="902267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270994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TIP4P_densityies!$A$1</c:f>
              <c:strCache>
                <c:ptCount val="1"/>
                <c:pt idx="0">
                  <c:v>from paper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4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TIP4P_densityies!$A$3:$A$15</c:f>
              <c:numCache>
                <c:formatCode>General</c:formatCode>
                <c:ptCount val="13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298</c:v>
                </c:pt>
                <c:pt idx="6">
                  <c:v>300</c:v>
                </c:pt>
                <c:pt idx="7">
                  <c:v>315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</c:numCache>
            </c:numRef>
          </c:xVal>
          <c:yVal>
            <c:numRef>
              <c:f>TIP4P_densityies!$B$3:$B$15</c:f>
              <c:numCache>
                <c:formatCode>General</c:formatCode>
                <c:ptCount val="13"/>
                <c:pt idx="0">
                  <c:v>0.99080000000000001</c:v>
                </c:pt>
                <c:pt idx="1">
                  <c:v>0.99650000000000005</c:v>
                </c:pt>
                <c:pt idx="2">
                  <c:v>1.0009999999999999</c:v>
                </c:pt>
                <c:pt idx="3">
                  <c:v>0.99939999999999996</c:v>
                </c:pt>
                <c:pt idx="4">
                  <c:v>0.99929999999999997</c:v>
                </c:pt>
                <c:pt idx="5">
                  <c:v>0.99790000000000001</c:v>
                </c:pt>
                <c:pt idx="6">
                  <c:v>0.99681570950000031</c:v>
                </c:pt>
                <c:pt idx="7">
                  <c:v>0.99129999999999996</c:v>
                </c:pt>
                <c:pt idx="8">
                  <c:v>0.98409999999999997</c:v>
                </c:pt>
                <c:pt idx="9">
                  <c:v>0.97760000000000002</c:v>
                </c:pt>
                <c:pt idx="10">
                  <c:v>0.97130000000000005</c:v>
                </c:pt>
                <c:pt idx="11">
                  <c:v>0.96679999999999999</c:v>
                </c:pt>
                <c:pt idx="12">
                  <c:v>0.95850000000000002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5E-3D4C-8150-0638115B02CA}"/>
            </c:ext>
          </c:extLst>
        </c:ser>
        <c:ser>
          <c:idx val="1"/>
          <c:order val="1"/>
          <c:tx>
            <c:strRef>
              <c:f>TIP4P_densityies!$F$2</c:f>
              <c:strCache>
                <c:ptCount val="1"/>
                <c:pt idx="0">
                  <c:v>all x^4 poly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TIP4P_densityies!$E$3:$E$28</c:f>
              <c:numCache>
                <c:formatCode>General</c:formatCode>
                <c:ptCount val="26"/>
                <c:pt idx="0">
                  <c:v>250</c:v>
                </c:pt>
                <c:pt idx="1">
                  <c:v>255</c:v>
                </c:pt>
                <c:pt idx="2">
                  <c:v>260</c:v>
                </c:pt>
                <c:pt idx="3">
                  <c:v>265</c:v>
                </c:pt>
                <c:pt idx="4">
                  <c:v>270</c:v>
                </c:pt>
                <c:pt idx="5">
                  <c:v>275</c:v>
                </c:pt>
                <c:pt idx="6">
                  <c:v>280</c:v>
                </c:pt>
                <c:pt idx="7">
                  <c:v>285</c:v>
                </c:pt>
                <c:pt idx="8">
                  <c:v>290</c:v>
                </c:pt>
                <c:pt idx="9">
                  <c:v>295</c:v>
                </c:pt>
                <c:pt idx="10">
                  <c:v>300</c:v>
                </c:pt>
                <c:pt idx="11">
                  <c:v>305</c:v>
                </c:pt>
                <c:pt idx="12">
                  <c:v>310</c:v>
                </c:pt>
                <c:pt idx="13">
                  <c:v>315</c:v>
                </c:pt>
                <c:pt idx="14">
                  <c:v>320</c:v>
                </c:pt>
                <c:pt idx="15">
                  <c:v>325</c:v>
                </c:pt>
                <c:pt idx="16">
                  <c:v>330</c:v>
                </c:pt>
                <c:pt idx="17">
                  <c:v>335</c:v>
                </c:pt>
                <c:pt idx="18">
                  <c:v>340</c:v>
                </c:pt>
                <c:pt idx="19">
                  <c:v>345</c:v>
                </c:pt>
                <c:pt idx="20">
                  <c:v>350</c:v>
                </c:pt>
                <c:pt idx="21">
                  <c:v>355</c:v>
                </c:pt>
                <c:pt idx="22">
                  <c:v>360</c:v>
                </c:pt>
                <c:pt idx="23">
                  <c:v>365</c:v>
                </c:pt>
                <c:pt idx="24">
                  <c:v>370</c:v>
                </c:pt>
                <c:pt idx="25">
                  <c:v>375</c:v>
                </c:pt>
              </c:numCache>
            </c:numRef>
          </c:xVal>
          <c:yVal>
            <c:numRef>
              <c:f>TIP4P_densityies!$F$3:$F$28</c:f>
              <c:numCache>
                <c:formatCode>General</c:formatCode>
                <c:ptCount val="26"/>
                <c:pt idx="0">
                  <c:v>0.9908316429999986</c:v>
                </c:pt>
                <c:pt idx="1">
                  <c:v>0.99420874303324647</c:v>
                </c:pt>
                <c:pt idx="2">
                  <c:v>0.9967832574999993</c:v>
                </c:pt>
                <c:pt idx="3">
                  <c:v>0.99863251187724922</c:v>
                </c:pt>
                <c:pt idx="4">
                  <c:v>0.99982930954399984</c:v>
                </c:pt>
                <c:pt idx="5">
                  <c:v>1.0004419317812485</c:v>
                </c:pt>
                <c:pt idx="6">
                  <c:v>1.0005341377720005</c:v>
                </c:pt>
                <c:pt idx="7">
                  <c:v>1.0001651646012495</c:v>
                </c:pt>
                <c:pt idx="8">
                  <c:v>0.99938972725599884</c:v>
                </c:pt>
                <c:pt idx="9">
                  <c:v>0.99825801862524743</c:v>
                </c:pt>
                <c:pt idx="10">
                  <c:v>0.99681570950000031</c:v>
                </c:pt>
                <c:pt idx="11">
                  <c:v>0.99510394857324913</c:v>
                </c:pt>
                <c:pt idx="12">
                  <c:v>0.99315936244000058</c:v>
                </c:pt>
                <c:pt idx="13">
                  <c:v>0.99101405559724975</c:v>
                </c:pt>
                <c:pt idx="14">
                  <c:v>0.98869561044399612</c:v>
                </c:pt>
                <c:pt idx="15">
                  <c:v>0.98622708728124886</c:v>
                </c:pt>
                <c:pt idx="16">
                  <c:v>0.98362702431199667</c:v>
                </c:pt>
                <c:pt idx="17">
                  <c:v>0.98090943764125038</c:v>
                </c:pt>
                <c:pt idx="18">
                  <c:v>0.97808382127600035</c:v>
                </c:pt>
                <c:pt idx="19">
                  <c:v>0.97515514712524487</c:v>
                </c:pt>
                <c:pt idx="20">
                  <c:v>0.97212386499999548</c:v>
                </c:pt>
                <c:pt idx="21">
                  <c:v>0.96898590261324502</c:v>
                </c:pt>
                <c:pt idx="22">
                  <c:v>0.96573266557999782</c:v>
                </c:pt>
                <c:pt idx="23">
                  <c:v>0.96235103741724481</c:v>
                </c:pt>
                <c:pt idx="24">
                  <c:v>0.95882337954400265</c:v>
                </c:pt>
                <c:pt idx="25">
                  <c:v>0.95512753128124794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5E-3D4C-8150-0638115B02CA}"/>
            </c:ext>
          </c:extLst>
        </c:ser>
        <c:ser>
          <c:idx val="2"/>
          <c:order val="2"/>
          <c:tx>
            <c:strRef>
              <c:f>TIP4P_densityies!$G$2</c:f>
              <c:strCache>
                <c:ptCount val="1"/>
                <c:pt idx="0">
                  <c:v>all x^4 poly plus last value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TIP4P_densityies!$E$3:$E$28</c:f>
              <c:numCache>
                <c:formatCode>General</c:formatCode>
                <c:ptCount val="26"/>
                <c:pt idx="0">
                  <c:v>250</c:v>
                </c:pt>
                <c:pt idx="1">
                  <c:v>255</c:v>
                </c:pt>
                <c:pt idx="2">
                  <c:v>260</c:v>
                </c:pt>
                <c:pt idx="3">
                  <c:v>265</c:v>
                </c:pt>
                <c:pt idx="4">
                  <c:v>270</c:v>
                </c:pt>
                <c:pt idx="5">
                  <c:v>275</c:v>
                </c:pt>
                <c:pt idx="6">
                  <c:v>280</c:v>
                </c:pt>
                <c:pt idx="7">
                  <c:v>285</c:v>
                </c:pt>
                <c:pt idx="8">
                  <c:v>290</c:v>
                </c:pt>
                <c:pt idx="9">
                  <c:v>295</c:v>
                </c:pt>
                <c:pt idx="10">
                  <c:v>300</c:v>
                </c:pt>
                <c:pt idx="11">
                  <c:v>305</c:v>
                </c:pt>
                <c:pt idx="12">
                  <c:v>310</c:v>
                </c:pt>
                <c:pt idx="13">
                  <c:v>315</c:v>
                </c:pt>
                <c:pt idx="14">
                  <c:v>320</c:v>
                </c:pt>
                <c:pt idx="15">
                  <c:v>325</c:v>
                </c:pt>
                <c:pt idx="16">
                  <c:v>330</c:v>
                </c:pt>
                <c:pt idx="17">
                  <c:v>335</c:v>
                </c:pt>
                <c:pt idx="18">
                  <c:v>340</c:v>
                </c:pt>
                <c:pt idx="19">
                  <c:v>345</c:v>
                </c:pt>
                <c:pt idx="20">
                  <c:v>350</c:v>
                </c:pt>
                <c:pt idx="21">
                  <c:v>355</c:v>
                </c:pt>
                <c:pt idx="22">
                  <c:v>360</c:v>
                </c:pt>
                <c:pt idx="23">
                  <c:v>365</c:v>
                </c:pt>
                <c:pt idx="24">
                  <c:v>370</c:v>
                </c:pt>
                <c:pt idx="25">
                  <c:v>375</c:v>
                </c:pt>
              </c:numCache>
            </c:numRef>
          </c:xVal>
          <c:yVal>
            <c:numRef>
              <c:f>TIP4P_densityies!$G$3:$G$28</c:f>
              <c:numCache>
                <c:formatCode>General</c:formatCode>
                <c:ptCount val="26"/>
                <c:pt idx="0">
                  <c:v>0.9908316429999986</c:v>
                </c:pt>
                <c:pt idx="1">
                  <c:v>0.99420874303324647</c:v>
                </c:pt>
                <c:pt idx="2">
                  <c:v>0.9967832574999993</c:v>
                </c:pt>
                <c:pt idx="3">
                  <c:v>0.99863251187724922</c:v>
                </c:pt>
                <c:pt idx="4">
                  <c:v>0.99982930954399984</c:v>
                </c:pt>
                <c:pt idx="5">
                  <c:v>1.0004419317812485</c:v>
                </c:pt>
                <c:pt idx="6">
                  <c:v>1.0005341377720005</c:v>
                </c:pt>
                <c:pt idx="7">
                  <c:v>1.0001651646012495</c:v>
                </c:pt>
                <c:pt idx="8">
                  <c:v>0.99938972725599884</c:v>
                </c:pt>
                <c:pt idx="9">
                  <c:v>0.99825801862524743</c:v>
                </c:pt>
                <c:pt idx="10">
                  <c:v>0.99681570950000031</c:v>
                </c:pt>
                <c:pt idx="11">
                  <c:v>0.99510394857324913</c:v>
                </c:pt>
                <c:pt idx="12">
                  <c:v>0.99315936244000058</c:v>
                </c:pt>
                <c:pt idx="13">
                  <c:v>0.99101405559724975</c:v>
                </c:pt>
                <c:pt idx="14">
                  <c:v>0.98869561044399612</c:v>
                </c:pt>
                <c:pt idx="15">
                  <c:v>0.98622708728124886</c:v>
                </c:pt>
                <c:pt idx="16">
                  <c:v>0.98362702431199667</c:v>
                </c:pt>
                <c:pt idx="17">
                  <c:v>0.98090943764125038</c:v>
                </c:pt>
                <c:pt idx="18">
                  <c:v>0.97808382127600035</c:v>
                </c:pt>
                <c:pt idx="19">
                  <c:v>0.97515514712524487</c:v>
                </c:pt>
                <c:pt idx="20">
                  <c:v>0.97212386499999548</c:v>
                </c:pt>
                <c:pt idx="21">
                  <c:v>0.96898590261324502</c:v>
                </c:pt>
                <c:pt idx="22">
                  <c:v>0.96573266557999782</c:v>
                </c:pt>
                <c:pt idx="23">
                  <c:v>0.96235103741724481</c:v>
                </c:pt>
                <c:pt idx="24">
                  <c:v>0.95882337954400265</c:v>
                </c:pt>
                <c:pt idx="25">
                  <c:v>0.95467337954400266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5E-3D4C-8150-0638115B0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5621"/>
        <c:axId val="61602298"/>
      </c:scatterChart>
      <c:valAx>
        <c:axId val="5772562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602298"/>
        <c:crosses val="autoZero"/>
        <c:crossBetween val="midCat"/>
      </c:valAx>
      <c:valAx>
        <c:axId val="616022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77256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551587301587301"/>
          <c:y val="2.2890733056708201E-2"/>
          <c:w val="0.82592592592592595"/>
          <c:h val="0.76141078838174303"/>
        </c:manualLayout>
      </c:layout>
      <c:scatterChart>
        <c:scatterStyle val="lineMarker"/>
        <c:varyColors val="0"/>
        <c:ser>
          <c:idx val="0"/>
          <c:order val="0"/>
          <c:tx>
            <c:strRef>
              <c:f>Vrabec_et_al_and_Rn_Mick_et_al!$A$7:$A$7</c:f>
              <c:strCache>
                <c:ptCount val="1"/>
                <c:pt idx="0">
                  <c:v>He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Vrabec_et_al_and_Rn_Mick_et_al!$A$9:$A$15</c:f>
              <c:numCache>
                <c:formatCode>General</c:formatCode>
                <c:ptCount val="7"/>
                <c:pt idx="0">
                  <c:v>275</c:v>
                </c:pt>
                <c:pt idx="1">
                  <c:v>295</c:v>
                </c:pt>
                <c:pt idx="2">
                  <c:v>315</c:v>
                </c:pt>
                <c:pt idx="3">
                  <c:v>335</c:v>
                </c:pt>
                <c:pt idx="4">
                  <c:v>355</c:v>
                </c:pt>
                <c:pt idx="5">
                  <c:v>375</c:v>
                </c:pt>
                <c:pt idx="6">
                  <c:v>395</c:v>
                </c:pt>
              </c:numCache>
            </c:numRef>
          </c:xVal>
          <c:yVal>
            <c:numRef>
              <c:f>Vrabec_et_al_and_Rn_Mick_et_al!$G$9:$G$15</c:f>
              <c:numCache>
                <c:formatCode>General</c:formatCode>
                <c:ptCount val="7"/>
                <c:pt idx="0">
                  <c:v>2.6603291846597297</c:v>
                </c:pt>
                <c:pt idx="1">
                  <c:v>2.8435016651708866</c:v>
                </c:pt>
                <c:pt idx="2">
                  <c:v>2.9679561900609057</c:v>
                </c:pt>
                <c:pt idx="3">
                  <c:v>3.0803179668353153</c:v>
                </c:pt>
                <c:pt idx="4">
                  <c:v>3.1523723786175202</c:v>
                </c:pt>
                <c:pt idx="5">
                  <c:v>3.1719149786908725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1D-5C43-8DE5-B90B5427C181}"/>
            </c:ext>
          </c:extLst>
        </c:ser>
        <c:ser>
          <c:idx val="1"/>
          <c:order val="1"/>
          <c:tx>
            <c:strRef>
              <c:f>Vrabec_et_al_and_Rn_Mick_et_al!$A$27:$A$27</c:f>
              <c:strCache>
                <c:ptCount val="1"/>
                <c:pt idx="0">
                  <c:v>Ar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Vrabec_et_al_and_Rn_Mick_et_al!$A$29:$A$35</c:f>
              <c:numCache>
                <c:formatCode>General</c:formatCode>
                <c:ptCount val="7"/>
                <c:pt idx="0">
                  <c:v>275</c:v>
                </c:pt>
                <c:pt idx="1">
                  <c:v>295</c:v>
                </c:pt>
                <c:pt idx="2">
                  <c:v>315</c:v>
                </c:pt>
                <c:pt idx="3">
                  <c:v>335</c:v>
                </c:pt>
                <c:pt idx="4">
                  <c:v>355</c:v>
                </c:pt>
                <c:pt idx="5">
                  <c:v>375</c:v>
                </c:pt>
                <c:pt idx="6">
                  <c:v>395</c:v>
                </c:pt>
              </c:numCache>
            </c:numRef>
          </c:xVal>
          <c:yVal>
            <c:numRef>
              <c:f>Vrabec_et_al_and_Rn_Mick_et_al!$G$29:$G$35</c:f>
              <c:numCache>
                <c:formatCode>General</c:formatCode>
                <c:ptCount val="7"/>
                <c:pt idx="0">
                  <c:v>1.8538179625271485</c:v>
                </c:pt>
                <c:pt idx="1">
                  <c:v>2.1465069816333635</c:v>
                </c:pt>
                <c:pt idx="2">
                  <c:v>2.354724322246124</c:v>
                </c:pt>
                <c:pt idx="3">
                  <c:v>2.5756996346946961</c:v>
                </c:pt>
                <c:pt idx="4">
                  <c:v>2.7144265237850491</c:v>
                </c:pt>
                <c:pt idx="5">
                  <c:v>2.7843360843449352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1D-5C43-8DE5-B90B5427C181}"/>
            </c:ext>
          </c:extLst>
        </c:ser>
        <c:ser>
          <c:idx val="2"/>
          <c:order val="2"/>
          <c:tx>
            <c:strRef>
              <c:f>Vrabec_et_al_and_Rn_Mick_et_al!$A$37:$A$37</c:f>
              <c:strCache>
                <c:ptCount val="1"/>
                <c:pt idx="0">
                  <c:v>Kr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Vrabec_et_al_and_Rn_Mick_et_al!$A$39:$A$44</c:f>
              <c:numCache>
                <c:formatCode>General</c:formatCode>
                <c:ptCount val="6"/>
                <c:pt idx="0">
                  <c:v>275</c:v>
                </c:pt>
                <c:pt idx="1">
                  <c:v>295</c:v>
                </c:pt>
                <c:pt idx="2">
                  <c:v>315</c:v>
                </c:pt>
                <c:pt idx="3">
                  <c:v>335</c:v>
                </c:pt>
                <c:pt idx="4">
                  <c:v>355</c:v>
                </c:pt>
                <c:pt idx="5">
                  <c:v>375</c:v>
                </c:pt>
              </c:numCache>
            </c:numRef>
          </c:xVal>
          <c:yVal>
            <c:numRef>
              <c:f>Vrabec_et_al_and_Rn_Mick_et_al!$G$39:$G$44</c:f>
              <c:numCache>
                <c:formatCode>General</c:formatCode>
                <c:ptCount val="6"/>
                <c:pt idx="0">
                  <c:v>1.5927361910985349</c:v>
                </c:pt>
                <c:pt idx="1">
                  <c:v>1.9075892591830614</c:v>
                </c:pt>
                <c:pt idx="2">
                  <c:v>2.1414792349614826</c:v>
                </c:pt>
                <c:pt idx="3">
                  <c:v>2.3995746764035237</c:v>
                </c:pt>
                <c:pt idx="4">
                  <c:v>2.5552925441520871</c:v>
                </c:pt>
                <c:pt idx="5">
                  <c:v>2.6407414843232151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1D-5C43-8DE5-B90B5427C181}"/>
            </c:ext>
          </c:extLst>
        </c:ser>
        <c:ser>
          <c:idx val="3"/>
          <c:order val="3"/>
          <c:tx>
            <c:strRef>
              <c:f>Vrabec_et_al_and_Rn_Mick_et_al!$A$47:$A$47</c:f>
              <c:strCache>
                <c:ptCount val="1"/>
                <c:pt idx="0">
                  <c:v>Xe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Vrabec_et_al_and_Rn_Mick_et_al!$A$49:$A$54</c:f>
              <c:numCache>
                <c:formatCode>General</c:formatCode>
                <c:ptCount val="6"/>
                <c:pt idx="0">
                  <c:v>275</c:v>
                </c:pt>
                <c:pt idx="1">
                  <c:v>295</c:v>
                </c:pt>
                <c:pt idx="2">
                  <c:v>315</c:v>
                </c:pt>
                <c:pt idx="3">
                  <c:v>335</c:v>
                </c:pt>
                <c:pt idx="4">
                  <c:v>355</c:v>
                </c:pt>
                <c:pt idx="5">
                  <c:v>375</c:v>
                </c:pt>
              </c:numCache>
            </c:numRef>
          </c:xVal>
          <c:yVal>
            <c:numRef>
              <c:f>Vrabec_et_al_and_Rn_Mick_et_al!$G$49:$G$54</c:f>
              <c:numCache>
                <c:formatCode>General</c:formatCode>
                <c:ptCount val="6"/>
                <c:pt idx="0">
                  <c:v>1.1962125508066346</c:v>
                </c:pt>
                <c:pt idx="1">
                  <c:v>1.5260791886935365</c:v>
                </c:pt>
                <c:pt idx="2">
                  <c:v>1.8120868784195576</c:v>
                </c:pt>
                <c:pt idx="3">
                  <c:v>2.1063905012150332</c:v>
                </c:pt>
                <c:pt idx="4">
                  <c:v>2.2838582025409684</c:v>
                </c:pt>
                <c:pt idx="5">
                  <c:v>2.3921155041912501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1D-5C43-8DE5-B90B5427C181}"/>
            </c:ext>
          </c:extLst>
        </c:ser>
        <c:ser>
          <c:idx val="4"/>
          <c:order val="4"/>
          <c:tx>
            <c:strRef>
              <c:f>Vrabec_et_al_and_Rn_Mick_et_al!$A$57:$A$57</c:f>
              <c:strCache>
                <c:ptCount val="1"/>
                <c:pt idx="0">
                  <c:v>Rn (Mick et al)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Vrabec_et_al_and_Rn_Mick_et_al!$A$59:$A$65</c:f>
              <c:numCache>
                <c:formatCode>General</c:formatCode>
                <c:ptCount val="7"/>
                <c:pt idx="0">
                  <c:v>275</c:v>
                </c:pt>
                <c:pt idx="1">
                  <c:v>295</c:v>
                </c:pt>
                <c:pt idx="2">
                  <c:v>315</c:v>
                </c:pt>
                <c:pt idx="3">
                  <c:v>335</c:v>
                </c:pt>
                <c:pt idx="4">
                  <c:v>355</c:v>
                </c:pt>
                <c:pt idx="5">
                  <c:v>375</c:v>
                </c:pt>
                <c:pt idx="6">
                  <c:v>395</c:v>
                </c:pt>
              </c:numCache>
            </c:numRef>
          </c:xVal>
          <c:yVal>
            <c:numRef>
              <c:f>Vrabec_et_al_and_Rn_Mick_et_al!$G$59:$G$65</c:f>
              <c:numCache>
                <c:formatCode>General</c:formatCode>
                <c:ptCount val="7"/>
                <c:pt idx="0">
                  <c:v>0.59720393148153006</c:v>
                </c:pt>
                <c:pt idx="1">
                  <c:v>0.94924201643287975</c:v>
                </c:pt>
                <c:pt idx="2">
                  <c:v>1.292830484578408</c:v>
                </c:pt>
                <c:pt idx="3">
                  <c:v>1.5947490659701231</c:v>
                </c:pt>
                <c:pt idx="4">
                  <c:v>1.7896091739592939</c:v>
                </c:pt>
                <c:pt idx="5">
                  <c:v>1.9242148146535571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1D-5C43-8DE5-B90B5427C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18596"/>
        <c:axId val="52514407"/>
      </c:scatterChart>
      <c:valAx>
        <c:axId val="93018596"/>
        <c:scaling>
          <c:orientation val="minMax"/>
          <c:max val="380"/>
          <c:min val="2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Arial"/>
                  </a:rPr>
                  <a:t>Temp (K)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52514407"/>
        <c:crosses val="autoZero"/>
        <c:crossBetween val="midCat"/>
      </c:valAx>
      <c:valAx>
        <c:axId val="525144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Arial"/>
                  </a:rPr>
                  <a:t>dG (kcal/mol)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93018596"/>
        <c:crosses val="autoZero"/>
        <c:crossBetween val="midCat"/>
      </c:val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54198918061287404"/>
          <c:y val="0.59705281352026096"/>
          <c:w val="0.45801081938712601"/>
          <c:h val="5.2399078164010002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3310408676100999"/>
          <c:y val="2.2921108742004301E-2"/>
          <c:w val="0.72867345589207799"/>
          <c:h val="0.76119402985074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Vrabec_et_al_and_Rn_Mick_et_al!$A$7:$A$7</c:f>
              <c:strCache>
                <c:ptCount val="1"/>
                <c:pt idx="0">
                  <c:v>He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Vrabec_et_al_and_Rn_Mick_et_al!$A$9:$A$15</c:f>
              <c:numCache>
                <c:formatCode>General</c:formatCode>
                <c:ptCount val="7"/>
                <c:pt idx="0">
                  <c:v>275</c:v>
                </c:pt>
                <c:pt idx="1">
                  <c:v>295</c:v>
                </c:pt>
                <c:pt idx="2">
                  <c:v>315</c:v>
                </c:pt>
                <c:pt idx="3">
                  <c:v>335</c:v>
                </c:pt>
                <c:pt idx="4">
                  <c:v>355</c:v>
                </c:pt>
                <c:pt idx="5">
                  <c:v>375</c:v>
                </c:pt>
                <c:pt idx="6">
                  <c:v>395</c:v>
                </c:pt>
              </c:numCache>
            </c:numRef>
          </c:xVal>
          <c:yVal>
            <c:numRef>
              <c:f>Vrabec_et_al_and_Rn_Mick_et_al!$C$9:$C$15</c:f>
              <c:numCache>
                <c:formatCode>General</c:formatCode>
                <c:ptCount val="7"/>
                <c:pt idx="0">
                  <c:v>16.57</c:v>
                </c:pt>
                <c:pt idx="1">
                  <c:v>17.427</c:v>
                </c:pt>
                <c:pt idx="2">
                  <c:v>16.562000000000001</c:v>
                </c:pt>
                <c:pt idx="3">
                  <c:v>15.55</c:v>
                </c:pt>
                <c:pt idx="4">
                  <c:v>13.89</c:v>
                </c:pt>
                <c:pt idx="5">
                  <c:v>11.696999999999999</c:v>
                </c:pt>
                <c:pt idx="6">
                  <c:v>9.984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34-F34A-8FE5-A80AF715AB36}"/>
            </c:ext>
          </c:extLst>
        </c:ser>
        <c:ser>
          <c:idx val="1"/>
          <c:order val="1"/>
          <c:tx>
            <c:strRef>
              <c:f>Vrabec_et_al_and_Rn_Mick_et_al!$A$27:$A$27</c:f>
              <c:strCache>
                <c:ptCount val="1"/>
                <c:pt idx="0">
                  <c:v>Ar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Vrabec_et_al_and_Rn_Mick_et_al!$A$29:$A$35</c:f>
              <c:numCache>
                <c:formatCode>General</c:formatCode>
                <c:ptCount val="7"/>
                <c:pt idx="0">
                  <c:v>275</c:v>
                </c:pt>
                <c:pt idx="1">
                  <c:v>295</c:v>
                </c:pt>
                <c:pt idx="2">
                  <c:v>315</c:v>
                </c:pt>
                <c:pt idx="3">
                  <c:v>335</c:v>
                </c:pt>
                <c:pt idx="4">
                  <c:v>355</c:v>
                </c:pt>
                <c:pt idx="5">
                  <c:v>375</c:v>
                </c:pt>
                <c:pt idx="6">
                  <c:v>395</c:v>
                </c:pt>
              </c:numCache>
            </c:numRef>
          </c:xVal>
          <c:yVal>
            <c:numRef>
              <c:f>Vrabec_et_al_and_Rn_Mick_et_al!$C$29:$C$35</c:f>
              <c:numCache>
                <c:formatCode>General</c:formatCode>
                <c:ptCount val="7"/>
                <c:pt idx="0">
                  <c:v>3.7839999999999998</c:v>
                </c:pt>
                <c:pt idx="1">
                  <c:v>5.3029999999999999</c:v>
                </c:pt>
                <c:pt idx="2">
                  <c:v>6.2140000000000004</c:v>
                </c:pt>
                <c:pt idx="3">
                  <c:v>7.2830000000000004</c:v>
                </c:pt>
                <c:pt idx="4">
                  <c:v>7.4630000000000001</c:v>
                </c:pt>
                <c:pt idx="5">
                  <c:v>6.9509999999999996</c:v>
                </c:pt>
                <c:pt idx="6">
                  <c:v>6.4260000000000002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34-F34A-8FE5-A80AF715AB36}"/>
            </c:ext>
          </c:extLst>
        </c:ser>
        <c:ser>
          <c:idx val="2"/>
          <c:order val="2"/>
          <c:tx>
            <c:strRef>
              <c:f>Vrabec_et_al_and_Rn_Mick_et_al!$A$37:$A$37</c:f>
              <c:strCache>
                <c:ptCount val="1"/>
                <c:pt idx="0">
                  <c:v>Kr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Vrabec_et_al_and_Rn_Mick_et_al!$A$39:$A$44</c:f>
              <c:numCache>
                <c:formatCode>General</c:formatCode>
                <c:ptCount val="6"/>
                <c:pt idx="0">
                  <c:v>275</c:v>
                </c:pt>
                <c:pt idx="1">
                  <c:v>295</c:v>
                </c:pt>
                <c:pt idx="2">
                  <c:v>315</c:v>
                </c:pt>
                <c:pt idx="3">
                  <c:v>335</c:v>
                </c:pt>
                <c:pt idx="4">
                  <c:v>355</c:v>
                </c:pt>
                <c:pt idx="5">
                  <c:v>375</c:v>
                </c:pt>
              </c:numCache>
            </c:numRef>
          </c:xVal>
          <c:yVal>
            <c:numRef>
              <c:f>Vrabec_et_al_and_Rn_Mick_et_al!$C$39:$C$44</c:f>
              <c:numCache>
                <c:formatCode>General</c:formatCode>
                <c:ptCount val="6"/>
                <c:pt idx="0">
                  <c:v>2.3460000000000001</c:v>
                </c:pt>
                <c:pt idx="1">
                  <c:v>3.5270000000000001</c:v>
                </c:pt>
                <c:pt idx="2">
                  <c:v>4.4189999999999996</c:v>
                </c:pt>
                <c:pt idx="3">
                  <c:v>5.5890000000000004</c:v>
                </c:pt>
                <c:pt idx="4">
                  <c:v>5.9550000000000001</c:v>
                </c:pt>
                <c:pt idx="5">
                  <c:v>5.7320000000000002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34-F34A-8FE5-A80AF715AB36}"/>
            </c:ext>
          </c:extLst>
        </c:ser>
        <c:ser>
          <c:idx val="3"/>
          <c:order val="3"/>
          <c:tx>
            <c:strRef>
              <c:f>Vrabec_et_al_and_Rn_Mick_et_al!$A$47:$A$47</c:f>
              <c:strCache>
                <c:ptCount val="1"/>
                <c:pt idx="0">
                  <c:v>Xe</c:v>
                </c:pt>
              </c:strCache>
            </c:strRef>
          </c:tx>
          <c:spPr>
            <a:ln w="1908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Vrabec_et_al_and_Rn_Mick_et_al!$A$49:$A$54</c:f>
              <c:numCache>
                <c:formatCode>General</c:formatCode>
                <c:ptCount val="6"/>
                <c:pt idx="0">
                  <c:v>275</c:v>
                </c:pt>
                <c:pt idx="1">
                  <c:v>295</c:v>
                </c:pt>
                <c:pt idx="2">
                  <c:v>315</c:v>
                </c:pt>
                <c:pt idx="3">
                  <c:v>335</c:v>
                </c:pt>
                <c:pt idx="4">
                  <c:v>355</c:v>
                </c:pt>
                <c:pt idx="5">
                  <c:v>375</c:v>
                </c:pt>
              </c:numCache>
            </c:numRef>
          </c:xVal>
          <c:yVal>
            <c:numRef>
              <c:f>Vrabec_et_al_and_Rn_Mick_et_al!$C$49:$C$54</c:f>
              <c:numCache>
                <c:formatCode>General</c:formatCode>
                <c:ptCount val="6"/>
                <c:pt idx="0">
                  <c:v>1.135</c:v>
                </c:pt>
                <c:pt idx="1">
                  <c:v>1.839</c:v>
                </c:pt>
                <c:pt idx="2">
                  <c:v>2.61</c:v>
                </c:pt>
                <c:pt idx="3">
                  <c:v>3.597</c:v>
                </c:pt>
                <c:pt idx="4">
                  <c:v>4.0519999999999996</c:v>
                </c:pt>
                <c:pt idx="5">
                  <c:v>4.1050000000000004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34-F34A-8FE5-A80AF715AB36}"/>
            </c:ext>
          </c:extLst>
        </c:ser>
        <c:ser>
          <c:idx val="4"/>
          <c:order val="4"/>
          <c:tx>
            <c:strRef>
              <c:f>Vrabec_et_al_and_Rn_Mick_et_al!$A$57:$A$57</c:f>
              <c:strCache>
                <c:ptCount val="1"/>
                <c:pt idx="0">
                  <c:v>Rn (Mick et al)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Vrabec_et_al_and_Rn_Mick_et_al!$A$59:$A$65</c:f>
              <c:numCache>
                <c:formatCode>General</c:formatCode>
                <c:ptCount val="7"/>
                <c:pt idx="0">
                  <c:v>275</c:v>
                </c:pt>
                <c:pt idx="1">
                  <c:v>295</c:v>
                </c:pt>
                <c:pt idx="2">
                  <c:v>315</c:v>
                </c:pt>
                <c:pt idx="3">
                  <c:v>335</c:v>
                </c:pt>
                <c:pt idx="4">
                  <c:v>355</c:v>
                </c:pt>
                <c:pt idx="5">
                  <c:v>375</c:v>
                </c:pt>
                <c:pt idx="6">
                  <c:v>395</c:v>
                </c:pt>
              </c:numCache>
            </c:numRef>
          </c:xVal>
          <c:yVal>
            <c:numRef>
              <c:f>Vrabec_et_al_and_Rn_Mick_et_al!$C$59:$C$65</c:f>
              <c:numCache>
                <c:formatCode>General</c:formatCode>
                <c:ptCount val="7"/>
                <c:pt idx="0">
                  <c:v>0.379</c:v>
                </c:pt>
                <c:pt idx="1">
                  <c:v>0.68700000000000006</c:v>
                </c:pt>
                <c:pt idx="2">
                  <c:v>1.1379999999999999</c:v>
                </c:pt>
                <c:pt idx="3">
                  <c:v>1.667</c:v>
                </c:pt>
                <c:pt idx="4">
                  <c:v>2.0099999999999998</c:v>
                </c:pt>
                <c:pt idx="5">
                  <c:v>2.19</c:v>
                </c:pt>
                <c:pt idx="6">
                  <c:v>2.1949999999999998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34-F34A-8FE5-A80AF715A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78170"/>
        <c:axId val="3893956"/>
      </c:scatterChart>
      <c:valAx>
        <c:axId val="95778170"/>
        <c:scaling>
          <c:orientation val="minMax"/>
          <c:max val="380"/>
          <c:min val="2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Arial"/>
                  </a:rPr>
                  <a:t>Temp (K)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3893956"/>
        <c:crosses val="autoZero"/>
        <c:crossBetween val="midCat"/>
      </c:valAx>
      <c:valAx>
        <c:axId val="38939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Arial"/>
                  </a:rPr>
                  <a:t>H (GPa)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95778170"/>
        <c:crosses val="autoZero"/>
        <c:crossBetween val="midCat"/>
      </c:val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25688735853355898"/>
          <c:y val="0.30808270676691701"/>
          <c:w val="0.70288140027512602"/>
          <c:h val="8.0765496418210903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Experimental_Nist!$A$23:$A$28</c:f>
              <c:numCache>
                <c:formatCode>General</c:formatCode>
                <c:ptCount val="6"/>
                <c:pt idx="0">
                  <c:v>275</c:v>
                </c:pt>
                <c:pt idx="1">
                  <c:v>295</c:v>
                </c:pt>
                <c:pt idx="2">
                  <c:v>315</c:v>
                </c:pt>
                <c:pt idx="3">
                  <c:v>335</c:v>
                </c:pt>
                <c:pt idx="4">
                  <c:v>355</c:v>
                </c:pt>
                <c:pt idx="5">
                  <c:v>375</c:v>
                </c:pt>
              </c:numCache>
            </c:numRef>
          </c:xVal>
          <c:yVal>
            <c:numRef>
              <c:f>Experimental_Nist!$F$23:$F$28</c:f>
              <c:numCache>
                <c:formatCode>General</c:formatCode>
                <c:ptCount val="6"/>
                <c:pt idx="0">
                  <c:v>2.4318806777938513</c:v>
                </c:pt>
                <c:pt idx="1">
                  <c:v>2.6326090496109056</c:v>
                </c:pt>
                <c:pt idx="2">
                  <c:v>2.8306426395812285</c:v>
                </c:pt>
                <c:pt idx="3">
                  <c:v>3.0261527833103004</c:v>
                </c:pt>
                <c:pt idx="4">
                  <c:v>3.2192903194153328</c:v>
                </c:pt>
                <c:pt idx="5">
                  <c:v>3.41018906187935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9-DE4E-B8E5-EED7FB545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38424"/>
        <c:axId val="42017694"/>
      </c:scatterChart>
      <c:valAx>
        <c:axId val="7293842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2017694"/>
        <c:crosses val="autoZero"/>
        <c:crossBetween val="midCat"/>
      </c:valAx>
      <c:valAx>
        <c:axId val="420176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293842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wmf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54000</xdr:rowOff>
    </xdr:from>
    <xdr:to>
      <xdr:col>12</xdr:col>
      <xdr:colOff>490680</xdr:colOff>
      <xdr:row>23</xdr:row>
      <xdr:rowOff>87480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325080</xdr:colOff>
      <xdr:row>3</xdr:row>
      <xdr:rowOff>90000</xdr:rowOff>
    </xdr:from>
    <xdr:to>
      <xdr:col>17</xdr:col>
      <xdr:colOff>469800</xdr:colOff>
      <xdr:row>31</xdr:row>
      <xdr:rowOff>68400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356040</xdr:colOff>
      <xdr:row>31</xdr:row>
      <xdr:rowOff>89280</xdr:rowOff>
    </xdr:from>
    <xdr:to>
      <xdr:col>17</xdr:col>
      <xdr:colOff>500760</xdr:colOff>
      <xdr:row>49</xdr:row>
      <xdr:rowOff>128160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800280</xdr:colOff>
      <xdr:row>7</xdr:row>
      <xdr:rowOff>76320</xdr:rowOff>
    </xdr:from>
    <xdr:to>
      <xdr:col>6</xdr:col>
      <xdr:colOff>168120</xdr:colOff>
      <xdr:row>20</xdr:row>
      <xdr:rowOff>154080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746280</xdr:colOff>
      <xdr:row>6</xdr:row>
      <xdr:rowOff>34920</xdr:rowOff>
    </xdr:from>
    <xdr:to>
      <xdr:col>6</xdr:col>
      <xdr:colOff>271800</xdr:colOff>
      <xdr:row>21</xdr:row>
      <xdr:rowOff>14400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3240</xdr:colOff>
      <xdr:row>6</xdr:row>
      <xdr:rowOff>85680</xdr:rowOff>
    </xdr:from>
    <xdr:to>
      <xdr:col>7</xdr:col>
      <xdr:colOff>208080</xdr:colOff>
      <xdr:row>21</xdr:row>
      <xdr:rowOff>65160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543960</xdr:colOff>
      <xdr:row>10</xdr:row>
      <xdr:rowOff>97560</xdr:rowOff>
    </xdr:from>
    <xdr:to>
      <xdr:col>7</xdr:col>
      <xdr:colOff>1320480</xdr:colOff>
      <xdr:row>25</xdr:row>
      <xdr:rowOff>77400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39960</xdr:colOff>
      <xdr:row>13</xdr:row>
      <xdr:rowOff>165960</xdr:rowOff>
    </xdr:from>
    <xdr:to>
      <xdr:col>15</xdr:col>
      <xdr:colOff>108360</xdr:colOff>
      <xdr:row>32</xdr:row>
      <xdr:rowOff>76320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69840</xdr:colOff>
      <xdr:row>8</xdr:row>
      <xdr:rowOff>76680</xdr:rowOff>
    </xdr:from>
    <xdr:to>
      <xdr:col>13</xdr:col>
      <xdr:colOff>35280</xdr:colOff>
      <xdr:row>11</xdr:row>
      <xdr:rowOff>69120</xdr:rowOff>
    </xdr:to>
    <xdr:pic>
      <xdr:nvPicPr>
        <xdr:cNvPr id="6" name="Image 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785920" y="1465920"/>
          <a:ext cx="4865040" cy="518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503640</xdr:colOff>
      <xdr:row>7</xdr:row>
      <xdr:rowOff>14040</xdr:rowOff>
    </xdr:from>
    <xdr:to>
      <xdr:col>30</xdr:col>
      <xdr:colOff>648000</xdr:colOff>
      <xdr:row>34</xdr:row>
      <xdr:rowOff>182160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356400</xdr:colOff>
      <xdr:row>35</xdr:row>
      <xdr:rowOff>89280</xdr:rowOff>
    </xdr:from>
    <xdr:to>
      <xdr:col>26</xdr:col>
      <xdr:colOff>501480</xdr:colOff>
      <xdr:row>53</xdr:row>
      <xdr:rowOff>128160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153360</xdr:colOff>
      <xdr:row>25</xdr:row>
      <xdr:rowOff>101160</xdr:rowOff>
    </xdr:from>
    <xdr:to>
      <xdr:col>17</xdr:col>
      <xdr:colOff>524160</xdr:colOff>
      <xdr:row>41</xdr:row>
      <xdr:rowOff>38520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121320</xdr:colOff>
      <xdr:row>25</xdr:row>
      <xdr:rowOff>134640</xdr:rowOff>
    </xdr:from>
    <xdr:to>
      <xdr:col>17</xdr:col>
      <xdr:colOff>564480</xdr:colOff>
      <xdr:row>41</xdr:row>
      <xdr:rowOff>72360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363240</xdr:colOff>
      <xdr:row>4</xdr:row>
      <xdr:rowOff>102600</xdr:rowOff>
    </xdr:from>
    <xdr:to>
      <xdr:col>20</xdr:col>
      <xdr:colOff>507960</xdr:colOff>
      <xdr:row>21</xdr:row>
      <xdr:rowOff>169920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47520</xdr:colOff>
      <xdr:row>23</xdr:row>
      <xdr:rowOff>12600</xdr:rowOff>
    </xdr:from>
    <xdr:to>
      <xdr:col>21</xdr:col>
      <xdr:colOff>119880</xdr:colOff>
      <xdr:row>40</xdr:row>
      <xdr:rowOff>79920</xdr:rowOff>
    </xdr:to>
    <xdr:graphicFrame macro="">
      <xdr:nvGraphicFramePr>
        <xdr:cNvPr id="12" name="Chart 2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zoomScale="167" zoomScaleNormal="167" workbookViewId="0">
      <selection activeCell="D4" sqref="D4"/>
    </sheetView>
  </sheetViews>
  <sheetFormatPr baseColWidth="10" defaultColWidth="8.83203125" defaultRowHeight="15" x14ac:dyDescent="0.2"/>
  <cols>
    <col min="1" max="1" width="3.5" customWidth="1"/>
    <col min="2" max="7" width="13.1640625" customWidth="1"/>
    <col min="8" max="8" width="20.83203125" customWidth="1"/>
  </cols>
  <sheetData>
    <row r="1" spans="1:8" x14ac:dyDescent="0.2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6" t="s">
        <v>5</v>
      </c>
      <c r="H1" s="7" t="s">
        <v>6</v>
      </c>
    </row>
    <row r="2" spans="1:8" x14ac:dyDescent="0.2">
      <c r="A2" s="8" t="s">
        <v>7</v>
      </c>
      <c r="B2" s="9">
        <v>1.825</v>
      </c>
      <c r="C2" s="10">
        <v>1.81</v>
      </c>
      <c r="D2" s="10">
        <v>1.8320000000000001</v>
      </c>
      <c r="E2" s="10">
        <v>1.8620000000000001</v>
      </c>
      <c r="F2" s="10">
        <v>1.835</v>
      </c>
      <c r="G2" s="10">
        <f>AVERAGE(B2:F2)</f>
        <v>1.8328</v>
      </c>
      <c r="H2" s="11">
        <v>2.477536196</v>
      </c>
    </row>
    <row r="3" spans="1:8" x14ac:dyDescent="0.2">
      <c r="A3" s="12" t="s">
        <v>8</v>
      </c>
      <c r="B3" s="9">
        <v>1.49</v>
      </c>
      <c r="C3" s="10">
        <v>1.625</v>
      </c>
      <c r="D3" s="10">
        <v>1.56</v>
      </c>
      <c r="E3" s="10">
        <v>1.52</v>
      </c>
      <c r="F3" s="10">
        <v>1.575</v>
      </c>
      <c r="G3" s="10">
        <f>AVERAGE(B3:F3)</f>
        <v>1.554</v>
      </c>
      <c r="H3" s="11">
        <v>1.9867612755999999</v>
      </c>
    </row>
    <row r="4" spans="1:8" x14ac:dyDescent="0.2">
      <c r="A4" s="12" t="s">
        <v>9</v>
      </c>
      <c r="B4" s="9">
        <v>1.07</v>
      </c>
      <c r="C4" s="10">
        <v>1.45</v>
      </c>
      <c r="D4" s="10">
        <v>1.17</v>
      </c>
      <c r="E4" s="10">
        <v>1.1499999999999999</v>
      </c>
      <c r="F4" s="10">
        <v>1.1000000000000001</v>
      </c>
      <c r="G4" s="10">
        <f>AVERAGE(B4:F4)</f>
        <v>1.1879999999999999</v>
      </c>
      <c r="H4" s="11">
        <v>1.6625257360000001</v>
      </c>
    </row>
    <row r="5" spans="1:8" x14ac:dyDescent="0.2">
      <c r="A5" s="12" t="s">
        <v>10</v>
      </c>
      <c r="B5" s="9">
        <v>0.82</v>
      </c>
      <c r="C5" s="10">
        <v>0.83</v>
      </c>
      <c r="D5" s="10">
        <v>0.83</v>
      </c>
      <c r="E5" s="10">
        <v>0.99</v>
      </c>
      <c r="F5" s="10">
        <v>0.88</v>
      </c>
      <c r="G5" s="10">
        <f>AVERAGE(B5:F5)</f>
        <v>0.86999999999999988</v>
      </c>
      <c r="H5" s="11">
        <v>1.447420336</v>
      </c>
    </row>
    <row r="6" spans="1:8" x14ac:dyDescent="0.2">
      <c r="A6" s="13" t="s">
        <v>11</v>
      </c>
      <c r="B6" s="14">
        <v>-0.05</v>
      </c>
      <c r="C6" s="15">
        <v>-0.09</v>
      </c>
      <c r="D6" s="15">
        <v>0.37</v>
      </c>
      <c r="E6" s="15">
        <v>0.21</v>
      </c>
      <c r="F6" s="15">
        <v>0.18</v>
      </c>
      <c r="G6" s="15">
        <f>AVERAGE(B6:F6)</f>
        <v>0.12399999999999997</v>
      </c>
      <c r="H6" s="16"/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1"/>
  <sheetViews>
    <sheetView zoomScaleNormal="100" workbookViewId="0">
      <selection activeCell="F15" sqref="F15"/>
    </sheetView>
  </sheetViews>
  <sheetFormatPr baseColWidth="10" defaultColWidth="10.6640625" defaultRowHeight="15" x14ac:dyDescent="0.2"/>
  <cols>
    <col min="7" max="7" width="11.1640625" customWidth="1"/>
  </cols>
  <sheetData>
    <row r="1" spans="1:8" x14ac:dyDescent="0.2">
      <c r="A1" t="s">
        <v>55</v>
      </c>
      <c r="B1">
        <v>0.101325</v>
      </c>
    </row>
    <row r="2" spans="1:8" x14ac:dyDescent="0.2">
      <c r="A2" t="s">
        <v>63</v>
      </c>
    </row>
    <row r="3" spans="1:8" x14ac:dyDescent="0.2">
      <c r="A3" s="35" t="s">
        <v>31</v>
      </c>
    </row>
    <row r="4" spans="1:8" x14ac:dyDescent="0.2">
      <c r="A4" s="36" t="s">
        <v>33</v>
      </c>
      <c r="B4" s="36" t="s">
        <v>64</v>
      </c>
      <c r="C4" s="36"/>
      <c r="D4" s="36"/>
      <c r="F4" s="43"/>
      <c r="G4" s="43"/>
      <c r="H4" s="43"/>
    </row>
    <row r="5" spans="1:8" ht="16" x14ac:dyDescent="0.2">
      <c r="A5" s="47">
        <v>293.14999999999998</v>
      </c>
      <c r="B5" s="48">
        <v>14425.6</v>
      </c>
      <c r="F5" s="45"/>
      <c r="G5" s="45"/>
      <c r="H5" s="45"/>
    </row>
    <row r="6" spans="1:8" ht="16" x14ac:dyDescent="0.2">
      <c r="A6" s="47">
        <v>303.14999999999998</v>
      </c>
      <c r="B6" s="48">
        <v>14712.7</v>
      </c>
      <c r="F6" s="45"/>
      <c r="G6" s="45"/>
      <c r="H6" s="45"/>
    </row>
    <row r="7" spans="1:8" ht="16" x14ac:dyDescent="0.2">
      <c r="A7" s="47">
        <v>313.14999999999998</v>
      </c>
      <c r="B7" s="48">
        <v>14723.2</v>
      </c>
      <c r="F7" s="45"/>
      <c r="G7" s="45"/>
      <c r="H7" s="45"/>
    </row>
    <row r="8" spans="1:8" ht="16" x14ac:dyDescent="0.2">
      <c r="A8" s="47">
        <v>323.14999999999998</v>
      </c>
      <c r="B8" s="48">
        <v>14494.7</v>
      </c>
      <c r="F8" s="45"/>
      <c r="G8" s="45"/>
      <c r="H8" s="45"/>
    </row>
    <row r="9" spans="1:8" ht="16" x14ac:dyDescent="0.2">
      <c r="A9" s="47">
        <v>333.15</v>
      </c>
      <c r="B9" s="48">
        <v>14070.5</v>
      </c>
      <c r="F9" s="45"/>
      <c r="G9" s="45"/>
      <c r="H9" s="45"/>
    </row>
    <row r="10" spans="1:8" ht="16" x14ac:dyDescent="0.2">
      <c r="A10" s="47">
        <v>343.15</v>
      </c>
      <c r="B10" s="48">
        <v>13495</v>
      </c>
      <c r="F10" s="45"/>
      <c r="G10" s="45"/>
      <c r="H10" s="45"/>
    </row>
    <row r="11" spans="1:8" ht="16" x14ac:dyDescent="0.2">
      <c r="A11" s="47">
        <v>353.15</v>
      </c>
      <c r="B11" s="48">
        <v>12810.2</v>
      </c>
      <c r="F11" s="45"/>
      <c r="G11" s="45"/>
      <c r="H11" s="45"/>
    </row>
    <row r="13" spans="1:8" x14ac:dyDescent="0.2">
      <c r="A13" s="35" t="s">
        <v>41</v>
      </c>
    </row>
    <row r="14" spans="1:8" x14ac:dyDescent="0.2">
      <c r="A14" s="36" t="s">
        <v>33</v>
      </c>
      <c r="B14" s="36" t="s">
        <v>64</v>
      </c>
      <c r="C14" s="36"/>
      <c r="D14" s="36"/>
      <c r="F14" s="43"/>
      <c r="G14" s="43"/>
      <c r="H14" s="43"/>
    </row>
    <row r="15" spans="1:8" ht="16" x14ac:dyDescent="0.2">
      <c r="A15" s="47">
        <v>293.14999999999998</v>
      </c>
      <c r="B15" s="47">
        <v>12134.1</v>
      </c>
      <c r="F15" s="45"/>
      <c r="G15" s="45"/>
      <c r="H15" s="45"/>
    </row>
    <row r="16" spans="1:8" ht="16" x14ac:dyDescent="0.2">
      <c r="A16" s="47">
        <v>303.14999999999998</v>
      </c>
      <c r="B16" s="47">
        <v>12851.2</v>
      </c>
      <c r="F16" s="45"/>
      <c r="G16" s="45"/>
      <c r="H16" s="45"/>
    </row>
    <row r="17" spans="1:8" ht="16" x14ac:dyDescent="0.2">
      <c r="A17" s="47">
        <v>313.14999999999998</v>
      </c>
      <c r="B17" s="47">
        <v>13299</v>
      </c>
      <c r="F17" s="45"/>
      <c r="G17" s="45"/>
      <c r="H17" s="45"/>
    </row>
    <row r="18" spans="1:8" ht="16" x14ac:dyDescent="0.2">
      <c r="A18" s="47">
        <v>323.14999999999998</v>
      </c>
      <c r="B18" s="47">
        <v>13495.2</v>
      </c>
      <c r="F18" s="45"/>
      <c r="G18" s="45"/>
      <c r="H18" s="45"/>
    </row>
    <row r="19" spans="1:8" ht="16" x14ac:dyDescent="0.2">
      <c r="A19" s="47">
        <v>333.15</v>
      </c>
      <c r="B19" s="47">
        <v>13468.8</v>
      </c>
      <c r="F19" s="45"/>
      <c r="G19" s="45"/>
      <c r="H19" s="45"/>
    </row>
    <row r="20" spans="1:8" ht="16" x14ac:dyDescent="0.2">
      <c r="A20" s="47">
        <v>343.15</v>
      </c>
      <c r="B20" s="47">
        <v>13254.9</v>
      </c>
      <c r="F20" s="45"/>
      <c r="G20" s="45"/>
      <c r="H20" s="45"/>
    </row>
    <row r="21" spans="1:8" ht="16" x14ac:dyDescent="0.2">
      <c r="A21" s="47">
        <v>353.15</v>
      </c>
      <c r="B21" s="47">
        <v>12890.2</v>
      </c>
      <c r="F21" s="45"/>
      <c r="G21" s="45"/>
      <c r="H21" s="45"/>
    </row>
    <row r="23" spans="1:8" x14ac:dyDescent="0.2">
      <c r="A23" s="35" t="s">
        <v>42</v>
      </c>
    </row>
    <row r="24" spans="1:8" x14ac:dyDescent="0.2">
      <c r="A24" s="36" t="s">
        <v>33</v>
      </c>
      <c r="B24" s="36"/>
      <c r="C24" s="36"/>
      <c r="D24" s="36"/>
      <c r="F24" s="43"/>
      <c r="G24" s="43"/>
      <c r="H24" s="43"/>
    </row>
    <row r="25" spans="1:8" ht="16" x14ac:dyDescent="0.2">
      <c r="A25" s="47">
        <v>293.14999999999998</v>
      </c>
      <c r="B25" s="47">
        <v>3707.1</v>
      </c>
      <c r="F25" s="45"/>
      <c r="G25" s="45"/>
      <c r="H25" s="45"/>
    </row>
    <row r="26" spans="1:8" ht="16" x14ac:dyDescent="0.2">
      <c r="A26" s="47">
        <v>303.14999999999998</v>
      </c>
      <c r="B26" s="47">
        <v>4405.6000000000004</v>
      </c>
      <c r="F26" s="45"/>
      <c r="G26" s="45"/>
      <c r="H26" s="45"/>
    </row>
    <row r="27" spans="1:8" ht="16" x14ac:dyDescent="0.2">
      <c r="A27" s="47">
        <v>313.14999999999998</v>
      </c>
      <c r="B27" s="47">
        <v>5037.1000000000004</v>
      </c>
      <c r="F27" s="45"/>
      <c r="G27" s="45"/>
      <c r="H27" s="45"/>
    </row>
    <row r="28" spans="1:8" ht="16" x14ac:dyDescent="0.2">
      <c r="A28" s="47">
        <v>323.14999999999998</v>
      </c>
      <c r="B28" s="47">
        <v>5572</v>
      </c>
      <c r="F28" s="45"/>
      <c r="G28" s="45"/>
      <c r="H28" s="45"/>
    </row>
    <row r="29" spans="1:8" ht="16" x14ac:dyDescent="0.2">
      <c r="A29" s="47">
        <v>333.15</v>
      </c>
      <c r="B29" s="47">
        <v>5991.9</v>
      </c>
      <c r="F29" s="45"/>
      <c r="G29" s="45"/>
      <c r="H29" s="45"/>
    </row>
    <row r="30" spans="1:8" ht="16" x14ac:dyDescent="0.2">
      <c r="A30" s="47">
        <v>343.15</v>
      </c>
      <c r="B30" s="47">
        <v>6289.2</v>
      </c>
      <c r="F30" s="45"/>
      <c r="G30" s="45"/>
      <c r="H30" s="45"/>
    </row>
    <row r="31" spans="1:8" ht="16" x14ac:dyDescent="0.2">
      <c r="A31" s="47">
        <v>353.15</v>
      </c>
      <c r="B31" s="47">
        <v>6465.5</v>
      </c>
      <c r="F31" s="45"/>
      <c r="G31" s="45"/>
      <c r="H31" s="45"/>
    </row>
    <row r="33" spans="1:8" x14ac:dyDescent="0.2">
      <c r="A33" s="35" t="s">
        <v>43</v>
      </c>
    </row>
    <row r="34" spans="1:8" x14ac:dyDescent="0.2">
      <c r="A34" s="36" t="s">
        <v>33</v>
      </c>
      <c r="B34" s="36"/>
      <c r="C34" s="36"/>
      <c r="D34" s="36"/>
      <c r="F34" s="43"/>
      <c r="G34" s="43"/>
      <c r="H34" s="43"/>
    </row>
    <row r="35" spans="1:8" ht="16" x14ac:dyDescent="0.2">
      <c r="A35" s="47">
        <v>293.14999999999998</v>
      </c>
      <c r="B35" s="47">
        <v>2012.6</v>
      </c>
      <c r="F35" s="45"/>
      <c r="G35" s="45"/>
      <c r="H35" s="45"/>
    </row>
    <row r="36" spans="1:8" ht="16" x14ac:dyDescent="0.2">
      <c r="A36" s="47">
        <v>303.14999999999998</v>
      </c>
      <c r="B36" s="47">
        <v>2490.6999999999998</v>
      </c>
      <c r="F36" s="45"/>
      <c r="G36" s="45"/>
      <c r="H36" s="45"/>
    </row>
    <row r="37" spans="1:8" ht="16" x14ac:dyDescent="0.2">
      <c r="A37" s="47">
        <v>313.14999999999998</v>
      </c>
      <c r="B37" s="47">
        <v>2948.3</v>
      </c>
      <c r="F37" s="45"/>
      <c r="G37" s="45"/>
      <c r="H37" s="45"/>
    </row>
    <row r="38" spans="1:8" ht="16" x14ac:dyDescent="0.2">
      <c r="A38" s="47">
        <v>323.14999999999998</v>
      </c>
      <c r="B38" s="47">
        <v>3362.6</v>
      </c>
      <c r="F38" s="45"/>
      <c r="G38" s="45"/>
      <c r="H38" s="45"/>
    </row>
    <row r="39" spans="1:8" ht="16" x14ac:dyDescent="0.2">
      <c r="A39" s="47">
        <v>333.15</v>
      </c>
      <c r="B39" s="47">
        <v>3717</v>
      </c>
      <c r="F39" s="45"/>
      <c r="G39" s="45"/>
      <c r="H39" s="45"/>
    </row>
    <row r="40" spans="1:8" ht="16" x14ac:dyDescent="0.2">
      <c r="A40" s="47">
        <v>343.15</v>
      </c>
      <c r="B40" s="47">
        <v>4001.9</v>
      </c>
      <c r="F40" s="45"/>
      <c r="G40" s="45"/>
      <c r="H40" s="45"/>
    </row>
    <row r="41" spans="1:8" ht="16" x14ac:dyDescent="0.2">
      <c r="A41" s="47">
        <v>353.15</v>
      </c>
      <c r="B41" s="47">
        <v>4213.7</v>
      </c>
      <c r="F41" s="45"/>
      <c r="G41" s="45"/>
      <c r="H41" s="45"/>
    </row>
    <row r="43" spans="1:8" x14ac:dyDescent="0.2">
      <c r="A43" s="35" t="s">
        <v>44</v>
      </c>
    </row>
    <row r="44" spans="1:8" x14ac:dyDescent="0.2">
      <c r="A44" s="36" t="s">
        <v>33</v>
      </c>
      <c r="B44" s="36"/>
      <c r="C44" s="36"/>
      <c r="D44" s="36"/>
      <c r="F44" s="43"/>
      <c r="G44" s="43"/>
      <c r="H44" s="49"/>
    </row>
    <row r="45" spans="1:8" ht="16" x14ac:dyDescent="0.2">
      <c r="A45" s="47">
        <v>293.14999999999998</v>
      </c>
      <c r="B45" s="47">
        <v>1151</v>
      </c>
      <c r="F45" s="45"/>
      <c r="G45" s="45"/>
      <c r="H45" s="45"/>
    </row>
    <row r="46" spans="1:8" ht="16" x14ac:dyDescent="0.2">
      <c r="A46" s="47">
        <v>303.14999999999998</v>
      </c>
      <c r="B46" s="47">
        <v>1513.4</v>
      </c>
      <c r="F46" s="45"/>
      <c r="G46" s="45"/>
      <c r="H46" s="45"/>
    </row>
    <row r="47" spans="1:8" ht="16" x14ac:dyDescent="0.2">
      <c r="A47" s="47">
        <v>313.14999999999998</v>
      </c>
      <c r="B47" s="47">
        <v>1876.1</v>
      </c>
      <c r="F47" s="45"/>
      <c r="G47" s="45"/>
      <c r="H47" s="45"/>
    </row>
    <row r="48" spans="1:8" ht="16" x14ac:dyDescent="0.2">
      <c r="A48" s="47">
        <v>323.14999999999998</v>
      </c>
      <c r="B48" s="48">
        <v>2216.1999999999998</v>
      </c>
      <c r="F48" s="45"/>
      <c r="G48" s="45"/>
      <c r="H48" s="45"/>
    </row>
    <row r="49" spans="1:8" ht="16" x14ac:dyDescent="0.2">
      <c r="A49" s="47">
        <v>333.15</v>
      </c>
      <c r="B49" s="47">
        <v>2516.1</v>
      </c>
      <c r="F49" s="45"/>
      <c r="G49" s="45"/>
      <c r="H49" s="45"/>
    </row>
    <row r="50" spans="1:8" ht="16" x14ac:dyDescent="0.2">
      <c r="A50" s="47">
        <v>343.15</v>
      </c>
      <c r="B50" s="47">
        <v>2764.6</v>
      </c>
      <c r="F50" s="45"/>
      <c r="G50" s="45"/>
      <c r="H50" s="45"/>
    </row>
    <row r="51" spans="1:8" ht="16" x14ac:dyDescent="0.2">
      <c r="A51" s="47">
        <v>353.15</v>
      </c>
      <c r="B51" s="47">
        <v>2956.7</v>
      </c>
      <c r="F51" s="45"/>
      <c r="G51" s="45"/>
      <c r="H51" s="45"/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zoomScale="80" zoomScaleNormal="80" workbookViewId="0">
      <selection activeCell="H9" sqref="H9"/>
    </sheetView>
  </sheetViews>
  <sheetFormatPr baseColWidth="10" defaultColWidth="8.83203125" defaultRowHeight="15" x14ac:dyDescent="0.2"/>
  <cols>
    <col min="1" max="1" width="15.6640625" customWidth="1"/>
    <col min="2" max="2" width="13.33203125" customWidth="1"/>
    <col min="3" max="3" width="14.6640625" customWidth="1"/>
    <col min="4" max="4" width="13.83203125" customWidth="1"/>
    <col min="5" max="5" width="12.6640625" customWidth="1"/>
    <col min="6" max="6" width="14.33203125" customWidth="1"/>
    <col min="7" max="7" width="10.33203125" customWidth="1"/>
    <col min="8" max="8" width="19.83203125" customWidth="1"/>
  </cols>
  <sheetData>
    <row r="1" spans="1:8" x14ac:dyDescent="0.2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17" t="s">
        <v>5</v>
      </c>
      <c r="H1" s="7" t="s">
        <v>6</v>
      </c>
    </row>
    <row r="2" spans="1:8" x14ac:dyDescent="0.2">
      <c r="A2" s="8" t="s">
        <v>7</v>
      </c>
      <c r="B2" s="9">
        <v>1.93</v>
      </c>
      <c r="C2" s="10">
        <v>1.95</v>
      </c>
      <c r="D2" s="10">
        <v>1.97</v>
      </c>
      <c r="E2" s="10">
        <v>1.96</v>
      </c>
      <c r="F2" s="10">
        <v>1.95</v>
      </c>
      <c r="G2" s="10">
        <f>AVERAGE(B2:F2)</f>
        <v>1.952</v>
      </c>
      <c r="H2" s="11">
        <v>2.477536196</v>
      </c>
    </row>
    <row r="3" spans="1:8" x14ac:dyDescent="0.2">
      <c r="A3" s="12" t="s">
        <v>8</v>
      </c>
      <c r="B3" s="9">
        <v>1.75</v>
      </c>
      <c r="C3" s="10">
        <v>1.73</v>
      </c>
      <c r="D3" s="10">
        <v>1.87</v>
      </c>
      <c r="E3" s="10">
        <v>1.81</v>
      </c>
      <c r="F3" s="10">
        <v>1.9</v>
      </c>
      <c r="G3" s="10">
        <f>AVERAGE(B3:F3)</f>
        <v>1.8120000000000001</v>
      </c>
      <c r="H3" s="11">
        <v>1.9867612755999999</v>
      </c>
    </row>
    <row r="4" spans="1:8" x14ac:dyDescent="0.2">
      <c r="A4" s="12" t="s">
        <v>9</v>
      </c>
      <c r="B4" s="9">
        <v>1.62</v>
      </c>
      <c r="C4" s="10">
        <v>1.45</v>
      </c>
      <c r="D4" s="10">
        <v>1.52</v>
      </c>
      <c r="E4" s="10">
        <v>1.7</v>
      </c>
      <c r="F4" s="10">
        <v>1.61</v>
      </c>
      <c r="G4" s="10">
        <f>AVERAGE(B4:F4)</f>
        <v>1.58</v>
      </c>
      <c r="H4" s="11">
        <v>1.6625257360000001</v>
      </c>
    </row>
    <row r="5" spans="1:8" x14ac:dyDescent="0.2">
      <c r="A5" s="12" t="s">
        <v>10</v>
      </c>
      <c r="B5" s="9">
        <v>1.18</v>
      </c>
      <c r="C5" s="10">
        <v>1.1499999999999999</v>
      </c>
      <c r="D5" s="10">
        <v>1.18</v>
      </c>
      <c r="E5" s="10">
        <v>1.5</v>
      </c>
      <c r="F5" s="10">
        <v>1.1000000000000001</v>
      </c>
      <c r="G5" s="10">
        <f>AVERAGE(B5:F5)</f>
        <v>1.222</v>
      </c>
      <c r="H5" s="11">
        <v>1.447420336</v>
      </c>
    </row>
    <row r="6" spans="1:8" x14ac:dyDescent="0.2">
      <c r="A6" s="13" t="s">
        <v>11</v>
      </c>
      <c r="B6" s="14">
        <v>0.41</v>
      </c>
      <c r="C6" s="15">
        <v>0.9</v>
      </c>
      <c r="D6" s="15">
        <v>0.55000000000000004</v>
      </c>
      <c r="E6" s="15">
        <v>0.45</v>
      </c>
      <c r="F6" s="15">
        <v>0.45</v>
      </c>
      <c r="G6" s="15">
        <f>AVERAGE(B6:F6)</f>
        <v>0.55200000000000005</v>
      </c>
      <c r="H6" s="16"/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zoomScale="80" zoomScaleNormal="80" workbookViewId="0">
      <selection activeCell="K2" sqref="K2"/>
    </sheetView>
  </sheetViews>
  <sheetFormatPr baseColWidth="10" defaultColWidth="8.83203125" defaultRowHeight="15" x14ac:dyDescent="0.2"/>
  <cols>
    <col min="1" max="1" width="11" customWidth="1"/>
    <col min="2" max="2" width="17.1640625" customWidth="1"/>
    <col min="3" max="3" width="13.33203125" customWidth="1"/>
    <col min="4" max="4" width="12.83203125" customWidth="1"/>
    <col min="5" max="5" width="17.33203125" customWidth="1"/>
    <col min="6" max="6" width="12.83203125" customWidth="1"/>
    <col min="8" max="8" width="21.6640625" customWidth="1"/>
  </cols>
  <sheetData>
    <row r="1" spans="1:11" x14ac:dyDescent="0.2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17" t="s">
        <v>5</v>
      </c>
      <c r="H1" s="7" t="s">
        <v>6</v>
      </c>
    </row>
    <row r="2" spans="1:11" x14ac:dyDescent="0.2">
      <c r="A2" s="8" t="s">
        <v>7</v>
      </c>
      <c r="B2" s="9">
        <v>1.96</v>
      </c>
      <c r="C2" s="10">
        <v>1.81</v>
      </c>
      <c r="D2" s="10">
        <v>1.8</v>
      </c>
      <c r="E2" s="10">
        <v>1.84</v>
      </c>
      <c r="F2" s="10">
        <v>1.82</v>
      </c>
      <c r="G2" s="10">
        <f>AVERAGE(B2:F2)</f>
        <v>1.8460000000000001</v>
      </c>
      <c r="H2" s="11">
        <v>2.477536196</v>
      </c>
      <c r="K2">
        <f>H2/4.184</f>
        <v>0.59214536233269599</v>
      </c>
    </row>
    <row r="3" spans="1:11" x14ac:dyDescent="0.2">
      <c r="A3" s="12" t="s">
        <v>8</v>
      </c>
      <c r="B3" s="9">
        <v>1.84</v>
      </c>
      <c r="C3" s="10">
        <v>1.57</v>
      </c>
      <c r="D3" s="10">
        <v>1.66</v>
      </c>
      <c r="E3" s="10">
        <v>1.58</v>
      </c>
      <c r="F3" s="10">
        <v>1.5</v>
      </c>
      <c r="G3" s="10">
        <f>AVERAGE(B3:F3)</f>
        <v>1.6300000000000001</v>
      </c>
      <c r="H3" s="11">
        <v>1.9867612755999999</v>
      </c>
      <c r="K3">
        <f>H3/4.184</f>
        <v>0.47484734120458888</v>
      </c>
    </row>
    <row r="4" spans="1:11" x14ac:dyDescent="0.2">
      <c r="A4" s="12" t="s">
        <v>9</v>
      </c>
      <c r="B4" s="9">
        <v>1.48</v>
      </c>
      <c r="C4" s="10">
        <v>1.2</v>
      </c>
      <c r="D4" s="10">
        <v>1.34</v>
      </c>
      <c r="E4" s="10">
        <v>1.1000000000000001</v>
      </c>
      <c r="F4" s="10">
        <v>1.0900000000000001</v>
      </c>
      <c r="G4" s="10">
        <f>AVERAGE(B4:F4)</f>
        <v>1.2419999999999998</v>
      </c>
      <c r="H4" s="11">
        <v>1.6625257360000001</v>
      </c>
      <c r="K4">
        <f>H4/4.184</f>
        <v>0.39735318738049713</v>
      </c>
    </row>
    <row r="5" spans="1:11" x14ac:dyDescent="0.2">
      <c r="A5" s="12" t="s">
        <v>10</v>
      </c>
      <c r="B5" s="9">
        <v>1.1200000000000001</v>
      </c>
      <c r="C5" s="10">
        <v>1.07</v>
      </c>
      <c r="D5" s="10">
        <v>0.95</v>
      </c>
      <c r="E5" s="10">
        <v>0.83</v>
      </c>
      <c r="F5" s="10">
        <v>0.81</v>
      </c>
      <c r="G5" s="10">
        <f>AVERAGE(B5:F5)</f>
        <v>0.95600000000000018</v>
      </c>
      <c r="H5" s="11">
        <v>1.447420336</v>
      </c>
      <c r="K5">
        <f>H5/4.184</f>
        <v>0.34594176290630974</v>
      </c>
    </row>
    <row r="6" spans="1:11" x14ac:dyDescent="0.2">
      <c r="A6" s="13" t="s">
        <v>11</v>
      </c>
      <c r="B6" s="14">
        <v>0.51</v>
      </c>
      <c r="C6" s="15">
        <v>-0.17</v>
      </c>
      <c r="D6" s="15">
        <v>-0.15</v>
      </c>
      <c r="E6" s="15">
        <v>0.2</v>
      </c>
      <c r="F6" s="15">
        <v>-0.06</v>
      </c>
      <c r="G6" s="15">
        <f>AVERAGE(B6:F6)</f>
        <v>6.6000000000000003E-2</v>
      </c>
      <c r="H6" s="16"/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"/>
  <sheetViews>
    <sheetView zoomScale="175" zoomScaleNormal="175" workbookViewId="0">
      <selection activeCell="H17" sqref="H17"/>
    </sheetView>
  </sheetViews>
  <sheetFormatPr baseColWidth="10" defaultColWidth="8.83203125" defaultRowHeight="15" x14ac:dyDescent="0.2"/>
  <cols>
    <col min="1" max="1" width="8.6640625" customWidth="1"/>
    <col min="2" max="2" width="12.5" customWidth="1"/>
    <col min="3" max="3" width="13.1640625" customWidth="1"/>
    <col min="4" max="4" width="12.33203125" customWidth="1"/>
    <col min="5" max="5" width="13.33203125" customWidth="1"/>
    <col min="6" max="6" width="16" customWidth="1"/>
    <col min="8" max="8" width="20.33203125" customWidth="1"/>
  </cols>
  <sheetData>
    <row r="1" spans="1:9" x14ac:dyDescent="0.2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17" t="s">
        <v>5</v>
      </c>
      <c r="H1" s="7" t="s">
        <v>6</v>
      </c>
    </row>
    <row r="2" spans="1:9" x14ac:dyDescent="0.2">
      <c r="A2" s="8" t="s">
        <v>7</v>
      </c>
      <c r="B2" s="9">
        <v>1.84</v>
      </c>
      <c r="C2" s="10">
        <v>1.86</v>
      </c>
      <c r="D2" s="10">
        <v>1.93</v>
      </c>
      <c r="E2" s="10">
        <v>1.98</v>
      </c>
      <c r="F2" s="10">
        <v>1.97</v>
      </c>
      <c r="G2" s="10">
        <f>AVERAGE(B2:F2)</f>
        <v>1.9159999999999999</v>
      </c>
      <c r="H2" s="11">
        <v>2.477536196</v>
      </c>
    </row>
    <row r="3" spans="1:9" x14ac:dyDescent="0.2">
      <c r="A3" s="12" t="s">
        <v>8</v>
      </c>
      <c r="B3" s="9">
        <v>1.91</v>
      </c>
      <c r="C3" s="10">
        <v>1.56</v>
      </c>
      <c r="D3" s="10">
        <v>1.81</v>
      </c>
      <c r="E3" s="10">
        <v>1.75</v>
      </c>
      <c r="F3" s="10">
        <v>1.63</v>
      </c>
      <c r="G3" s="10">
        <f>AVERAGE(B3:F3)</f>
        <v>1.732</v>
      </c>
      <c r="H3" s="11">
        <v>1.9867612755999999</v>
      </c>
    </row>
    <row r="4" spans="1:9" x14ac:dyDescent="0.2">
      <c r="A4" s="12" t="s">
        <v>9</v>
      </c>
      <c r="B4" s="9">
        <v>1.45</v>
      </c>
      <c r="C4" s="10">
        <v>1.1599999999999999</v>
      </c>
      <c r="D4" s="10">
        <v>1.63</v>
      </c>
      <c r="E4" s="10">
        <v>1.61</v>
      </c>
      <c r="F4" s="10">
        <v>1.51</v>
      </c>
      <c r="G4" s="10">
        <f>AVERAGE(B4:F4)</f>
        <v>1.472</v>
      </c>
      <c r="H4" s="11">
        <v>1.6625257360000001</v>
      </c>
    </row>
    <row r="5" spans="1:9" x14ac:dyDescent="0.2">
      <c r="A5" s="12" t="s">
        <v>10</v>
      </c>
      <c r="B5" s="9">
        <v>1.1100000000000001</v>
      </c>
      <c r="C5" s="10">
        <v>1.2</v>
      </c>
      <c r="D5" s="10">
        <v>0.85</v>
      </c>
      <c r="E5" s="10">
        <v>0.83</v>
      </c>
      <c r="F5" s="10">
        <v>1.2</v>
      </c>
      <c r="G5" s="10">
        <f>AVERAGE(B5:F5)</f>
        <v>1.038</v>
      </c>
      <c r="H5" s="11">
        <v>1.447420336</v>
      </c>
    </row>
    <row r="6" spans="1:9" x14ac:dyDescent="0.2">
      <c r="A6" s="13" t="s">
        <v>11</v>
      </c>
      <c r="B6" s="14">
        <v>-0.09</v>
      </c>
      <c r="C6" s="15">
        <v>0.36</v>
      </c>
      <c r="D6" s="15">
        <v>0.4</v>
      </c>
      <c r="E6" s="15">
        <v>0.55000000000000004</v>
      </c>
      <c r="F6" s="15">
        <v>0.43</v>
      </c>
      <c r="G6" s="15">
        <f>AVERAGE(B6:F6)</f>
        <v>0.33</v>
      </c>
      <c r="H6" s="16"/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zoomScaleNormal="100" workbookViewId="0">
      <selection activeCell="H2" sqref="H2"/>
    </sheetView>
  </sheetViews>
  <sheetFormatPr baseColWidth="10" defaultColWidth="8.83203125" defaultRowHeight="15" x14ac:dyDescent="0.2"/>
  <cols>
    <col min="2" max="2" width="10.5" customWidth="1"/>
    <col min="5" max="5" width="10.33203125" customWidth="1"/>
    <col min="6" max="6" width="15.1640625" customWidth="1"/>
    <col min="7" max="7" width="12.33203125" customWidth="1"/>
    <col min="8" max="8" width="21.33203125" customWidth="1"/>
  </cols>
  <sheetData>
    <row r="1" spans="1:10" x14ac:dyDescent="0.2">
      <c r="A1" s="18"/>
      <c r="B1" s="2" t="s">
        <v>12</v>
      </c>
      <c r="C1" s="3" t="s">
        <v>13</v>
      </c>
      <c r="D1" s="4" t="s">
        <v>14</v>
      </c>
      <c r="E1" s="5" t="s">
        <v>15</v>
      </c>
      <c r="F1" s="19" t="s">
        <v>16</v>
      </c>
      <c r="G1" s="20" t="s">
        <v>17</v>
      </c>
      <c r="H1" s="21" t="s">
        <v>18</v>
      </c>
      <c r="I1" s="22"/>
    </row>
    <row r="2" spans="1:10" ht="16" x14ac:dyDescent="0.2">
      <c r="A2" s="23" t="s">
        <v>7</v>
      </c>
      <c r="B2" s="10">
        <v>1.8328</v>
      </c>
      <c r="C2" s="10">
        <v>1.952</v>
      </c>
      <c r="D2" s="10">
        <v>1.8460000000000001</v>
      </c>
      <c r="E2" s="10">
        <v>1.9159999999999999</v>
      </c>
      <c r="F2" s="10">
        <v>2.477536196</v>
      </c>
      <c r="G2" s="10">
        <v>13</v>
      </c>
      <c r="H2" s="24">
        <f>1.985*300*LN(G2)/1000</f>
        <v>1.5274273423683451</v>
      </c>
      <c r="I2" s="25">
        <v>5.3029999999999999</v>
      </c>
      <c r="J2">
        <f>1.985*300*LN(I2*1000/0.101325)/1000/LN(10)</f>
        <v>2.8100483862567271</v>
      </c>
    </row>
    <row r="3" spans="1:10" ht="16" x14ac:dyDescent="0.2">
      <c r="A3" s="26" t="s">
        <v>8</v>
      </c>
      <c r="B3" s="10">
        <v>1.554</v>
      </c>
      <c r="C3" s="10">
        <v>1.8120000000000001</v>
      </c>
      <c r="D3" s="10">
        <v>1.63</v>
      </c>
      <c r="E3" s="10">
        <v>1.732</v>
      </c>
      <c r="F3" s="10">
        <v>1.9867612755999999</v>
      </c>
      <c r="G3" s="10">
        <v>6.3</v>
      </c>
      <c r="H3" s="24">
        <f>1.985*300*LN(G3)/1000</f>
        <v>1.0960473066882035</v>
      </c>
      <c r="I3" s="25">
        <v>3.5270000000000001</v>
      </c>
      <c r="J3">
        <f>1.985*300*LN(I3*1000/0.101325)/1000/LN(10)</f>
        <v>2.7045757085396134</v>
      </c>
    </row>
    <row r="4" spans="1:10" ht="16" x14ac:dyDescent="0.2">
      <c r="A4" s="26" t="s">
        <v>9</v>
      </c>
      <c r="B4" s="10">
        <v>1.1879999999999999</v>
      </c>
      <c r="C4" s="10">
        <v>1.58</v>
      </c>
      <c r="D4" s="10">
        <v>1.242</v>
      </c>
      <c r="E4" s="10">
        <v>1.472</v>
      </c>
      <c r="F4" s="10">
        <v>1.6625257360000001</v>
      </c>
      <c r="G4" s="10">
        <v>4.8</v>
      </c>
      <c r="H4" s="24">
        <f>1.985*300*LN(G4)/1000</f>
        <v>0.9341107791176948</v>
      </c>
      <c r="I4" s="25">
        <v>1.839</v>
      </c>
      <c r="J4">
        <f>1.985*300*LN(I4*1000/0.101325)/1000/LN(10)</f>
        <v>2.5361541770688985</v>
      </c>
    </row>
    <row r="5" spans="1:10" ht="16" x14ac:dyDescent="0.2">
      <c r="A5" s="26" t="s">
        <v>10</v>
      </c>
      <c r="B5" s="10">
        <v>0.87</v>
      </c>
      <c r="C5" s="10">
        <v>1.222</v>
      </c>
      <c r="D5" s="10">
        <v>0.95599999999999996</v>
      </c>
      <c r="E5" s="10">
        <v>1.038</v>
      </c>
      <c r="F5" s="10">
        <v>1.447420336</v>
      </c>
      <c r="G5" s="10">
        <v>2.95</v>
      </c>
      <c r="H5" s="24">
        <f>1.985*300*LN(G5)/1000</f>
        <v>0.64421497894445434</v>
      </c>
      <c r="I5" s="25">
        <v>0.68700000000000006</v>
      </c>
      <c r="J5">
        <f>1.985*300*LN(I5*1000/0.101325)/1000/LN(10)</f>
        <v>2.2815034942265857</v>
      </c>
    </row>
    <row r="6" spans="1:10" x14ac:dyDescent="0.2">
      <c r="A6" s="27" t="s">
        <v>11</v>
      </c>
      <c r="B6" s="15">
        <v>0.124</v>
      </c>
      <c r="C6" s="15">
        <v>0.55200000000000005</v>
      </c>
      <c r="D6" s="15">
        <v>6.6000000000000003E-2</v>
      </c>
      <c r="E6" s="15">
        <v>0.33</v>
      </c>
      <c r="F6" s="15"/>
      <c r="G6" s="28">
        <v>0.75</v>
      </c>
      <c r="H6" s="29">
        <f>1.985*300*LN(G6)/1000</f>
        <v>-0.17131467414503551</v>
      </c>
      <c r="I6" s="22"/>
      <c r="J6" t="e">
        <f>1.985*300*LN(I6*1000/0.101325)/1000/LN(10)</f>
        <v>#NUM!</v>
      </c>
    </row>
    <row r="8" spans="1:10" x14ac:dyDescent="0.2">
      <c r="I8" t="s">
        <v>19</v>
      </c>
    </row>
    <row r="9" spans="1:10" ht="16" x14ac:dyDescent="0.2">
      <c r="F9" s="30">
        <v>315</v>
      </c>
      <c r="G9" s="30">
        <v>2.61</v>
      </c>
      <c r="H9">
        <f>1.985*300*LN(G9)/1000</f>
        <v>0.57129305680475551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"/>
  <sheetViews>
    <sheetView zoomScaleNormal="100" workbookViewId="0">
      <selection activeCell="F3" sqref="F3"/>
    </sheetView>
  </sheetViews>
  <sheetFormatPr baseColWidth="10" defaultColWidth="11.6640625" defaultRowHeight="15" x14ac:dyDescent="0.2"/>
  <sheetData>
    <row r="1" spans="1:7" x14ac:dyDescent="0.2">
      <c r="A1" t="s">
        <v>20</v>
      </c>
    </row>
    <row r="2" spans="1:7" ht="16" x14ac:dyDescent="0.2">
      <c r="A2" s="31" t="s">
        <v>21</v>
      </c>
      <c r="B2" s="31" t="s">
        <v>22</v>
      </c>
      <c r="C2" s="31" t="s">
        <v>23</v>
      </c>
      <c r="F2" t="s">
        <v>24</v>
      </c>
      <c r="G2" t="s">
        <v>25</v>
      </c>
    </row>
    <row r="3" spans="1:7" x14ac:dyDescent="0.2">
      <c r="A3" s="32">
        <v>250</v>
      </c>
      <c r="B3" s="32">
        <v>0.99080000000000001</v>
      </c>
      <c r="C3" s="32">
        <v>0.99129999999999996</v>
      </c>
      <c r="E3" s="32">
        <v>250</v>
      </c>
      <c r="F3">
        <f t="shared" ref="F3:F28" si="0">-3.014732*10^(-10)*E3^4+4.13618032*10^(-7)*E3^3-2.148422*10^(-4)*E3^2+0.0494708537*E3-3.2343963445</f>
        <v>0.9908316429999986</v>
      </c>
      <c r="G3">
        <f t="shared" ref="G3:G27" si="1">F3</f>
        <v>0.9908316429999986</v>
      </c>
    </row>
    <row r="4" spans="1:7" x14ac:dyDescent="0.2">
      <c r="A4" s="32">
        <v>260</v>
      </c>
      <c r="B4" s="32">
        <v>0.99650000000000005</v>
      </c>
      <c r="C4" s="32">
        <v>0.997</v>
      </c>
      <c r="E4" s="32">
        <f t="shared" ref="E4:E28" si="2">E3+5</f>
        <v>255</v>
      </c>
      <c r="F4">
        <f t="shared" si="0"/>
        <v>0.99420874303324647</v>
      </c>
      <c r="G4">
        <f t="shared" si="1"/>
        <v>0.99420874303324647</v>
      </c>
    </row>
    <row r="5" spans="1:7" x14ac:dyDescent="0.2">
      <c r="A5" s="32">
        <v>270</v>
      </c>
      <c r="B5" s="32">
        <v>1.0009999999999999</v>
      </c>
      <c r="C5" s="32">
        <v>0.99950000000000006</v>
      </c>
      <c r="E5" s="32">
        <f t="shared" si="2"/>
        <v>260</v>
      </c>
      <c r="F5">
        <f t="shared" si="0"/>
        <v>0.9967832574999993</v>
      </c>
      <c r="G5">
        <f t="shared" si="1"/>
        <v>0.9967832574999993</v>
      </c>
    </row>
    <row r="6" spans="1:7" x14ac:dyDescent="0.2">
      <c r="A6" s="32">
        <v>280</v>
      </c>
      <c r="B6" s="32">
        <v>0.99939999999999996</v>
      </c>
      <c r="C6" s="32">
        <v>0.99990000000000001</v>
      </c>
      <c r="E6" s="32">
        <f t="shared" si="2"/>
        <v>265</v>
      </c>
      <c r="F6">
        <f t="shared" si="0"/>
        <v>0.99863251187724922</v>
      </c>
      <c r="G6">
        <f t="shared" si="1"/>
        <v>0.99863251187724922</v>
      </c>
    </row>
    <row r="7" spans="1:7" x14ac:dyDescent="0.2">
      <c r="A7" s="32">
        <v>290</v>
      </c>
      <c r="B7" s="32">
        <v>0.99929999999999997</v>
      </c>
      <c r="C7" s="32">
        <v>0.99880000000000002</v>
      </c>
      <c r="E7" s="32">
        <f t="shared" si="2"/>
        <v>270</v>
      </c>
      <c r="F7">
        <f t="shared" si="0"/>
        <v>0.99982930954399984</v>
      </c>
      <c r="G7">
        <f t="shared" si="1"/>
        <v>0.99982930954399984</v>
      </c>
    </row>
    <row r="8" spans="1:7" x14ac:dyDescent="0.2">
      <c r="A8" s="32">
        <v>298</v>
      </c>
      <c r="B8" s="32">
        <v>0.99790000000000001</v>
      </c>
      <c r="C8" s="32">
        <v>0.99709999999999999</v>
      </c>
      <c r="E8" s="32">
        <f t="shared" si="2"/>
        <v>275</v>
      </c>
      <c r="F8">
        <f t="shared" si="0"/>
        <v>1.0004419317812485</v>
      </c>
      <c r="G8">
        <f t="shared" si="1"/>
        <v>1.0004419317812485</v>
      </c>
    </row>
    <row r="9" spans="1:7" x14ac:dyDescent="0.2">
      <c r="A9" s="32">
        <v>300</v>
      </c>
      <c r="B9" s="32">
        <f>LOOKUP(A9,TIP4P_densityies!E3:E28,TIP4P_densityies!F3:F28)</f>
        <v>0.99681570950000031</v>
      </c>
      <c r="C9" s="32">
        <v>0.99650000000000005</v>
      </c>
      <c r="E9" s="32">
        <f t="shared" si="2"/>
        <v>280</v>
      </c>
      <c r="F9">
        <f t="shared" si="0"/>
        <v>1.0005341377720005</v>
      </c>
      <c r="G9">
        <f t="shared" si="1"/>
        <v>1.0005341377720005</v>
      </c>
    </row>
    <row r="10" spans="1:7" x14ac:dyDescent="0.2">
      <c r="A10" s="32">
        <v>315</v>
      </c>
      <c r="B10" s="32">
        <v>0.99129999999999996</v>
      </c>
      <c r="C10" s="32">
        <v>0.99150000000000005</v>
      </c>
      <c r="E10" s="32">
        <f t="shared" si="2"/>
        <v>285</v>
      </c>
      <c r="F10">
        <f t="shared" si="0"/>
        <v>1.0001651646012495</v>
      </c>
      <c r="G10">
        <f t="shared" si="1"/>
        <v>1.0001651646012495</v>
      </c>
    </row>
    <row r="11" spans="1:7" x14ac:dyDescent="0.2">
      <c r="A11" s="32">
        <v>330</v>
      </c>
      <c r="B11" s="32">
        <v>0.98409999999999997</v>
      </c>
      <c r="C11" s="32">
        <v>0.98480000000000001</v>
      </c>
      <c r="E11" s="32">
        <f t="shared" si="2"/>
        <v>290</v>
      </c>
      <c r="F11">
        <f t="shared" si="0"/>
        <v>0.99938972725599884</v>
      </c>
      <c r="G11">
        <f t="shared" si="1"/>
        <v>0.99938972725599884</v>
      </c>
    </row>
    <row r="12" spans="1:7" x14ac:dyDescent="0.2">
      <c r="A12" s="32">
        <v>340</v>
      </c>
      <c r="B12" s="32">
        <v>0.97760000000000002</v>
      </c>
      <c r="C12" s="32">
        <v>0.97950000000000004</v>
      </c>
      <c r="E12" s="32">
        <f t="shared" si="2"/>
        <v>295</v>
      </c>
      <c r="F12">
        <f t="shared" si="0"/>
        <v>0.99825801862524743</v>
      </c>
      <c r="G12">
        <f t="shared" si="1"/>
        <v>0.99825801862524743</v>
      </c>
    </row>
    <row r="13" spans="1:7" x14ac:dyDescent="0.2">
      <c r="A13" s="32">
        <v>350</v>
      </c>
      <c r="B13" s="32">
        <v>0.97130000000000005</v>
      </c>
      <c r="C13" s="32">
        <v>0.97370000000000001</v>
      </c>
      <c r="E13" s="32">
        <f t="shared" si="2"/>
        <v>300</v>
      </c>
      <c r="F13">
        <f t="shared" si="0"/>
        <v>0.99681570950000031</v>
      </c>
      <c r="G13">
        <f t="shared" si="1"/>
        <v>0.99681570950000031</v>
      </c>
    </row>
    <row r="14" spans="1:7" x14ac:dyDescent="0.2">
      <c r="A14" s="32">
        <v>360</v>
      </c>
      <c r="B14" s="32">
        <v>0.96679999999999999</v>
      </c>
      <c r="C14" s="32">
        <v>0.96740000000000004</v>
      </c>
      <c r="E14" s="32">
        <f t="shared" si="2"/>
        <v>305</v>
      </c>
      <c r="F14">
        <f t="shared" si="0"/>
        <v>0.99510394857324913</v>
      </c>
      <c r="G14">
        <f t="shared" si="1"/>
        <v>0.99510394857324913</v>
      </c>
    </row>
    <row r="15" spans="1:7" x14ac:dyDescent="0.2">
      <c r="A15" s="32">
        <v>370</v>
      </c>
      <c r="B15" s="32">
        <v>0.95850000000000002</v>
      </c>
      <c r="C15" s="32">
        <v>0.96060000000000001</v>
      </c>
      <c r="E15" s="32">
        <f t="shared" si="2"/>
        <v>310</v>
      </c>
      <c r="F15">
        <f t="shared" si="0"/>
        <v>0.99315936244000058</v>
      </c>
      <c r="G15">
        <f t="shared" si="1"/>
        <v>0.99315936244000058</v>
      </c>
    </row>
    <row r="16" spans="1:7" x14ac:dyDescent="0.2">
      <c r="E16" s="32">
        <f t="shared" si="2"/>
        <v>315</v>
      </c>
      <c r="F16">
        <f t="shared" si="0"/>
        <v>0.99101405559724975</v>
      </c>
      <c r="G16">
        <f t="shared" si="1"/>
        <v>0.99101405559724975</v>
      </c>
    </row>
    <row r="17" spans="5:7" x14ac:dyDescent="0.2">
      <c r="E17" s="32">
        <f t="shared" si="2"/>
        <v>320</v>
      </c>
      <c r="F17">
        <f t="shared" si="0"/>
        <v>0.98869561044399612</v>
      </c>
      <c r="G17">
        <f t="shared" si="1"/>
        <v>0.98869561044399612</v>
      </c>
    </row>
    <row r="18" spans="5:7" x14ac:dyDescent="0.2">
      <c r="E18" s="32">
        <f t="shared" si="2"/>
        <v>325</v>
      </c>
      <c r="F18">
        <f t="shared" si="0"/>
        <v>0.98622708728124886</v>
      </c>
      <c r="G18">
        <f t="shared" si="1"/>
        <v>0.98622708728124886</v>
      </c>
    </row>
    <row r="19" spans="5:7" x14ac:dyDescent="0.2">
      <c r="E19" s="32">
        <f t="shared" si="2"/>
        <v>330</v>
      </c>
      <c r="F19">
        <f t="shared" si="0"/>
        <v>0.98362702431199667</v>
      </c>
      <c r="G19">
        <f t="shared" si="1"/>
        <v>0.98362702431199667</v>
      </c>
    </row>
    <row r="20" spans="5:7" x14ac:dyDescent="0.2">
      <c r="E20" s="32">
        <f t="shared" si="2"/>
        <v>335</v>
      </c>
      <c r="F20">
        <f t="shared" si="0"/>
        <v>0.98090943764125038</v>
      </c>
      <c r="G20">
        <f t="shared" si="1"/>
        <v>0.98090943764125038</v>
      </c>
    </row>
    <row r="21" spans="5:7" x14ac:dyDescent="0.2">
      <c r="E21" s="32">
        <f t="shared" si="2"/>
        <v>340</v>
      </c>
      <c r="F21">
        <f t="shared" si="0"/>
        <v>0.97808382127600035</v>
      </c>
      <c r="G21">
        <f t="shared" si="1"/>
        <v>0.97808382127600035</v>
      </c>
    </row>
    <row r="22" spans="5:7" x14ac:dyDescent="0.2">
      <c r="E22" s="32">
        <f t="shared" si="2"/>
        <v>345</v>
      </c>
      <c r="F22">
        <f t="shared" si="0"/>
        <v>0.97515514712524487</v>
      </c>
      <c r="G22">
        <f t="shared" si="1"/>
        <v>0.97515514712524487</v>
      </c>
    </row>
    <row r="23" spans="5:7" x14ac:dyDescent="0.2">
      <c r="E23" s="32">
        <f t="shared" si="2"/>
        <v>350</v>
      </c>
      <c r="F23">
        <f t="shared" si="0"/>
        <v>0.97212386499999548</v>
      </c>
      <c r="G23">
        <f t="shared" si="1"/>
        <v>0.97212386499999548</v>
      </c>
    </row>
    <row r="24" spans="5:7" x14ac:dyDescent="0.2">
      <c r="E24" s="32">
        <f t="shared" si="2"/>
        <v>355</v>
      </c>
      <c r="F24">
        <f t="shared" si="0"/>
        <v>0.96898590261324502</v>
      </c>
      <c r="G24">
        <f t="shared" si="1"/>
        <v>0.96898590261324502</v>
      </c>
    </row>
    <row r="25" spans="5:7" x14ac:dyDescent="0.2">
      <c r="E25" s="32">
        <f t="shared" si="2"/>
        <v>360</v>
      </c>
      <c r="F25">
        <f t="shared" si="0"/>
        <v>0.96573266557999782</v>
      </c>
      <c r="G25">
        <f t="shared" si="1"/>
        <v>0.96573266557999782</v>
      </c>
    </row>
    <row r="26" spans="5:7" x14ac:dyDescent="0.2">
      <c r="E26" s="32">
        <f t="shared" si="2"/>
        <v>365</v>
      </c>
      <c r="F26">
        <f t="shared" si="0"/>
        <v>0.96235103741724481</v>
      </c>
      <c r="G26">
        <f t="shared" si="1"/>
        <v>0.96235103741724481</v>
      </c>
    </row>
    <row r="27" spans="5:7" x14ac:dyDescent="0.2">
      <c r="E27" s="32">
        <f t="shared" si="2"/>
        <v>370</v>
      </c>
      <c r="F27">
        <f t="shared" si="0"/>
        <v>0.95882337954400265</v>
      </c>
      <c r="G27">
        <f t="shared" si="1"/>
        <v>0.95882337954400265</v>
      </c>
    </row>
    <row r="28" spans="5:7" x14ac:dyDescent="0.2">
      <c r="E28" s="32">
        <f t="shared" si="2"/>
        <v>375</v>
      </c>
      <c r="F28" s="33">
        <f t="shared" si="0"/>
        <v>0.95512753128124794</v>
      </c>
      <c r="G28" s="33">
        <f>(B15-B14)/(A15-A14)*(E28-E27)+F27</f>
        <v>0.95467337954400266</v>
      </c>
    </row>
    <row r="30" spans="5:7" x14ac:dyDescent="0.2">
      <c r="F30">
        <f>-3.014732*10^(-10)*E30^4+4.13618032*10^(-7)*E30^3-2.148422*10^(-4)*E30^2+0.0494708537*E30-3.2343963445</f>
        <v>-3.2343963444999999</v>
      </c>
      <c r="G30" t="e">
        <f>(B17-B16)/(A17-A16)*(F30-F29)+F29</f>
        <v>#DIV/0!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75"/>
  <sheetViews>
    <sheetView zoomScaleNormal="100" workbookViewId="0">
      <selection activeCell="A9" sqref="A9"/>
    </sheetView>
  </sheetViews>
  <sheetFormatPr baseColWidth="10" defaultColWidth="10.6640625" defaultRowHeight="15" x14ac:dyDescent="0.2"/>
  <cols>
    <col min="1" max="1" width="23.5" customWidth="1"/>
    <col min="5" max="5" width="10.6640625" style="34" customWidth="1"/>
    <col min="10" max="10" width="11.1640625" customWidth="1"/>
    <col min="15" max="15" width="11.1640625" customWidth="1"/>
  </cols>
  <sheetData>
    <row r="1" spans="1:21" x14ac:dyDescent="0.2">
      <c r="A1" t="s">
        <v>26</v>
      </c>
      <c r="B1">
        <v>996.57</v>
      </c>
    </row>
    <row r="2" spans="1:21" x14ac:dyDescent="0.2">
      <c r="A2" t="s">
        <v>27</v>
      </c>
      <c r="B2">
        <v>1</v>
      </c>
    </row>
    <row r="3" spans="1:21" x14ac:dyDescent="0.2">
      <c r="A3" t="s">
        <v>28</v>
      </c>
      <c r="B3">
        <f>8.3144621*10^(-5)</f>
        <v>8.3144621000000001E-5</v>
      </c>
    </row>
    <row r="4" spans="1:21" x14ac:dyDescent="0.2">
      <c r="A4" t="s">
        <v>29</v>
      </c>
      <c r="B4">
        <f>1.9858775*10^(-3)</f>
        <v>1.9858775000000002E-3</v>
      </c>
    </row>
    <row r="5" spans="1:21" x14ac:dyDescent="0.2">
      <c r="A5" t="s">
        <v>30</v>
      </c>
      <c r="B5">
        <v>1.8015280000000002E-2</v>
      </c>
    </row>
    <row r="6" spans="1:21" x14ac:dyDescent="0.2">
      <c r="E6"/>
      <c r="F6" s="34"/>
    </row>
    <row r="7" spans="1:21" x14ac:dyDescent="0.2">
      <c r="A7" s="35" t="s">
        <v>31</v>
      </c>
      <c r="B7" s="35"/>
      <c r="E7"/>
      <c r="F7" s="34"/>
      <c r="O7" t="s">
        <v>32</v>
      </c>
      <c r="S7" t="s">
        <v>32</v>
      </c>
    </row>
    <row r="8" spans="1:21" x14ac:dyDescent="0.2">
      <c r="A8" s="36" t="s">
        <v>33</v>
      </c>
      <c r="B8" s="36" t="s">
        <v>34</v>
      </c>
      <c r="C8" s="36" t="s">
        <v>35</v>
      </c>
      <c r="D8" s="36" t="s">
        <v>36</v>
      </c>
      <c r="E8" s="36" t="s">
        <v>37</v>
      </c>
      <c r="F8" s="37" t="s">
        <v>38</v>
      </c>
      <c r="G8" s="36" t="s">
        <v>39</v>
      </c>
      <c r="H8" s="36" t="s">
        <v>40</v>
      </c>
      <c r="I8" s="36"/>
      <c r="J8" s="36"/>
      <c r="K8" s="36" t="s">
        <v>39</v>
      </c>
      <c r="L8" s="36" t="s">
        <v>40</v>
      </c>
      <c r="M8" s="36"/>
      <c r="O8" s="36" t="s">
        <v>37</v>
      </c>
      <c r="P8" s="37" t="s">
        <v>38</v>
      </c>
      <c r="Q8" s="36" t="s">
        <v>39</v>
      </c>
      <c r="S8" s="36" t="s">
        <v>37</v>
      </c>
      <c r="T8" s="37" t="s">
        <v>38</v>
      </c>
      <c r="U8" s="36" t="s">
        <v>39</v>
      </c>
    </row>
    <row r="9" spans="1:21" ht="16" x14ac:dyDescent="0.2">
      <c r="A9" s="30">
        <v>275</v>
      </c>
      <c r="B9" s="30">
        <f>IF(A9&lt;270, "ERROR", IF(A9&gt;370,"ERROR",(-3.014732*10^(-10)*A9^4+4.13618032*10^(-7)*A9^3-2.148422*10^(-4)*A9^2+0.0494708537*A9-3.2343963445)*1000))</f>
        <v>1000.4419317812485</v>
      </c>
      <c r="C9" s="30">
        <v>16.57</v>
      </c>
      <c r="D9" s="30">
        <v>0.214</v>
      </c>
      <c r="E9" s="38">
        <f t="shared" ref="E9:E15" si="0">C9*$B$5*10000</f>
        <v>2985.1318959999999</v>
      </c>
      <c r="F9">
        <f t="shared" ref="F9:F15" si="1">E9/(B9*$B$3*A9)</f>
        <v>130.49827979715249</v>
      </c>
      <c r="G9" s="39">
        <f t="shared" ref="G9:G15" si="2">1.9858775*10^(-3)*A9*LN(F9)</f>
        <v>2.6603291846597297</v>
      </c>
      <c r="H9" s="39">
        <f t="shared" ref="H9:H15" si="3">MAX(ABS(G9-Q9),ABS(G9-U9))</f>
        <v>7.0989817486499796E-3</v>
      </c>
      <c r="I9" s="39"/>
      <c r="J9" s="39"/>
      <c r="K9" s="39">
        <v>2.6603291846597301</v>
      </c>
      <c r="L9" s="39">
        <v>7.0989817486499804E-3</v>
      </c>
      <c r="M9" s="39"/>
      <c r="O9" s="38">
        <f t="shared" ref="O9:O15" si="4">(C9+D9)*$B$5*10000</f>
        <v>3023.6845952000003</v>
      </c>
      <c r="P9">
        <f t="shared" ref="P9:P15" si="5">O9/(B9*$B$3*A9)</f>
        <v>132.18365287359131</v>
      </c>
      <c r="Q9" s="39">
        <f t="shared" ref="Q9:Q15" si="6">1.9858775*10^(-3)*A9*LN(P9)</f>
        <v>2.6673370694449905</v>
      </c>
      <c r="S9" s="38">
        <f t="shared" ref="S9:S15" si="7">(C9-D9)*$B$5*10000</f>
        <v>2946.5791968000003</v>
      </c>
      <c r="T9">
        <f t="shared" ref="T9:T15" si="8">S9/(B9*$B$3*A9)</f>
        <v>128.81290672071373</v>
      </c>
      <c r="U9" s="39">
        <f t="shared" ref="U9:U15" si="9">1.9858775*10^(-3)*A9*LN(T9)</f>
        <v>2.6532302029110797</v>
      </c>
    </row>
    <row r="10" spans="1:21" ht="16" x14ac:dyDescent="0.2">
      <c r="A10" s="30">
        <v>295</v>
      </c>
      <c r="B10" s="30">
        <f>IF(A10&lt;270, "ERROR", IF(A10&gt;370,"ERROR",(-3.014732*10^(-10)*A10^4+4.13618032*10^(-7)*A10^3-2.148422*10^(-4)*A10^2+0.0494708537*A10-3.2343963445)*1000))</f>
        <v>998.25801862524747</v>
      </c>
      <c r="C10" s="30">
        <v>17.427</v>
      </c>
      <c r="D10" s="30">
        <v>0.13900000000000001</v>
      </c>
      <c r="E10" s="38">
        <f t="shared" si="0"/>
        <v>3139.5228456</v>
      </c>
      <c r="F10">
        <f t="shared" si="1"/>
        <v>128.22262579289026</v>
      </c>
      <c r="G10">
        <f t="shared" si="2"/>
        <v>2.8435016651708866</v>
      </c>
      <c r="H10" s="39">
        <f t="shared" si="3"/>
        <v>4.6914211185953292E-3</v>
      </c>
      <c r="I10" s="39"/>
      <c r="J10" s="39"/>
      <c r="K10" s="39">
        <v>2.8435016651708902</v>
      </c>
      <c r="L10" s="39">
        <v>4.6914211185993303E-3</v>
      </c>
      <c r="M10" s="39"/>
      <c r="O10" s="38">
        <f t="shared" si="4"/>
        <v>3164.5640848000003</v>
      </c>
      <c r="P10">
        <f t="shared" si="5"/>
        <v>129.24534599632241</v>
      </c>
      <c r="Q10" s="39">
        <f t="shared" si="6"/>
        <v>2.8481558151539645</v>
      </c>
      <c r="S10" s="38">
        <f t="shared" si="7"/>
        <v>3114.4816064000001</v>
      </c>
      <c r="T10">
        <f t="shared" si="8"/>
        <v>127.19990558945814</v>
      </c>
      <c r="U10" s="39">
        <f t="shared" si="9"/>
        <v>2.8388102440522913</v>
      </c>
    </row>
    <row r="11" spans="1:21" ht="16" x14ac:dyDescent="0.2">
      <c r="A11" s="30">
        <v>315</v>
      </c>
      <c r="B11" s="30">
        <f>IF(A11&lt;270, "ERROR", IF(A11&gt;370,"ERROR",(-3.014732*10^(-10)*A11^4+4.13618032*10^(-7)*A11^3-2.148422*10^(-4)*A11^2+0.0494708537*A11-3.2343963445)*1000))</f>
        <v>991.01405559724981</v>
      </c>
      <c r="C11" s="30">
        <v>16.562000000000001</v>
      </c>
      <c r="D11" s="30">
        <v>0.121</v>
      </c>
      <c r="E11" s="38">
        <f t="shared" si="0"/>
        <v>2983.6906736000005</v>
      </c>
      <c r="F11">
        <f t="shared" si="1"/>
        <v>114.95537191305915</v>
      </c>
      <c r="G11">
        <f t="shared" si="2"/>
        <v>2.9679561900609057</v>
      </c>
      <c r="H11" s="39">
        <f t="shared" si="3"/>
        <v>4.5869805814389153E-3</v>
      </c>
      <c r="I11" s="39"/>
      <c r="J11" s="39"/>
      <c r="K11" s="39">
        <v>2.9679561900608999</v>
      </c>
      <c r="L11" s="39">
        <v>4.5869805814340303E-3</v>
      </c>
      <c r="M11" s="39"/>
      <c r="O11" s="38">
        <f t="shared" si="4"/>
        <v>3005.4891624000002</v>
      </c>
      <c r="P11">
        <f t="shared" si="5"/>
        <v>115.79522217277898</v>
      </c>
      <c r="Q11" s="39">
        <f t="shared" si="6"/>
        <v>2.9725097803839602</v>
      </c>
      <c r="S11" s="38">
        <f t="shared" si="7"/>
        <v>2961.8921848000009</v>
      </c>
      <c r="T11">
        <f t="shared" si="8"/>
        <v>114.11552165333931</v>
      </c>
      <c r="U11" s="39">
        <f t="shared" si="9"/>
        <v>2.9633692094794668</v>
      </c>
    </row>
    <row r="12" spans="1:21" ht="16" x14ac:dyDescent="0.2">
      <c r="A12" s="30">
        <v>335</v>
      </c>
      <c r="B12" s="30">
        <f>IF(A12&lt;270, "ERROR", IF(A12&gt;370,"ERROR",(-3.014732*10^(-10)*A12^4+4.13618032*10^(-7)*A12^3-2.148422*10^(-4)*A12^2+0.0494708537*A12-3.2343963445)*1000))</f>
        <v>980.90943764125041</v>
      </c>
      <c r="C12" s="30">
        <v>15.55</v>
      </c>
      <c r="D12" s="30">
        <v>8.6999999999999994E-2</v>
      </c>
      <c r="E12" s="38">
        <f t="shared" si="0"/>
        <v>2801.3760400000006</v>
      </c>
      <c r="F12">
        <f t="shared" si="1"/>
        <v>102.53296865530331</v>
      </c>
      <c r="G12">
        <f t="shared" si="2"/>
        <v>3.0803179668353153</v>
      </c>
      <c r="H12" s="39">
        <f t="shared" si="3"/>
        <v>3.7325348443704165E-3</v>
      </c>
      <c r="I12" s="39"/>
      <c r="J12" s="39"/>
      <c r="K12" s="39">
        <v>3.0803179668353202</v>
      </c>
      <c r="L12" s="39">
        <v>3.7325348443757499E-3</v>
      </c>
      <c r="M12" s="39"/>
      <c r="O12" s="38">
        <f t="shared" si="4"/>
        <v>2817.0493336000004</v>
      </c>
      <c r="P12">
        <f t="shared" si="5"/>
        <v>103.10662577896963</v>
      </c>
      <c r="Q12" s="39">
        <f t="shared" si="6"/>
        <v>3.0840296768346613</v>
      </c>
      <c r="S12" s="38">
        <f t="shared" si="7"/>
        <v>2785.7027464000007</v>
      </c>
      <c r="T12">
        <f t="shared" si="8"/>
        <v>101.95931153163698</v>
      </c>
      <c r="U12" s="39">
        <f t="shared" si="9"/>
        <v>3.0765854319909449</v>
      </c>
    </row>
    <row r="13" spans="1:21" ht="16" x14ac:dyDescent="0.2">
      <c r="A13" s="30">
        <v>355</v>
      </c>
      <c r="B13" s="30">
        <f>IF(A13&lt;270, "ERROR", IF(A13&gt;370,"ERROR",(-3.014732*10^(-10)*A13^4+4.13618032*10^(-7)*A13^3-2.148422*10^(-4)*A13^2+0.0494708537*A13-3.2343963445)*1000))</f>
        <v>968.985902613245</v>
      </c>
      <c r="C13" s="30">
        <v>13.89</v>
      </c>
      <c r="D13" s="30">
        <v>5.6000000000000001E-2</v>
      </c>
      <c r="E13" s="38">
        <f t="shared" si="0"/>
        <v>2502.3223920000005</v>
      </c>
      <c r="F13">
        <f t="shared" si="1"/>
        <v>87.490982272167784</v>
      </c>
      <c r="G13">
        <f t="shared" si="2"/>
        <v>3.1523723786175202</v>
      </c>
      <c r="H13" s="39">
        <f t="shared" si="3"/>
        <v>2.8480232572793973E-3</v>
      </c>
      <c r="I13" s="39"/>
      <c r="J13" s="39"/>
      <c r="K13" s="39">
        <v>3.1523723786175202</v>
      </c>
      <c r="L13" s="39">
        <v>2.8480232572825098E-3</v>
      </c>
      <c r="M13" s="39"/>
      <c r="O13" s="38">
        <f t="shared" si="4"/>
        <v>2512.4109488000004</v>
      </c>
      <c r="P13">
        <f t="shared" si="5"/>
        <v>87.843717693855424</v>
      </c>
      <c r="Q13" s="39">
        <f t="shared" si="6"/>
        <v>3.1552089426325516</v>
      </c>
      <c r="S13" s="38">
        <f t="shared" si="7"/>
        <v>2492.2338352000002</v>
      </c>
      <c r="T13">
        <f t="shared" si="8"/>
        <v>87.138246850480115</v>
      </c>
      <c r="U13" s="39">
        <f t="shared" si="9"/>
        <v>3.1495243553602408</v>
      </c>
    </row>
    <row r="14" spans="1:21" ht="16" x14ac:dyDescent="0.2">
      <c r="A14" s="30">
        <v>375</v>
      </c>
      <c r="B14" s="30">
        <f>IF(A14&lt;270, "ERROR", IF(A14&gt;375,"ERROR",(-3.014732*10^(-10)*A14^4+4.13618032*10^(-7)*A14^3-2.148422*10^(-4)*A14^2+0.0494708537*A14-3.2343963445)*1000))</f>
        <v>955.12753128124791</v>
      </c>
      <c r="C14" s="30">
        <v>11.696999999999999</v>
      </c>
      <c r="D14" s="30">
        <v>5.1999999999999998E-2</v>
      </c>
      <c r="E14" s="38">
        <f t="shared" si="0"/>
        <v>2107.2473015999999</v>
      </c>
      <c r="F14">
        <f t="shared" si="1"/>
        <v>70.760145457675449</v>
      </c>
      <c r="G14">
        <f t="shared" si="2"/>
        <v>3.1719149786908725</v>
      </c>
      <c r="H14" s="39">
        <f t="shared" si="3"/>
        <v>3.3180254743880866E-3</v>
      </c>
      <c r="I14" s="39"/>
      <c r="J14" s="39"/>
      <c r="K14" s="39">
        <v>3.1719149786908698</v>
      </c>
      <c r="L14" s="39">
        <v>3.3180254743854199E-3</v>
      </c>
      <c r="M14" s="39"/>
      <c r="O14" s="38">
        <f t="shared" si="4"/>
        <v>2116.6152471999999</v>
      </c>
      <c r="P14">
        <f t="shared" si="5"/>
        <v>71.074715652067098</v>
      </c>
      <c r="Q14" s="39">
        <f t="shared" si="6"/>
        <v>3.1752182862695233</v>
      </c>
      <c r="S14" s="38">
        <f t="shared" si="7"/>
        <v>2097.8793559999999</v>
      </c>
      <c r="T14">
        <f t="shared" si="8"/>
        <v>70.4455752632838</v>
      </c>
      <c r="U14" s="39">
        <f t="shared" si="9"/>
        <v>3.1685969532164844</v>
      </c>
    </row>
    <row r="15" spans="1:21" ht="16" x14ac:dyDescent="0.2">
      <c r="A15" s="30">
        <v>395</v>
      </c>
      <c r="B15" s="30" t="str">
        <f>IF(A15&lt;270, "ERROR", IF(A15&gt;375,"ERROR",(-3.014732*10^(-10)*A15^4+4.13618032*10^(-7)*A15^3-2.148422*10^(-4)*A15^2+0.0494708537*A15-3.2343963445)*1000))</f>
        <v>ERROR</v>
      </c>
      <c r="C15" s="30">
        <v>9.984</v>
      </c>
      <c r="D15" s="30">
        <v>3.3000000000000002E-2</v>
      </c>
      <c r="E15" s="38">
        <f t="shared" si="0"/>
        <v>1798.6455552000002</v>
      </c>
      <c r="F15" t="e">
        <f t="shared" si="1"/>
        <v>#VALUE!</v>
      </c>
      <c r="G15" t="e">
        <f t="shared" si="2"/>
        <v>#VALUE!</v>
      </c>
      <c r="H15" s="39" t="e">
        <f t="shared" si="3"/>
        <v>#VALUE!</v>
      </c>
      <c r="I15" s="39"/>
      <c r="J15" s="39"/>
      <c r="K15" s="39" t="e">
        <f>#VALUE!</f>
        <v>#VALUE!</v>
      </c>
      <c r="L15" s="39" t="e">
        <f>#VALUE!</f>
        <v>#VALUE!</v>
      </c>
      <c r="M15" s="39"/>
      <c r="O15" s="38">
        <f t="shared" si="4"/>
        <v>1804.5905976000001</v>
      </c>
      <c r="P15" t="e">
        <f t="shared" si="5"/>
        <v>#VALUE!</v>
      </c>
      <c r="Q15" s="39" t="e">
        <f t="shared" si="6"/>
        <v>#VALUE!</v>
      </c>
      <c r="S15" s="38">
        <f t="shared" si="7"/>
        <v>1792.7005128000003</v>
      </c>
      <c r="T15" t="e">
        <f t="shared" si="8"/>
        <v>#VALUE!</v>
      </c>
      <c r="U15" s="39" t="e">
        <f t="shared" si="9"/>
        <v>#VALUE!</v>
      </c>
    </row>
    <row r="16" spans="1:21" x14ac:dyDescent="0.2">
      <c r="E16"/>
      <c r="F16" s="34"/>
    </row>
    <row r="17" spans="1:21" x14ac:dyDescent="0.2">
      <c r="A17" s="35" t="s">
        <v>41</v>
      </c>
      <c r="B17" s="35"/>
      <c r="E17"/>
      <c r="F17" s="34"/>
      <c r="O17" t="s">
        <v>32</v>
      </c>
      <c r="S17" t="s">
        <v>32</v>
      </c>
    </row>
    <row r="18" spans="1:21" x14ac:dyDescent="0.2">
      <c r="A18" s="36" t="s">
        <v>33</v>
      </c>
      <c r="B18" s="36" t="s">
        <v>34</v>
      </c>
      <c r="C18" s="36" t="s">
        <v>35</v>
      </c>
      <c r="D18" s="36" t="s">
        <v>36</v>
      </c>
      <c r="E18" s="36" t="s">
        <v>37</v>
      </c>
      <c r="F18" s="37" t="s">
        <v>38</v>
      </c>
      <c r="G18" s="36" t="s">
        <v>39</v>
      </c>
      <c r="H18" s="36" t="s">
        <v>40</v>
      </c>
      <c r="I18" s="36"/>
      <c r="J18" s="36"/>
      <c r="K18" s="36" t="s">
        <v>39</v>
      </c>
      <c r="L18" s="36" t="s">
        <v>40</v>
      </c>
      <c r="M18" s="36"/>
      <c r="O18" s="36" t="s">
        <v>37</v>
      </c>
      <c r="P18" s="37" t="s">
        <v>38</v>
      </c>
      <c r="Q18" s="36" t="s">
        <v>39</v>
      </c>
      <c r="S18" s="36" t="s">
        <v>37</v>
      </c>
      <c r="T18" s="37" t="s">
        <v>38</v>
      </c>
      <c r="U18" s="36" t="s">
        <v>39</v>
      </c>
    </row>
    <row r="19" spans="1:21" ht="16" x14ac:dyDescent="0.2">
      <c r="A19" s="30">
        <v>275</v>
      </c>
      <c r="B19" s="30">
        <f>IF(A19&lt;270, "ERROR", IF(A19&gt;370,"ERROR",(-3.014732*10^(-10)*A19^4+4.13618032*10^(-7)*A19^3-2.148422*10^(-4)*A19^2+0.0494708537*A19-3.2343963445)*1000))</f>
        <v>1000.4419317812485</v>
      </c>
      <c r="C19" s="30">
        <v>14.923</v>
      </c>
      <c r="D19" s="30">
        <v>0.26900000000000002</v>
      </c>
      <c r="E19" s="38">
        <f t="shared" ref="E19:E25" si="10">C19*$B$5*10000</f>
        <v>2688.4202344</v>
      </c>
      <c r="F19">
        <f t="shared" ref="F19:F25" si="11">E19/(B19*$B$3*A19)</f>
        <v>117.52720756867272</v>
      </c>
      <c r="G19">
        <f t="shared" ref="G19:G25" si="12">1.9858775*10^(-3)*A19*LN(F19)</f>
        <v>2.6031561671515759</v>
      </c>
      <c r="H19" s="39">
        <f t="shared" ref="H19:H25" si="13">MAX(ABS(G19-Q19),ABS(G19-U19))</f>
        <v>9.9340256820843464E-3</v>
      </c>
      <c r="I19" s="39"/>
      <c r="J19" s="39"/>
      <c r="K19" s="39">
        <v>2.6031561671515702</v>
      </c>
      <c r="L19" s="39">
        <v>9.9340256820790208E-3</v>
      </c>
      <c r="M19" s="39"/>
      <c r="O19" s="38">
        <f t="shared" ref="O19:O25" si="14">(C19+D19)*$B$5*10000</f>
        <v>2736.8813376000003</v>
      </c>
      <c r="P19">
        <f t="shared" ref="P19:P25" si="15">O19/(B19*$B$3*A19)</f>
        <v>119.64573727690653</v>
      </c>
      <c r="Q19" s="39">
        <f t="shared" ref="Q19:Q25" si="16">1.9858775*10^(-3)*A19*LN(P19)</f>
        <v>2.6129127134144885</v>
      </c>
      <c r="S19" s="38">
        <f t="shared" ref="S19:S25" si="17">(C19-D19)*$B$5*10000</f>
        <v>2639.9591312000002</v>
      </c>
      <c r="T19">
        <f t="shared" ref="T19:T25" si="18">S19/(B19*$B$3*A19)</f>
        <v>115.40867786043893</v>
      </c>
      <c r="U19" s="39">
        <f t="shared" ref="U19:U25" si="19">1.9858775*10^(-3)*A19*LN(T19)</f>
        <v>2.5932221414694916</v>
      </c>
    </row>
    <row r="20" spans="1:21" ht="16" x14ac:dyDescent="0.2">
      <c r="A20" s="30">
        <v>295</v>
      </c>
      <c r="B20" s="30">
        <f>IF(A20&lt;270, "ERROR", IF(A20&gt;370,"ERROR",(-3.014732*10^(-10)*A20^4+4.13618032*10^(-7)*A20^3-2.148422*10^(-4)*A20^2+0.0494708537*A20-3.2343963445)*1000))</f>
        <v>998.25801862524747</v>
      </c>
      <c r="C20" s="30">
        <v>16.795000000000002</v>
      </c>
      <c r="D20" s="30">
        <v>0.189</v>
      </c>
      <c r="E20" s="38">
        <f t="shared" si="10"/>
        <v>3025.6662760000008</v>
      </c>
      <c r="F20">
        <f t="shared" si="11"/>
        <v>123.57255983196147</v>
      </c>
      <c r="G20">
        <f t="shared" si="12"/>
        <v>2.8218612525038851</v>
      </c>
      <c r="H20" s="39">
        <f t="shared" si="13"/>
        <v>6.6299680709618336E-3</v>
      </c>
      <c r="I20" s="39"/>
      <c r="J20" s="39"/>
      <c r="K20" s="39">
        <v>2.8218612525038802</v>
      </c>
      <c r="L20" s="39">
        <v>6.6299680709578403E-3</v>
      </c>
      <c r="M20" s="39"/>
      <c r="O20" s="38">
        <f t="shared" si="14"/>
        <v>3059.7151552000005</v>
      </c>
      <c r="P20">
        <f t="shared" si="15"/>
        <v>124.96316500065694</v>
      </c>
      <c r="Q20" s="39">
        <f t="shared" si="16"/>
        <v>2.8284170271252744</v>
      </c>
      <c r="S20" s="38">
        <f t="shared" si="17"/>
        <v>2991.6173968000003</v>
      </c>
      <c r="T20">
        <f t="shared" si="18"/>
        <v>122.18195466326596</v>
      </c>
      <c r="U20" s="39">
        <f t="shared" si="19"/>
        <v>2.8152312844329233</v>
      </c>
    </row>
    <row r="21" spans="1:21" ht="16" x14ac:dyDescent="0.2">
      <c r="A21" s="30">
        <v>315</v>
      </c>
      <c r="B21" s="30">
        <f>IF(A21&lt;270, "ERROR", IF(A21&gt;370,"ERROR",(-3.014732*10^(-10)*A21^4+4.13618032*10^(-7)*A21^3-2.148422*10^(-4)*A21^2+0.0494708537*A21-3.2343963445)*1000))</f>
        <v>991.01405559724981</v>
      </c>
      <c r="C21" s="30">
        <v>16.667999999999999</v>
      </c>
      <c r="D21" s="30">
        <v>0.16400000000000001</v>
      </c>
      <c r="E21" s="38">
        <f t="shared" si="10"/>
        <v>3002.7868703999998</v>
      </c>
      <c r="F21">
        <f t="shared" si="11"/>
        <v>115.69110850421866</v>
      </c>
      <c r="G21">
        <f t="shared" si="12"/>
        <v>2.9719470823047298</v>
      </c>
      <c r="H21" s="39">
        <f t="shared" si="13"/>
        <v>6.1854134520324955E-3</v>
      </c>
      <c r="I21" s="39"/>
      <c r="J21" s="39"/>
      <c r="K21" s="39">
        <v>2.9719470823047298</v>
      </c>
      <c r="L21" s="39">
        <v>6.1854134520333802E-3</v>
      </c>
      <c r="M21" s="39"/>
      <c r="O21" s="38">
        <f t="shared" si="14"/>
        <v>3032.3319296000004</v>
      </c>
      <c r="P21">
        <f t="shared" si="15"/>
        <v>116.82941794714476</v>
      </c>
      <c r="Q21" s="39">
        <f t="shared" si="16"/>
        <v>2.9780719331242715</v>
      </c>
      <c r="S21" s="38">
        <f t="shared" si="17"/>
        <v>2973.2418111999996</v>
      </c>
      <c r="T21">
        <f t="shared" si="18"/>
        <v>114.55279906129257</v>
      </c>
      <c r="U21" s="39">
        <f t="shared" si="19"/>
        <v>2.9657616688526973</v>
      </c>
    </row>
    <row r="22" spans="1:21" ht="16" x14ac:dyDescent="0.2">
      <c r="A22" s="30">
        <v>335</v>
      </c>
      <c r="B22" s="30">
        <f>IF(A22&lt;270, "ERROR", IF(A22&gt;370,"ERROR",(-3.014732*10^(-10)*A22^4+4.13618032*10^(-7)*A22^3-2.148422*10^(-4)*A22^2+0.0494708537*A22-3.2343963445)*1000))</f>
        <v>980.90943764125041</v>
      </c>
      <c r="C22" s="30">
        <v>16.352</v>
      </c>
      <c r="D22" s="30">
        <v>0.129</v>
      </c>
      <c r="E22" s="38">
        <f t="shared" si="10"/>
        <v>2945.8585856000004</v>
      </c>
      <c r="F22">
        <f t="shared" si="11"/>
        <v>107.82116420910094</v>
      </c>
      <c r="G22">
        <f t="shared" si="12"/>
        <v>3.1137740604836117</v>
      </c>
      <c r="H22" s="39">
        <f t="shared" si="13"/>
        <v>5.2690802630421807E-3</v>
      </c>
      <c r="I22" s="39"/>
      <c r="J22" s="39"/>
      <c r="K22" s="39">
        <v>3.1137740604836099</v>
      </c>
      <c r="L22" s="39">
        <v>5.2690802630408502E-3</v>
      </c>
      <c r="M22" s="39"/>
      <c r="O22" s="38">
        <f t="shared" si="14"/>
        <v>2969.0982968000008</v>
      </c>
      <c r="P22">
        <f t="shared" si="15"/>
        <v>108.67175925453724</v>
      </c>
      <c r="Q22" s="39">
        <f t="shared" si="16"/>
        <v>3.1190017361612195</v>
      </c>
      <c r="S22" s="38">
        <f t="shared" si="17"/>
        <v>2922.6188744000005</v>
      </c>
      <c r="T22">
        <f t="shared" si="18"/>
        <v>106.97056916366466</v>
      </c>
      <c r="U22" s="39">
        <f t="shared" si="19"/>
        <v>3.1085049802205695</v>
      </c>
    </row>
    <row r="23" spans="1:21" ht="16" x14ac:dyDescent="0.2">
      <c r="A23" s="30">
        <v>355</v>
      </c>
      <c r="B23" s="30">
        <f>IF(A23&lt;270, "ERROR", IF(A23&gt;370,"ERROR",(-3.014732*10^(-10)*A23^4+4.13618032*10^(-7)*A23^3-2.148422*10^(-4)*A23^2+0.0494708537*A23-3.2343963445)*1000))</f>
        <v>968.985902613245</v>
      </c>
      <c r="C23" s="30">
        <v>14.955</v>
      </c>
      <c r="D23" s="30">
        <v>8.5999999999999993E-2</v>
      </c>
      <c r="E23" s="38">
        <f t="shared" si="10"/>
        <v>2694.1851240000005</v>
      </c>
      <c r="F23">
        <f t="shared" si="11"/>
        <v>94.199254131048889</v>
      </c>
      <c r="G23">
        <f t="shared" si="12"/>
        <v>3.2044543396052898</v>
      </c>
      <c r="H23" s="39">
        <f t="shared" si="13"/>
        <v>4.0657864887263528E-3</v>
      </c>
      <c r="I23" s="39"/>
      <c r="J23" s="39"/>
      <c r="K23" s="39">
        <v>3.2044543396052898</v>
      </c>
      <c r="L23" s="39">
        <v>4.06578648872902E-3</v>
      </c>
      <c r="M23" s="39"/>
      <c r="O23" s="38">
        <f t="shared" si="14"/>
        <v>2709.6782647999999</v>
      </c>
      <c r="P23">
        <f t="shared" si="15"/>
        <v>94.74095495721204</v>
      </c>
      <c r="Q23" s="39">
        <f t="shared" si="16"/>
        <v>3.2084968123482041</v>
      </c>
      <c r="S23" s="38">
        <f t="shared" si="17"/>
        <v>2678.6919831999999</v>
      </c>
      <c r="T23">
        <f t="shared" si="18"/>
        <v>93.657553304885695</v>
      </c>
      <c r="U23" s="39">
        <f t="shared" si="19"/>
        <v>3.2003885531165635</v>
      </c>
    </row>
    <row r="24" spans="1:21" ht="16" x14ac:dyDescent="0.2">
      <c r="A24" s="30">
        <v>375</v>
      </c>
      <c r="B24" s="30">
        <f>IF(A24&lt;270, "ERROR", IF(A24&gt;375,"ERROR",(-3.014732*10^(-10)*A24^4+4.13618032*10^(-7)*A24^3-2.148422*10^(-4)*A24^2+0.0494708537*A24-3.2343963445)*1000))</f>
        <v>955.12753128124791</v>
      </c>
      <c r="C24" s="30">
        <v>12.742000000000001</v>
      </c>
      <c r="D24" s="30">
        <v>7.2999999999999995E-2</v>
      </c>
      <c r="E24" s="38">
        <f t="shared" si="10"/>
        <v>2295.5069776000005</v>
      </c>
      <c r="F24">
        <f t="shared" si="11"/>
        <v>77.081796479584582</v>
      </c>
      <c r="G24">
        <f t="shared" si="12"/>
        <v>3.2356402176006327</v>
      </c>
      <c r="H24" s="39">
        <f t="shared" si="13"/>
        <v>4.2787411840250478E-3</v>
      </c>
      <c r="I24" s="39"/>
      <c r="J24" s="39"/>
      <c r="K24" s="39">
        <v>3.23564021760063</v>
      </c>
      <c r="L24" s="39">
        <v>4.2787411840223798E-3</v>
      </c>
      <c r="M24" s="39"/>
      <c r="O24" s="38">
        <f t="shared" si="14"/>
        <v>2308.6581320000005</v>
      </c>
      <c r="P24">
        <f t="shared" si="15"/>
        <v>77.523404637095936</v>
      </c>
      <c r="Q24" s="39">
        <f t="shared" si="16"/>
        <v>3.2398945153984813</v>
      </c>
      <c r="S24" s="38">
        <f t="shared" si="17"/>
        <v>2282.3558232</v>
      </c>
      <c r="T24">
        <f t="shared" si="18"/>
        <v>76.640188322073215</v>
      </c>
      <c r="U24" s="39">
        <f t="shared" si="19"/>
        <v>3.2313614764166076</v>
      </c>
    </row>
    <row r="25" spans="1:21" ht="16" x14ac:dyDescent="0.2">
      <c r="A25" s="30">
        <v>395</v>
      </c>
      <c r="B25" s="30" t="str">
        <f>IF(A25&lt;270, "ERROR", IF(A25&gt;375,"ERROR",(-3.014732*10^(-10)*A25^4+4.13618032*10^(-7)*A25^3-2.148422*10^(-4)*A25^2+0.0494708537*A25-3.2343963445)*1000))</f>
        <v>ERROR</v>
      </c>
      <c r="C25" s="30">
        <v>10.965999999999999</v>
      </c>
      <c r="D25" s="30">
        <v>4.9000000000000002E-2</v>
      </c>
      <c r="E25" s="38">
        <f t="shared" si="10"/>
        <v>1975.5556048000001</v>
      </c>
      <c r="F25" t="e">
        <f t="shared" si="11"/>
        <v>#VALUE!</v>
      </c>
      <c r="G25" t="e">
        <f t="shared" si="12"/>
        <v>#VALUE!</v>
      </c>
      <c r="H25" s="39" t="e">
        <f t="shared" si="13"/>
        <v>#VALUE!</v>
      </c>
      <c r="I25" s="39"/>
      <c r="J25" s="39"/>
      <c r="K25" s="39" t="e">
        <f>#VALUE!</f>
        <v>#VALUE!</v>
      </c>
      <c r="L25" s="39" t="e">
        <f>#VALUE!</f>
        <v>#VALUE!</v>
      </c>
      <c r="M25" s="39"/>
      <c r="O25" s="38">
        <f t="shared" si="14"/>
        <v>1984.383092</v>
      </c>
      <c r="P25" t="e">
        <f t="shared" si="15"/>
        <v>#VALUE!</v>
      </c>
      <c r="Q25" s="39" t="e">
        <f t="shared" si="16"/>
        <v>#VALUE!</v>
      </c>
      <c r="S25" s="38">
        <f t="shared" si="17"/>
        <v>1966.7281176000001</v>
      </c>
      <c r="T25" t="e">
        <f t="shared" si="18"/>
        <v>#VALUE!</v>
      </c>
      <c r="U25" s="39" t="e">
        <f t="shared" si="19"/>
        <v>#VALUE!</v>
      </c>
    </row>
    <row r="26" spans="1:21" x14ac:dyDescent="0.2">
      <c r="E26"/>
      <c r="F26" s="34"/>
    </row>
    <row r="27" spans="1:21" x14ac:dyDescent="0.2">
      <c r="A27" s="35" t="s">
        <v>42</v>
      </c>
      <c r="B27" s="35"/>
      <c r="E27"/>
      <c r="F27" s="34"/>
      <c r="O27" t="s">
        <v>32</v>
      </c>
      <c r="S27" t="s">
        <v>32</v>
      </c>
    </row>
    <row r="28" spans="1:21" x14ac:dyDescent="0.2">
      <c r="A28" s="36" t="s">
        <v>33</v>
      </c>
      <c r="B28" s="36" t="s">
        <v>34</v>
      </c>
      <c r="C28" s="36" t="s">
        <v>35</v>
      </c>
      <c r="D28" s="36" t="s">
        <v>36</v>
      </c>
      <c r="E28" s="36" t="s">
        <v>37</v>
      </c>
      <c r="F28" s="37" t="s">
        <v>38</v>
      </c>
      <c r="G28" s="36" t="s">
        <v>39</v>
      </c>
      <c r="H28" s="36" t="s">
        <v>40</v>
      </c>
      <c r="I28" s="36"/>
      <c r="J28" s="36"/>
      <c r="K28" s="36" t="s">
        <v>39</v>
      </c>
      <c r="L28" s="36" t="s">
        <v>40</v>
      </c>
      <c r="M28" s="36"/>
      <c r="O28" s="36" t="s">
        <v>37</v>
      </c>
      <c r="P28" s="37" t="s">
        <v>38</v>
      </c>
      <c r="Q28" s="36" t="s">
        <v>39</v>
      </c>
      <c r="S28" s="36" t="s">
        <v>37</v>
      </c>
      <c r="T28" s="37" t="s">
        <v>38</v>
      </c>
      <c r="U28" s="36" t="s">
        <v>39</v>
      </c>
    </row>
    <row r="29" spans="1:21" ht="16" x14ac:dyDescent="0.2">
      <c r="A29" s="30">
        <v>275</v>
      </c>
      <c r="B29" s="30">
        <f>IF(A29&lt;270, "ERROR", IF(A29&gt;370,"ERROR",(-3.014732*10^(-10)*A29^4+4.13618032*10^(-7)*A29^3-2.148422*10^(-4)*A29^2+0.0494708537*A29-3.2343963445)*1000))</f>
        <v>1000.4419317812485</v>
      </c>
      <c r="C29" s="30">
        <v>3.7839999999999998</v>
      </c>
      <c r="D29" s="30">
        <v>0.22700000000000001</v>
      </c>
      <c r="E29" s="38">
        <f t="shared" ref="E29:E35" si="20">C29*$B$5*10000</f>
        <v>681.6981952000001</v>
      </c>
      <c r="F29">
        <f t="shared" ref="F29:F35" si="21">E29/(B29*$B$3*A29)</f>
        <v>29.801176267496992</v>
      </c>
      <c r="G29">
        <f t="shared" ref="G29:G35" si="22">1.9858775*10^(-3)*A29*LN(F29)</f>
        <v>1.8538179625271485</v>
      </c>
      <c r="H29" s="39">
        <f t="shared" ref="H29:H35" si="23">MAX(ABS(G29-Q29),ABS(G29-U29))</f>
        <v>3.3785025964832904E-2</v>
      </c>
      <c r="I29" s="39"/>
      <c r="J29" s="39"/>
      <c r="K29" s="39">
        <v>1.85381796252715</v>
      </c>
      <c r="L29" s="39">
        <v>3.3785025964835097E-2</v>
      </c>
      <c r="M29" s="39"/>
      <c r="O29" s="38">
        <f t="shared" ref="O29:O35" si="24">(C29+D29)*$B$5*10000</f>
        <v>722.5928808000001</v>
      </c>
      <c r="P29">
        <f t="shared" ref="P29:P35" si="25">O29/(B29*$B$3*A29)</f>
        <v>31.58893182054187</v>
      </c>
      <c r="Q29" s="39">
        <f t="shared" ref="Q29:Q35" si="26">1.9858775*10^(-3)*A29*LN(P29)</f>
        <v>1.8856341176062581</v>
      </c>
      <c r="S29" s="38">
        <f t="shared" ref="S29:S35" si="27">(C29-D29)*$B$5*10000</f>
        <v>640.8035096000001</v>
      </c>
      <c r="T29">
        <f t="shared" ref="T29:T35" si="28">S29/(B29*$B$3*A29)</f>
        <v>28.013420714452113</v>
      </c>
      <c r="U29" s="39">
        <f t="shared" ref="U29:U35" si="29">1.9858775*10^(-3)*A29*LN(T29)</f>
        <v>1.8200329365623156</v>
      </c>
    </row>
    <row r="30" spans="1:21" ht="16" x14ac:dyDescent="0.2">
      <c r="A30" s="30">
        <v>295</v>
      </c>
      <c r="B30" s="30">
        <f>IF(A30&lt;270, "ERROR", IF(A30&gt;370,"ERROR",(-3.014732*10^(-10)*A30^4+4.13618032*10^(-7)*A30^3-2.148422*10^(-4)*A30^2+0.0494708537*A30-3.2343963445)*1000))</f>
        <v>998.25801862524747</v>
      </c>
      <c r="C30" s="30">
        <v>5.3029999999999999</v>
      </c>
      <c r="D30" s="30">
        <v>0.19800000000000001</v>
      </c>
      <c r="E30" s="38">
        <f t="shared" si="20"/>
        <v>955.35029840000004</v>
      </c>
      <c r="F30">
        <f t="shared" si="21"/>
        <v>39.017879415831587</v>
      </c>
      <c r="G30">
        <f t="shared" si="22"/>
        <v>2.1465069816333635</v>
      </c>
      <c r="H30" s="39">
        <f t="shared" si="23"/>
        <v>2.229229456637194E-2</v>
      </c>
      <c r="I30" s="39"/>
      <c r="J30" s="39"/>
      <c r="K30" s="39">
        <v>2.14650698163336</v>
      </c>
      <c r="L30" s="39">
        <v>2.2292294566369299E-2</v>
      </c>
      <c r="M30" s="39"/>
      <c r="O30" s="38">
        <f t="shared" si="24"/>
        <v>991.02055280000013</v>
      </c>
      <c r="P30">
        <f t="shared" si="25"/>
        <v>40.474703878274482</v>
      </c>
      <c r="Q30" s="39">
        <f t="shared" si="26"/>
        <v>2.1679820082011672</v>
      </c>
      <c r="S30" s="38">
        <f t="shared" si="27"/>
        <v>919.68004399999995</v>
      </c>
      <c r="T30">
        <f t="shared" si="28"/>
        <v>37.561054953388691</v>
      </c>
      <c r="U30" s="39">
        <f t="shared" si="29"/>
        <v>2.1242146870669916</v>
      </c>
    </row>
    <row r="31" spans="1:21" ht="16" x14ac:dyDescent="0.2">
      <c r="A31" s="30">
        <v>315</v>
      </c>
      <c r="B31" s="30">
        <f>IF(A31&lt;270, "ERROR", IF(A31&gt;370,"ERROR",(-3.014732*10^(-10)*A31^4+4.13618032*10^(-7)*A31^3-2.148422*10^(-4)*A31^2+0.0494708537*A31-3.2343963445)*1000))</f>
        <v>991.01405559724981</v>
      </c>
      <c r="C31" s="30">
        <v>6.2140000000000004</v>
      </c>
      <c r="D31" s="30">
        <v>0.17100000000000001</v>
      </c>
      <c r="E31" s="38">
        <f t="shared" si="20"/>
        <v>1119.4694992000002</v>
      </c>
      <c r="F31">
        <f t="shared" si="21"/>
        <v>43.130822428918577</v>
      </c>
      <c r="G31">
        <f t="shared" si="22"/>
        <v>2.354724322246124</v>
      </c>
      <c r="H31" s="39">
        <f t="shared" si="23"/>
        <v>1.7455532737851609E-2</v>
      </c>
      <c r="I31" s="39"/>
      <c r="J31" s="39"/>
      <c r="K31" s="39">
        <v>2.35472432224612</v>
      </c>
      <c r="L31" s="39">
        <v>1.74555327378485E-2</v>
      </c>
      <c r="M31" s="39"/>
      <c r="O31" s="38">
        <f t="shared" si="24"/>
        <v>1150.2756280000003</v>
      </c>
      <c r="P31">
        <f t="shared" si="25"/>
        <v>44.31771825050614</v>
      </c>
      <c r="Q31" s="39">
        <f t="shared" si="26"/>
        <v>2.3717059653350194</v>
      </c>
      <c r="S31" s="38">
        <f t="shared" si="27"/>
        <v>1088.6633704000001</v>
      </c>
      <c r="T31">
        <f t="shared" si="28"/>
        <v>41.943926607331022</v>
      </c>
      <c r="U31" s="39">
        <f t="shared" si="29"/>
        <v>2.3372687895082724</v>
      </c>
    </row>
    <row r="32" spans="1:21" ht="16" x14ac:dyDescent="0.2">
      <c r="A32" s="30">
        <v>335</v>
      </c>
      <c r="B32" s="30">
        <f>IF(A32&lt;270, "ERROR", IF(A32&gt;370,"ERROR",(-3.014732*10^(-10)*A32^4+4.13618032*10^(-7)*A32^3-2.148422*10^(-4)*A32^2+0.0494708537*A32-3.2343963445)*1000))</f>
        <v>980.90943764125041</v>
      </c>
      <c r="C32" s="30">
        <v>7.2830000000000004</v>
      </c>
      <c r="D32" s="30">
        <v>0.17799999999999999</v>
      </c>
      <c r="E32" s="38">
        <f t="shared" si="20"/>
        <v>1312.0528424000001</v>
      </c>
      <c r="F32">
        <f t="shared" si="21"/>
        <v>48.022354386917939</v>
      </c>
      <c r="G32">
        <f t="shared" si="22"/>
        <v>2.5756996346946961</v>
      </c>
      <c r="H32" s="39">
        <f t="shared" si="23"/>
        <v>1.6461484187653141E-2</v>
      </c>
      <c r="I32" s="39"/>
      <c r="J32" s="39"/>
      <c r="K32" s="39">
        <v>2.5756996346947001</v>
      </c>
      <c r="L32" s="39">
        <v>1.64614841876571E-2</v>
      </c>
      <c r="M32" s="39"/>
      <c r="O32" s="38">
        <f t="shared" si="24"/>
        <v>1344.1200408</v>
      </c>
      <c r="P32">
        <f t="shared" si="25"/>
        <v>49.196043674419151</v>
      </c>
      <c r="Q32" s="39">
        <f t="shared" si="26"/>
        <v>2.5917636104100827</v>
      </c>
      <c r="S32" s="38">
        <f t="shared" si="27"/>
        <v>1279.9856440000001</v>
      </c>
      <c r="T32">
        <f t="shared" si="28"/>
        <v>46.848665099416714</v>
      </c>
      <c r="U32" s="39">
        <f t="shared" si="29"/>
        <v>2.559238150507043</v>
      </c>
    </row>
    <row r="33" spans="1:21" ht="16" x14ac:dyDescent="0.2">
      <c r="A33" s="30">
        <v>355</v>
      </c>
      <c r="B33" s="30">
        <f>IF(A33&lt;270, "ERROR", IF(A33&gt;370,"ERROR",(-3.014732*10^(-10)*A33^4+4.13618032*10^(-7)*A33^3-2.148422*10^(-4)*A33^2+0.0494708537*A33-3.2343963445)*1000))</f>
        <v>968.985902613245</v>
      </c>
      <c r="C33" s="30">
        <v>7.4630000000000001</v>
      </c>
      <c r="D33" s="30">
        <v>0.129</v>
      </c>
      <c r="E33" s="38">
        <f t="shared" si="20"/>
        <v>1344.4803464000001</v>
      </c>
      <c r="F33">
        <f t="shared" si="21"/>
        <v>47.008293786694608</v>
      </c>
      <c r="G33">
        <f t="shared" si="22"/>
        <v>2.7144265237850491</v>
      </c>
      <c r="H33" s="39">
        <f t="shared" si="23"/>
        <v>1.229243281902237E-2</v>
      </c>
      <c r="I33" s="39"/>
      <c r="J33" s="39"/>
      <c r="K33" s="39">
        <v>2.71442652378505</v>
      </c>
      <c r="L33" s="39">
        <v>1.22924328190259E-2</v>
      </c>
      <c r="M33" s="39"/>
      <c r="O33" s="38">
        <f t="shared" si="24"/>
        <v>1367.7200576</v>
      </c>
      <c r="P33">
        <f t="shared" si="25"/>
        <v>47.820845025939356</v>
      </c>
      <c r="Q33" s="39">
        <f t="shared" si="26"/>
        <v>2.7265082887685517</v>
      </c>
      <c r="S33" s="38">
        <f t="shared" si="27"/>
        <v>1321.2406352</v>
      </c>
      <c r="T33">
        <f t="shared" si="28"/>
        <v>46.195742547449846</v>
      </c>
      <c r="U33" s="39">
        <f t="shared" si="29"/>
        <v>2.7021340909660267</v>
      </c>
    </row>
    <row r="34" spans="1:21" ht="16" x14ac:dyDescent="0.2">
      <c r="A34" s="30">
        <v>375</v>
      </c>
      <c r="B34" s="30">
        <f>IF(A34&lt;270, "ERROR", IF(A34&gt;375,"ERROR",(-3.014732*10^(-10)*A34^4+4.13618032*10^(-7)*A34^3-2.148422*10^(-4)*A34^2+0.0494708537*A34-3.2343963445)*1000))</f>
        <v>955.12753128124791</v>
      </c>
      <c r="C34" s="30">
        <v>6.9509999999999996</v>
      </c>
      <c r="D34" s="30">
        <v>0.10199999999999999</v>
      </c>
      <c r="E34" s="38">
        <f t="shared" si="20"/>
        <v>1252.2421128000001</v>
      </c>
      <c r="F34">
        <f t="shared" si="21"/>
        <v>42.049565792622218</v>
      </c>
      <c r="G34">
        <f t="shared" si="22"/>
        <v>2.7843360843449352</v>
      </c>
      <c r="H34" s="39">
        <f t="shared" si="23"/>
        <v>1.1008869229492735E-2</v>
      </c>
      <c r="I34" s="39"/>
      <c r="J34" s="39"/>
      <c r="K34" s="39">
        <v>2.7843360843449401</v>
      </c>
      <c r="L34" s="39">
        <v>1.1008869229497601E-2</v>
      </c>
      <c r="M34" s="39"/>
      <c r="O34" s="38">
        <f t="shared" si="24"/>
        <v>1270.6176984000001</v>
      </c>
      <c r="P34">
        <f t="shared" si="25"/>
        <v>42.666607327775068</v>
      </c>
      <c r="Q34" s="39">
        <f t="shared" si="26"/>
        <v>2.7951845787285015</v>
      </c>
      <c r="S34" s="38">
        <f t="shared" si="27"/>
        <v>1233.8665272000001</v>
      </c>
      <c r="T34">
        <f t="shared" si="28"/>
        <v>41.432524257469368</v>
      </c>
      <c r="U34" s="39">
        <f t="shared" si="29"/>
        <v>2.7733272151154424</v>
      </c>
    </row>
    <row r="35" spans="1:21" ht="16" x14ac:dyDescent="0.2">
      <c r="A35" s="30">
        <v>395</v>
      </c>
      <c r="B35" s="30" t="str">
        <f>IF(A35&lt;270, "ERROR", IF(A35&gt;375,"ERROR",(-3.014732*10^(-10)*A35^4+4.13618032*10^(-7)*A35^3-2.148422*10^(-4)*A35^2+0.0494708537*A35-3.2343963445)*1000))</f>
        <v>ERROR</v>
      </c>
      <c r="C35" s="30">
        <v>6.4260000000000002</v>
      </c>
      <c r="D35" s="30">
        <v>7.1999999999999995E-2</v>
      </c>
      <c r="E35" s="38">
        <f t="shared" si="20"/>
        <v>1157.6618928000003</v>
      </c>
      <c r="F35" t="e">
        <f t="shared" si="21"/>
        <v>#VALUE!</v>
      </c>
      <c r="G35" t="e">
        <f t="shared" si="22"/>
        <v>#VALUE!</v>
      </c>
      <c r="H35" s="39" t="e">
        <f t="shared" si="23"/>
        <v>#VALUE!</v>
      </c>
      <c r="I35" s="39"/>
      <c r="J35" s="39"/>
      <c r="K35" s="39" t="e">
        <f>#VALUE!</f>
        <v>#VALUE!</v>
      </c>
      <c r="L35" s="39" t="e">
        <f>#VALUE!</f>
        <v>#VALUE!</v>
      </c>
      <c r="M35" s="39"/>
      <c r="O35" s="38">
        <f t="shared" si="24"/>
        <v>1170.6328944000002</v>
      </c>
      <c r="P35" t="e">
        <f t="shared" si="25"/>
        <v>#VALUE!</v>
      </c>
      <c r="Q35" s="39" t="e">
        <f t="shared" si="26"/>
        <v>#VALUE!</v>
      </c>
      <c r="S35" s="38">
        <f t="shared" si="27"/>
        <v>1144.6908912000001</v>
      </c>
      <c r="T35" t="e">
        <f t="shared" si="28"/>
        <v>#VALUE!</v>
      </c>
      <c r="U35" s="39" t="e">
        <f t="shared" si="29"/>
        <v>#VALUE!</v>
      </c>
    </row>
    <row r="36" spans="1:21" x14ac:dyDescent="0.2">
      <c r="E36"/>
      <c r="F36" s="34"/>
    </row>
    <row r="37" spans="1:21" x14ac:dyDescent="0.2">
      <c r="A37" s="35" t="s">
        <v>43</v>
      </c>
      <c r="B37" s="35"/>
      <c r="E37"/>
      <c r="F37" s="34"/>
      <c r="O37" t="s">
        <v>32</v>
      </c>
      <c r="S37" t="s">
        <v>32</v>
      </c>
    </row>
    <row r="38" spans="1:21" x14ac:dyDescent="0.2">
      <c r="A38" s="36" t="s">
        <v>33</v>
      </c>
      <c r="B38" s="36" t="s">
        <v>34</v>
      </c>
      <c r="C38" s="36" t="s">
        <v>35</v>
      </c>
      <c r="D38" s="36" t="s">
        <v>36</v>
      </c>
      <c r="E38" s="36" t="s">
        <v>37</v>
      </c>
      <c r="F38" s="37" t="s">
        <v>38</v>
      </c>
      <c r="G38" s="36" t="s">
        <v>39</v>
      </c>
      <c r="H38" s="36" t="s">
        <v>40</v>
      </c>
      <c r="I38" s="36"/>
      <c r="J38" s="36"/>
      <c r="K38" s="36" t="s">
        <v>39</v>
      </c>
      <c r="L38" s="36" t="s">
        <v>40</v>
      </c>
      <c r="M38" s="36"/>
      <c r="O38" s="36" t="s">
        <v>37</v>
      </c>
      <c r="P38" s="37" t="s">
        <v>38</v>
      </c>
      <c r="Q38" s="36" t="s">
        <v>39</v>
      </c>
      <c r="S38" s="36" t="s">
        <v>37</v>
      </c>
      <c r="T38" s="37" t="s">
        <v>38</v>
      </c>
      <c r="U38" s="36" t="s">
        <v>39</v>
      </c>
    </row>
    <row r="39" spans="1:21" ht="16" x14ac:dyDescent="0.2">
      <c r="A39" s="30">
        <v>275</v>
      </c>
      <c r="B39" s="30">
        <f>IF(A39&lt;270, "ERROR", IF(A39&gt;370,"ERROR",(-3.014732*10^(-10)*A39^4+4.13618032*10^(-7)*A39^3-2.148422*10^(-4)*A39^2+0.0494708537*A39-3.2343963445)*1000))</f>
        <v>1000.4419317812485</v>
      </c>
      <c r="C39" s="30">
        <v>2.3460000000000001</v>
      </c>
      <c r="D39" s="30">
        <v>0.246</v>
      </c>
      <c r="E39" s="38">
        <f t="shared" ref="E39:E45" si="30">C39*$B$5*10000</f>
        <v>422.63846880000006</v>
      </c>
      <c r="F39">
        <f t="shared" ref="F39:F45" si="31">E39/(B39*$B$3*A39)</f>
        <v>18.476099239838252</v>
      </c>
      <c r="G39">
        <f t="shared" ref="G39:G45" si="32">1.9858775*10^(-3)*A39*LN(F39)</f>
        <v>1.5927361910985349</v>
      </c>
      <c r="H39" s="39">
        <f t="shared" ref="H39:H45" si="33">MAX(ABS(G39-Q39),ABS(G39-U39))</f>
        <v>6.0495709852080859E-2</v>
      </c>
      <c r="I39" s="39"/>
      <c r="J39" s="39"/>
      <c r="K39" s="39">
        <v>1.59273619109853</v>
      </c>
      <c r="L39" s="39">
        <v>6.0495709852076598E-2</v>
      </c>
      <c r="M39" s="39"/>
      <c r="O39" s="38">
        <f t="shared" ref="O39:O45" si="34">(C39+D39)*$B$5*10000</f>
        <v>466.95605760000007</v>
      </c>
      <c r="P39">
        <f t="shared" ref="P39:P45" si="35">O39/(B39*$B$3*A39)</f>
        <v>20.413490720230499</v>
      </c>
      <c r="Q39" s="39">
        <f t="shared" ref="Q39:Q45" si="36">1.9858775*10^(-3)*A39*LN(P39)</f>
        <v>1.6471938329809714</v>
      </c>
      <c r="S39" s="38">
        <f t="shared" ref="S39:S45" si="37">(C39-D39)*$B$5*10000</f>
        <v>378.32088000000005</v>
      </c>
      <c r="T39">
        <f t="shared" ref="T39:T45" si="38">S39/(B39*$B$3*A39)</f>
        <v>16.538707759446005</v>
      </c>
      <c r="U39" s="39">
        <f t="shared" ref="U39:U45" si="39">1.9858775*10^(-3)*A39*LN(T39)</f>
        <v>1.5322404812464541</v>
      </c>
    </row>
    <row r="40" spans="1:21" ht="16" x14ac:dyDescent="0.2">
      <c r="A40" s="30">
        <v>295</v>
      </c>
      <c r="B40" s="30">
        <f>IF(A40&lt;270, "ERROR", IF(A40&gt;370,"ERROR",(-3.014732*10^(-10)*A40^4+4.13618032*10^(-7)*A40^3-2.148422*10^(-4)*A40^2+0.0494708537*A40-3.2343963445)*1000))</f>
        <v>998.25801862524747</v>
      </c>
      <c r="C40" s="30">
        <v>3.5270000000000001</v>
      </c>
      <c r="D40" s="30">
        <v>0.22500000000000001</v>
      </c>
      <c r="E40" s="38">
        <f t="shared" si="30"/>
        <v>635.3989256000001</v>
      </c>
      <c r="F40">
        <f t="shared" si="31"/>
        <v>25.95060544967717</v>
      </c>
      <c r="G40">
        <f t="shared" si="32"/>
        <v>1.9075892591830614</v>
      </c>
      <c r="H40" s="39">
        <f t="shared" si="33"/>
        <v>3.8617761504343484E-2</v>
      </c>
      <c r="I40" s="39"/>
      <c r="J40" s="39"/>
      <c r="K40" s="39">
        <v>1.9075892591830601</v>
      </c>
      <c r="L40" s="39">
        <v>3.8617761504342797E-2</v>
      </c>
      <c r="M40" s="39"/>
      <c r="O40" s="38">
        <f t="shared" si="34"/>
        <v>675.93330560000015</v>
      </c>
      <c r="P40">
        <f t="shared" si="35"/>
        <v>27.606087793362274</v>
      </c>
      <c r="Q40" s="39">
        <f t="shared" si="36"/>
        <v>1.9438180336263871</v>
      </c>
      <c r="S40" s="38">
        <f t="shared" si="37"/>
        <v>594.86454560000004</v>
      </c>
      <c r="T40">
        <f t="shared" si="38"/>
        <v>24.295123105992062</v>
      </c>
      <c r="U40" s="39">
        <f t="shared" si="39"/>
        <v>1.868971497678718</v>
      </c>
    </row>
    <row r="41" spans="1:21" ht="16" x14ac:dyDescent="0.2">
      <c r="A41" s="30">
        <v>315</v>
      </c>
      <c r="B41" s="30">
        <f>IF(A41&lt;270, "ERROR", IF(A41&gt;370,"ERROR",(-3.014732*10^(-10)*A41^4+4.13618032*10^(-7)*A41^3-2.148422*10^(-4)*A41^2+0.0494708537*A41-3.2343963445)*1000))</f>
        <v>991.01405559724981</v>
      </c>
      <c r="C41" s="30">
        <v>4.4189999999999996</v>
      </c>
      <c r="D41" s="30">
        <v>0.19600000000000001</v>
      </c>
      <c r="E41" s="38">
        <f t="shared" si="30"/>
        <v>796.09522319999996</v>
      </c>
      <c r="F41">
        <f t="shared" si="31"/>
        <v>30.671886757867906</v>
      </c>
      <c r="G41">
        <f t="shared" si="32"/>
        <v>2.1414792349614826</v>
      </c>
      <c r="H41" s="39">
        <f t="shared" si="33"/>
        <v>2.8379797662411832E-2</v>
      </c>
      <c r="I41" s="39"/>
      <c r="J41" s="39"/>
      <c r="K41" s="39">
        <v>2.14147923496148</v>
      </c>
      <c r="L41" s="39">
        <v>2.8379797662410101E-2</v>
      </c>
      <c r="M41" s="39"/>
      <c r="O41" s="38">
        <f t="shared" si="34"/>
        <v>831.40517199999999</v>
      </c>
      <c r="P41">
        <f t="shared" si="35"/>
        <v>32.032305360389316</v>
      </c>
      <c r="Q41" s="39">
        <f t="shared" si="36"/>
        <v>2.1686271915336577</v>
      </c>
      <c r="S41" s="38">
        <f t="shared" si="37"/>
        <v>760.78527440000005</v>
      </c>
      <c r="T41">
        <f t="shared" si="38"/>
        <v>29.3114681553465</v>
      </c>
      <c r="U41" s="39">
        <f t="shared" si="39"/>
        <v>2.1130994372990708</v>
      </c>
    </row>
    <row r="42" spans="1:21" ht="16" x14ac:dyDescent="0.2">
      <c r="A42" s="30">
        <v>335</v>
      </c>
      <c r="B42" s="30">
        <f>IF(A42&lt;270, "ERROR", IF(A42&gt;370,"ERROR",(-3.014732*10^(-10)*A42^4+4.13618032*10^(-7)*A42^3-2.148422*10^(-4)*A42^2+0.0494708537*A42-3.2343963445)*1000))</f>
        <v>980.90943764125041</v>
      </c>
      <c r="C42" s="30">
        <v>5.5890000000000004</v>
      </c>
      <c r="D42" s="30">
        <v>0.22</v>
      </c>
      <c r="E42" s="38">
        <f t="shared" si="30"/>
        <v>1006.8739992000002</v>
      </c>
      <c r="F42">
        <f t="shared" si="31"/>
        <v>36.852524875529916</v>
      </c>
      <c r="G42">
        <f t="shared" si="32"/>
        <v>2.3995746764035237</v>
      </c>
      <c r="H42" s="39">
        <f t="shared" si="33"/>
        <v>2.6716342570068718E-2</v>
      </c>
      <c r="I42" s="39"/>
      <c r="J42" s="39"/>
      <c r="K42" s="39">
        <v>2.3995746764035202</v>
      </c>
      <c r="L42" s="39">
        <v>2.6716342570065599E-2</v>
      </c>
      <c r="M42" s="39"/>
      <c r="O42" s="38">
        <f t="shared" si="34"/>
        <v>1046.5076152000001</v>
      </c>
      <c r="P42">
        <f t="shared" si="35"/>
        <v>38.303152084801084</v>
      </c>
      <c r="Q42" s="39">
        <f t="shared" si="36"/>
        <v>2.425259419574203</v>
      </c>
      <c r="S42" s="38">
        <f t="shared" si="37"/>
        <v>967.24038320000022</v>
      </c>
      <c r="T42">
        <f t="shared" si="38"/>
        <v>35.401897666258748</v>
      </c>
      <c r="U42" s="39">
        <f t="shared" si="39"/>
        <v>2.372858333833455</v>
      </c>
    </row>
    <row r="43" spans="1:21" ht="16" x14ac:dyDescent="0.2">
      <c r="A43" s="30">
        <v>355</v>
      </c>
      <c r="B43" s="30">
        <f>IF(A43&lt;270, "ERROR", IF(A43&gt;370,"ERROR",(-3.014732*10^(-10)*A43^4+4.13618032*10^(-7)*A43^3-2.148422*10^(-4)*A43^2+0.0494708537*A43-3.2343963445)*1000))</f>
        <v>968.985902613245</v>
      </c>
      <c r="C43" s="30">
        <v>5.9550000000000001</v>
      </c>
      <c r="D43" s="30">
        <v>0.157</v>
      </c>
      <c r="E43" s="38">
        <f t="shared" si="30"/>
        <v>1072.8099240000001</v>
      </c>
      <c r="F43">
        <f t="shared" si="31"/>
        <v>37.509632788391585</v>
      </c>
      <c r="G43">
        <f t="shared" si="32"/>
        <v>2.5552925441520871</v>
      </c>
      <c r="H43" s="39">
        <f t="shared" si="33"/>
        <v>1.8835951115649952E-2</v>
      </c>
      <c r="I43" s="39"/>
      <c r="J43" s="39"/>
      <c r="K43" s="39">
        <v>2.55529254415208</v>
      </c>
      <c r="L43" s="39">
        <v>1.88359511156455E-2</v>
      </c>
      <c r="M43" s="39"/>
      <c r="O43" s="38">
        <f t="shared" si="34"/>
        <v>1101.0939136000002</v>
      </c>
      <c r="P43">
        <f t="shared" si="35"/>
        <v>38.49855173848016</v>
      </c>
      <c r="Q43" s="39">
        <f t="shared" si="36"/>
        <v>2.5736383017540643</v>
      </c>
      <c r="S43" s="38">
        <f t="shared" si="37"/>
        <v>1044.5259344000001</v>
      </c>
      <c r="T43">
        <f t="shared" si="38"/>
        <v>36.520713838303003</v>
      </c>
      <c r="U43" s="39">
        <f t="shared" si="39"/>
        <v>2.5364565930364371</v>
      </c>
    </row>
    <row r="44" spans="1:21" ht="16" x14ac:dyDescent="0.2">
      <c r="A44" s="30">
        <v>375</v>
      </c>
      <c r="B44" s="30">
        <f>IF(A44&lt;270, "ERROR", IF(A44&gt;375,"ERROR",(-3.014732*10^(-10)*A44^4+4.13618032*10^(-7)*A44^3-2.148422*10^(-4)*A44^2+0.0494708537*A44-3.2343963445)*1000))</f>
        <v>955.12753128124791</v>
      </c>
      <c r="C44" s="30">
        <v>5.7320000000000002</v>
      </c>
      <c r="D44" s="30">
        <v>0.13</v>
      </c>
      <c r="E44" s="38">
        <f t="shared" si="30"/>
        <v>1032.6358496000003</v>
      </c>
      <c r="F44">
        <f t="shared" si="31"/>
        <v>34.675314504864133</v>
      </c>
      <c r="G44">
        <f t="shared" si="32"/>
        <v>2.6407414843232151</v>
      </c>
      <c r="H44" s="39">
        <f t="shared" si="33"/>
        <v>1.7084131627562282E-2</v>
      </c>
      <c r="I44" s="39"/>
      <c r="J44" s="39"/>
      <c r="K44" s="39">
        <v>2.6407414843232102</v>
      </c>
      <c r="L44" s="39">
        <v>1.7084131627557401E-2</v>
      </c>
      <c r="M44" s="39"/>
      <c r="O44" s="38">
        <f t="shared" si="34"/>
        <v>1056.0557136000002</v>
      </c>
      <c r="P44">
        <f t="shared" si="35"/>
        <v>35.461739990843256</v>
      </c>
      <c r="Q44" s="39">
        <f t="shared" si="36"/>
        <v>2.6574424651109609</v>
      </c>
      <c r="S44" s="38">
        <f t="shared" si="37"/>
        <v>1009.2159856000002</v>
      </c>
      <c r="T44">
        <f t="shared" si="38"/>
        <v>33.88888901888501</v>
      </c>
      <c r="U44" s="39">
        <f t="shared" si="39"/>
        <v>2.6236573526956528</v>
      </c>
    </row>
    <row r="45" spans="1:21" ht="16" x14ac:dyDescent="0.2">
      <c r="A45" s="30">
        <v>395</v>
      </c>
      <c r="B45" s="30" t="str">
        <f>IF(A45&lt;270, "ERROR", IF(A45&gt;375,"ERROR",(-3.014732*10^(-10)*A45^4+4.13618032*10^(-7)*A45^3-2.148422*10^(-4)*A45^2+0.0494708537*A45-3.2343963445)*1000))</f>
        <v>ERROR</v>
      </c>
      <c r="C45" s="30">
        <v>5.41</v>
      </c>
      <c r="D45" s="30">
        <v>8.6999999999999994E-2</v>
      </c>
      <c r="E45" s="38">
        <f t="shared" si="30"/>
        <v>974.62664800000016</v>
      </c>
      <c r="F45" t="e">
        <f t="shared" si="31"/>
        <v>#VALUE!</v>
      </c>
      <c r="G45" t="e">
        <f t="shared" si="32"/>
        <v>#VALUE!</v>
      </c>
      <c r="H45" s="39" t="e">
        <f t="shared" si="33"/>
        <v>#VALUE!</v>
      </c>
      <c r="I45" s="39"/>
      <c r="J45" s="39"/>
      <c r="K45" s="39" t="e">
        <f>#VALUE!</f>
        <v>#VALUE!</v>
      </c>
      <c r="L45" s="39" t="e">
        <f>#VALUE!</f>
        <v>#VALUE!</v>
      </c>
      <c r="M45" s="39"/>
      <c r="O45" s="38">
        <f t="shared" si="34"/>
        <v>990.29994160000012</v>
      </c>
      <c r="P45" t="e">
        <f t="shared" si="35"/>
        <v>#VALUE!</v>
      </c>
      <c r="Q45" s="39" t="e">
        <f t="shared" si="36"/>
        <v>#VALUE!</v>
      </c>
      <c r="S45" s="38">
        <f t="shared" si="37"/>
        <v>958.95335440000019</v>
      </c>
      <c r="T45" t="e">
        <f t="shared" si="38"/>
        <v>#VALUE!</v>
      </c>
      <c r="U45" s="39" t="e">
        <f t="shared" si="39"/>
        <v>#VALUE!</v>
      </c>
    </row>
    <row r="46" spans="1:21" x14ac:dyDescent="0.2">
      <c r="E46"/>
      <c r="F46" s="34"/>
    </row>
    <row r="47" spans="1:21" x14ac:dyDescent="0.2">
      <c r="A47" s="35" t="s">
        <v>44</v>
      </c>
      <c r="B47" s="35"/>
      <c r="E47"/>
      <c r="F47" s="34"/>
      <c r="O47" t="s">
        <v>32</v>
      </c>
      <c r="S47" t="s">
        <v>32</v>
      </c>
    </row>
    <row r="48" spans="1:21" x14ac:dyDescent="0.2">
      <c r="A48" s="36" t="s">
        <v>33</v>
      </c>
      <c r="B48" s="36" t="s">
        <v>34</v>
      </c>
      <c r="C48" s="36" t="s">
        <v>35</v>
      </c>
      <c r="D48" s="36" t="s">
        <v>36</v>
      </c>
      <c r="E48" s="36" t="s">
        <v>37</v>
      </c>
      <c r="F48" s="37" t="s">
        <v>38</v>
      </c>
      <c r="G48" s="36" t="s">
        <v>39</v>
      </c>
      <c r="H48" s="36" t="s">
        <v>40</v>
      </c>
      <c r="I48" s="36"/>
      <c r="J48" s="36"/>
      <c r="K48" s="36" t="s">
        <v>39</v>
      </c>
      <c r="L48" s="36" t="s">
        <v>40</v>
      </c>
      <c r="M48" s="36"/>
      <c r="O48" s="36" t="s">
        <v>37</v>
      </c>
      <c r="P48" s="37" t="s">
        <v>38</v>
      </c>
      <c r="Q48" s="36" t="s">
        <v>39</v>
      </c>
      <c r="S48" s="36" t="s">
        <v>37</v>
      </c>
      <c r="T48" s="37" t="s">
        <v>38</v>
      </c>
      <c r="U48" s="36" t="s">
        <v>39</v>
      </c>
    </row>
    <row r="49" spans="1:21" ht="16" x14ac:dyDescent="0.2">
      <c r="A49" s="30">
        <v>275</v>
      </c>
      <c r="B49" s="30">
        <f>IF(A49&lt;270, "ERROR", IF(A49&gt;370,"ERROR",(-3.014732*10^(-10)*A49^4+4.13618032*10^(-7)*A49^3-2.148422*10^(-4)*A49^2+0.0494708537*A49-3.2343963445)*1000))</f>
        <v>1000.4419317812485</v>
      </c>
      <c r="C49" s="30">
        <v>1.135</v>
      </c>
      <c r="D49" s="30">
        <v>0.14199999999999999</v>
      </c>
      <c r="E49" s="38">
        <f t="shared" ref="E49:E55" si="40">C49*$B$5*10000</f>
        <v>204.47342800000001</v>
      </c>
      <c r="F49">
        <f t="shared" ref="F49:F55" si="41">E49/(B49*$B$3*A49)</f>
        <v>8.9387777652243869</v>
      </c>
      <c r="G49">
        <f t="shared" ref="G49:G55" si="42">1.9858775*10^(-3)*A49*LN(F49)</f>
        <v>1.1962125508066346</v>
      </c>
      <c r="H49" s="39">
        <f t="shared" ref="H49:H55" si="43">MAX(ABS(G49-Q49),ABS(G49-U49))</f>
        <v>7.2992413175936965E-2</v>
      </c>
      <c r="I49" s="39"/>
      <c r="J49" s="39"/>
      <c r="K49" s="39">
        <v>1.1962125508066299</v>
      </c>
      <c r="L49" s="39">
        <v>7.2992413175932996E-2</v>
      </c>
      <c r="M49" s="39"/>
      <c r="O49" s="38">
        <f t="shared" ref="O49:O55" si="44">(C49+D49)*$B$5*10000</f>
        <v>230.0551256</v>
      </c>
      <c r="P49">
        <f t="shared" ref="P49:P55" si="45">O49/(B49*$B$3*A49)</f>
        <v>10.057109432767879</v>
      </c>
      <c r="Q49" s="39">
        <f t="shared" ref="Q49:Q55" si="46">1.9858775*10^(-3)*A49*LN(P49)</f>
        <v>1.2605892474917555</v>
      </c>
      <c r="S49" s="38">
        <f t="shared" ref="S49:S55" si="47">(C49-D49)*$B$5*10000</f>
        <v>178.8917304</v>
      </c>
      <c r="T49">
        <f t="shared" ref="T49:T55" si="48">S49/(B49*$B$3*A49)</f>
        <v>7.8204460976808958</v>
      </c>
      <c r="U49" s="39">
        <f t="shared" ref="U49:U55" si="49">1.9858775*10^(-3)*A49*LN(T49)</f>
        <v>1.1232201376306976</v>
      </c>
    </row>
    <row r="50" spans="1:21" ht="16" x14ac:dyDescent="0.2">
      <c r="A50" s="30">
        <v>295</v>
      </c>
      <c r="B50" s="30">
        <f>IF(A50&lt;270, "ERROR", IF(A50&gt;370,"ERROR",(-3.014732*10^(-10)*A50^4+4.13618032*10^(-7)*A50^3-2.148422*10^(-4)*A50^2+0.0494708537*A50-3.2343963445)*1000))</f>
        <v>998.25801862524747</v>
      </c>
      <c r="C50" s="30">
        <v>1.839</v>
      </c>
      <c r="D50" s="30">
        <v>0.13700000000000001</v>
      </c>
      <c r="E50" s="38">
        <f t="shared" si="40"/>
        <v>331.30099920000004</v>
      </c>
      <c r="F50">
        <f t="shared" si="41"/>
        <v>13.530809022386252</v>
      </c>
      <c r="G50">
        <f t="shared" si="42"/>
        <v>1.5260791886935365</v>
      </c>
      <c r="H50" s="39">
        <f t="shared" si="43"/>
        <v>4.5354036447075474E-2</v>
      </c>
      <c r="I50" s="39"/>
      <c r="J50" s="39"/>
      <c r="K50" s="39">
        <v>1.5260791886935401</v>
      </c>
      <c r="L50" s="39">
        <v>4.53540364470797E-2</v>
      </c>
      <c r="M50" s="39"/>
      <c r="O50" s="38">
        <f t="shared" si="44"/>
        <v>355.98193280000004</v>
      </c>
      <c r="P50">
        <f t="shared" si="45"/>
        <v>14.538813827207848</v>
      </c>
      <c r="Q50" s="39">
        <f t="shared" si="46"/>
        <v>1.5681729063435281</v>
      </c>
      <c r="S50" s="38">
        <f t="shared" si="47"/>
        <v>306.62006560000003</v>
      </c>
      <c r="T50">
        <f t="shared" si="48"/>
        <v>12.522804217564655</v>
      </c>
      <c r="U50" s="39">
        <f t="shared" si="49"/>
        <v>1.4807251522464611</v>
      </c>
    </row>
    <row r="51" spans="1:21" ht="16" x14ac:dyDescent="0.2">
      <c r="A51" s="30">
        <v>315</v>
      </c>
      <c r="B51" s="30">
        <f>IF(A51&lt;270, "ERROR", IF(A51&gt;370,"ERROR",(-3.014732*10^(-10)*A51^4+4.13618032*10^(-7)*A51^3-2.148422*10^(-4)*A51^2+0.0494708537*A51-3.2343963445)*1000))</f>
        <v>991.01405559724981</v>
      </c>
      <c r="C51" s="30">
        <v>2.61</v>
      </c>
      <c r="D51" s="30">
        <v>0.13100000000000001</v>
      </c>
      <c r="E51" s="38">
        <f t="shared" si="40"/>
        <v>470.19880800000004</v>
      </c>
      <c r="F51">
        <f t="shared" si="41"/>
        <v>18.115778329494283</v>
      </c>
      <c r="G51">
        <f t="shared" si="42"/>
        <v>1.8120868784195576</v>
      </c>
      <c r="H51" s="39">
        <f t="shared" si="43"/>
        <v>3.2212750145165447E-2</v>
      </c>
      <c r="I51" s="39"/>
      <c r="J51" s="39"/>
      <c r="K51" s="39">
        <v>1.8120868784195601</v>
      </c>
      <c r="L51" s="39">
        <v>3.2212750145168799E-2</v>
      </c>
      <c r="M51" s="39"/>
      <c r="O51" s="38">
        <f t="shared" si="44"/>
        <v>493.79882479999998</v>
      </c>
      <c r="P51">
        <f t="shared" si="45"/>
        <v>19.025037701587674</v>
      </c>
      <c r="Q51" s="39">
        <f t="shared" si="46"/>
        <v>1.8427217550124206</v>
      </c>
      <c r="S51" s="38">
        <f t="shared" si="47"/>
        <v>446.59879120000005</v>
      </c>
      <c r="T51">
        <f t="shared" si="48"/>
        <v>17.206518957400895</v>
      </c>
      <c r="U51" s="39">
        <f t="shared" si="49"/>
        <v>1.7798741282743922</v>
      </c>
    </row>
    <row r="52" spans="1:21" ht="16" x14ac:dyDescent="0.2">
      <c r="A52" s="30">
        <v>335</v>
      </c>
      <c r="B52" s="30">
        <f>IF(A52&lt;270, "ERROR", IF(A52&gt;370,"ERROR",(-3.014732*10^(-10)*A52^4+4.13618032*10^(-7)*A52^3-2.148422*10^(-4)*A52^2+0.0494708537*A52-3.2343963445)*1000))</f>
        <v>980.90943764125041</v>
      </c>
      <c r="C52" s="30">
        <v>3.597</v>
      </c>
      <c r="D52" s="30">
        <v>0.16400000000000001</v>
      </c>
      <c r="E52" s="38">
        <f t="shared" si="40"/>
        <v>648.00962160000006</v>
      </c>
      <c r="F52">
        <f t="shared" si="41"/>
        <v>23.717754871583665</v>
      </c>
      <c r="G52">
        <f t="shared" si="42"/>
        <v>2.1063905012150332</v>
      </c>
      <c r="H52" s="39">
        <f t="shared" si="43"/>
        <v>3.1045208718177175E-2</v>
      </c>
      <c r="I52" s="39"/>
      <c r="J52" s="39"/>
      <c r="K52" s="39">
        <v>2.1063905012150301</v>
      </c>
      <c r="L52" s="39">
        <v>3.10452087181745E-2</v>
      </c>
      <c r="M52" s="39"/>
      <c r="O52" s="38">
        <f t="shared" si="44"/>
        <v>677.55468080000003</v>
      </c>
      <c r="P52">
        <f t="shared" si="45"/>
        <v>24.799131518494899</v>
      </c>
      <c r="Q52" s="39">
        <f t="shared" si="46"/>
        <v>2.1360513281565643</v>
      </c>
      <c r="S52" s="38">
        <f t="shared" si="47"/>
        <v>618.46456239999998</v>
      </c>
      <c r="T52">
        <f t="shared" si="48"/>
        <v>22.636378224672423</v>
      </c>
      <c r="U52" s="39">
        <f t="shared" si="49"/>
        <v>2.0753452924968561</v>
      </c>
    </row>
    <row r="53" spans="1:21" ht="16" x14ac:dyDescent="0.2">
      <c r="A53" s="30">
        <v>355</v>
      </c>
      <c r="B53" s="30">
        <f>IF(A53&lt;270, "ERROR", IF(A53&gt;370,"ERROR",(-3.014732*10^(-10)*A53^4+4.13618032*10^(-7)*A53^3-2.148422*10^(-4)*A53^2+0.0494708537*A53-3.2343963445)*1000))</f>
        <v>968.985902613245</v>
      </c>
      <c r="C53" s="30">
        <v>4.0519999999999996</v>
      </c>
      <c r="D53" s="30">
        <v>0.121</v>
      </c>
      <c r="E53" s="38">
        <f t="shared" si="40"/>
        <v>729.97914560000004</v>
      </c>
      <c r="F53">
        <f t="shared" si="41"/>
        <v>25.522927297827486</v>
      </c>
      <c r="G53">
        <f t="shared" si="42"/>
        <v>2.2838582025409684</v>
      </c>
      <c r="H53" s="39">
        <f t="shared" si="43"/>
        <v>2.1372892765403328E-2</v>
      </c>
      <c r="I53" s="39"/>
      <c r="J53" s="39"/>
      <c r="K53" s="39">
        <v>2.2838582025409702</v>
      </c>
      <c r="L53" s="39">
        <v>2.13728927654082E-2</v>
      </c>
      <c r="M53" s="39"/>
      <c r="O53" s="38">
        <f t="shared" si="44"/>
        <v>751.77763440000001</v>
      </c>
      <c r="P53">
        <f t="shared" si="45"/>
        <v>26.285087762545434</v>
      </c>
      <c r="Q53" s="39">
        <f t="shared" si="46"/>
        <v>2.3046021594086703</v>
      </c>
      <c r="S53" s="38">
        <f t="shared" si="47"/>
        <v>708.18065679999995</v>
      </c>
      <c r="T53">
        <f t="shared" si="48"/>
        <v>24.760766833109535</v>
      </c>
      <c r="U53" s="39">
        <f t="shared" si="49"/>
        <v>2.2624853097755651</v>
      </c>
    </row>
    <row r="54" spans="1:21" ht="16" x14ac:dyDescent="0.2">
      <c r="A54" s="30">
        <v>375</v>
      </c>
      <c r="B54" s="30">
        <f>IF(A54&lt;270, "ERROR", IF(A54&gt;375,"ERROR",(-3.014732*10^(-10)*A54^4+4.13618032*10^(-7)*A54^3-2.148422*10^(-4)*A54^2+0.0494708537*A54-3.2343963445)*1000))</f>
        <v>955.12753128124791</v>
      </c>
      <c r="C54" s="30">
        <v>4.1050000000000004</v>
      </c>
      <c r="D54" s="30">
        <v>0.106</v>
      </c>
      <c r="E54" s="38">
        <f t="shared" si="40"/>
        <v>739.52724400000022</v>
      </c>
      <c r="F54">
        <f t="shared" si="41"/>
        <v>24.832897076494643</v>
      </c>
      <c r="G54">
        <f t="shared" si="42"/>
        <v>2.3921155041912501</v>
      </c>
      <c r="H54" s="39">
        <f t="shared" si="43"/>
        <v>1.9482510571413147E-2</v>
      </c>
      <c r="I54" s="39"/>
      <c r="J54" s="39"/>
      <c r="K54" s="39">
        <v>2.3921155041912501</v>
      </c>
      <c r="L54" s="39">
        <v>1.9482510571413099E-2</v>
      </c>
      <c r="M54" s="39"/>
      <c r="O54" s="38">
        <f t="shared" si="44"/>
        <v>758.62344080000014</v>
      </c>
      <c r="P54">
        <f t="shared" si="45"/>
        <v>25.474136318908386</v>
      </c>
      <c r="Q54" s="39">
        <f t="shared" si="46"/>
        <v>2.411101292115565</v>
      </c>
      <c r="S54" s="38">
        <f t="shared" si="47"/>
        <v>720.43104720000019</v>
      </c>
      <c r="T54">
        <f t="shared" si="48"/>
        <v>24.191657834080893</v>
      </c>
      <c r="U54" s="39">
        <f t="shared" si="49"/>
        <v>2.3726329936198369</v>
      </c>
    </row>
    <row r="55" spans="1:21" ht="16" x14ac:dyDescent="0.2">
      <c r="A55" s="30">
        <v>395</v>
      </c>
      <c r="B55" s="30" t="str">
        <f>IF(A55&lt;270, "ERROR", IF(A55&gt;375,"ERROR",(-3.014732*10^(-10)*A55^4+4.13618032*10^(-7)*A55^3-2.148422*10^(-4)*A55^2+0.0494708537*A55-3.2343963445)*1000))</f>
        <v>ERROR</v>
      </c>
      <c r="C55" s="30">
        <v>3.9689999999999999</v>
      </c>
      <c r="D55" s="30">
        <v>7.0000000000000007E-2</v>
      </c>
      <c r="E55" s="38">
        <f t="shared" si="40"/>
        <v>715.02646319999997</v>
      </c>
      <c r="F55" t="e">
        <f t="shared" si="41"/>
        <v>#VALUE!</v>
      </c>
      <c r="G55" t="e">
        <f t="shared" si="42"/>
        <v>#VALUE!</v>
      </c>
      <c r="H55" s="39" t="e">
        <f t="shared" si="43"/>
        <v>#VALUE!</v>
      </c>
      <c r="I55" s="39"/>
      <c r="J55" s="39"/>
      <c r="K55" s="39" t="e">
        <f>#VALUE!</f>
        <v>#VALUE!</v>
      </c>
      <c r="L55" s="39" t="e">
        <f>#VALUE!</f>
        <v>#VALUE!</v>
      </c>
      <c r="M55" s="39"/>
      <c r="O55" s="38">
        <f t="shared" si="44"/>
        <v>727.63715920000004</v>
      </c>
      <c r="P55" t="e">
        <f t="shared" si="45"/>
        <v>#VALUE!</v>
      </c>
      <c r="Q55" s="39" t="e">
        <f t="shared" si="46"/>
        <v>#VALUE!</v>
      </c>
      <c r="S55" s="38">
        <f t="shared" si="47"/>
        <v>702.4157672</v>
      </c>
      <c r="T55" t="e">
        <f t="shared" si="48"/>
        <v>#VALUE!</v>
      </c>
      <c r="U55" s="39" t="e">
        <f t="shared" si="49"/>
        <v>#VALUE!</v>
      </c>
    </row>
    <row r="56" spans="1:21" x14ac:dyDescent="0.2">
      <c r="E56"/>
      <c r="F56" s="34"/>
    </row>
    <row r="57" spans="1:21" x14ac:dyDescent="0.2">
      <c r="A57" s="35" t="s">
        <v>45</v>
      </c>
      <c r="B57" s="35"/>
      <c r="E57"/>
      <c r="F57" s="34"/>
      <c r="O57" t="s">
        <v>32</v>
      </c>
      <c r="S57" t="s">
        <v>32</v>
      </c>
    </row>
    <row r="58" spans="1:21" x14ac:dyDescent="0.2">
      <c r="A58" s="36" t="s">
        <v>33</v>
      </c>
      <c r="B58" s="36" t="s">
        <v>34</v>
      </c>
      <c r="C58" s="36" t="s">
        <v>35</v>
      </c>
      <c r="D58" s="40" t="s">
        <v>36</v>
      </c>
      <c r="E58" s="36" t="s">
        <v>37</v>
      </c>
      <c r="F58" s="37" t="s">
        <v>38</v>
      </c>
      <c r="G58" s="36" t="s">
        <v>39</v>
      </c>
      <c r="H58" s="36" t="s">
        <v>40</v>
      </c>
      <c r="I58" s="36"/>
      <c r="J58" s="36"/>
      <c r="K58" s="36" t="s">
        <v>39</v>
      </c>
      <c r="L58" s="36" t="s">
        <v>40</v>
      </c>
      <c r="M58" s="36"/>
      <c r="O58" s="36" t="s">
        <v>37</v>
      </c>
      <c r="P58" s="37" t="s">
        <v>38</v>
      </c>
      <c r="Q58" s="36" t="s">
        <v>39</v>
      </c>
      <c r="S58" s="36" t="s">
        <v>37</v>
      </c>
      <c r="T58" s="37" t="s">
        <v>38</v>
      </c>
      <c r="U58" s="36" t="s">
        <v>39</v>
      </c>
    </row>
    <row r="59" spans="1:21" ht="16" x14ac:dyDescent="0.2">
      <c r="A59" s="30">
        <v>275</v>
      </c>
      <c r="B59" s="30">
        <f>IF(A59&lt;270, "ERROR", IF(A59&gt;370,"ERROR",(-3.014732*10^(-10)*A59^4+4.13618032*10^(-7)*A59^3-2.148422*10^(-4)*A59^2+0.0494708537*A59-3.2343963445)*1000))</f>
        <v>1000.4419317812485</v>
      </c>
      <c r="C59" s="30">
        <v>0.379</v>
      </c>
      <c r="D59" s="30">
        <v>5.7000000000000002E-2</v>
      </c>
      <c r="E59" s="38">
        <f t="shared" ref="E59:E65" si="50">C59*$B$5*10000</f>
        <v>68.277911200000005</v>
      </c>
      <c r="F59">
        <f t="shared" ref="F59:F65" si="51">E59/(B59*$B$3*A59)</f>
        <v>2.9848429718238263</v>
      </c>
      <c r="G59">
        <f t="shared" ref="G59:G65" si="52">1.9858775*10^(-3)*A59*LN(F59)</f>
        <v>0.59720393148153006</v>
      </c>
      <c r="H59" s="39">
        <f t="shared" ref="H59:H65" si="53">MAX(ABS(G59-Q59),ABS(G59-U59))</f>
        <v>8.9008581260970221E-2</v>
      </c>
      <c r="I59" s="39"/>
      <c r="J59" s="39"/>
      <c r="K59" s="39">
        <v>0.59720393148152895</v>
      </c>
      <c r="L59" s="39">
        <v>8.9008581260970096E-2</v>
      </c>
      <c r="M59" s="39"/>
      <c r="O59" s="38">
        <f t="shared" ref="O59:O65" si="54">(C59+D59)*$B$5*10000</f>
        <v>78.546620800000014</v>
      </c>
      <c r="P59">
        <f t="shared" ref="P59:P65" si="55">O59/(B59*$B$3*A59)</f>
        <v>3.4337507538659326</v>
      </c>
      <c r="Q59" s="39">
        <f t="shared" ref="Q59:Q65" si="56">1.9858775*10^(-3)*A59*LN(P59)</f>
        <v>0.67371812445867407</v>
      </c>
      <c r="S59" s="38">
        <f t="shared" ref="S59:S65" si="57">(C59-D59)*$B$5*10000</f>
        <v>58.009201600000004</v>
      </c>
      <c r="T59">
        <f t="shared" ref="T59:T65" si="58">S59/(B59*$B$3*A59)</f>
        <v>2.5359351897817208</v>
      </c>
      <c r="U59" s="39">
        <f t="shared" ref="U59:U65" si="59">1.9858775*10^(-3)*A59*LN(T59)</f>
        <v>0.50819535022055984</v>
      </c>
    </row>
    <row r="60" spans="1:21" ht="16" x14ac:dyDescent="0.2">
      <c r="A60" s="30">
        <v>295</v>
      </c>
      <c r="B60" s="30">
        <f>IF(A60&lt;270, "ERROR", IF(A60&gt;370,"ERROR",(-3.014732*10^(-10)*A60^4+4.13618032*10^(-7)*A60^3-2.148422*10^(-4)*A60^2+0.0494708537*A60-3.2343963445)*1000))</f>
        <v>998.25801862524747</v>
      </c>
      <c r="C60" s="30">
        <v>0.68700000000000006</v>
      </c>
      <c r="D60" s="30">
        <v>0.06</v>
      </c>
      <c r="E60" s="38">
        <f t="shared" si="50"/>
        <v>123.76497360000002</v>
      </c>
      <c r="F60">
        <f t="shared" si="51"/>
        <v>5.0547394227185185</v>
      </c>
      <c r="G60">
        <f t="shared" si="52"/>
        <v>0.94924201643287975</v>
      </c>
      <c r="H60" s="39">
        <f t="shared" si="53"/>
        <v>5.353803949882574E-2</v>
      </c>
      <c r="I60" s="39"/>
      <c r="J60" s="39"/>
      <c r="K60" s="39">
        <v>0.94924201643287898</v>
      </c>
      <c r="L60" s="39">
        <v>5.35380394988259E-2</v>
      </c>
      <c r="M60" s="39"/>
      <c r="O60" s="38">
        <f t="shared" si="54"/>
        <v>134.57414160000005</v>
      </c>
      <c r="P60">
        <f t="shared" si="55"/>
        <v>5.4962013810345471</v>
      </c>
      <c r="Q60" s="39">
        <f t="shared" si="56"/>
        <v>0.99829440883719311</v>
      </c>
      <c r="S60" s="38">
        <f t="shared" si="57"/>
        <v>112.95580560000001</v>
      </c>
      <c r="T60">
        <f t="shared" si="58"/>
        <v>4.6132774644024899</v>
      </c>
      <c r="U60" s="39">
        <f t="shared" si="59"/>
        <v>0.89570397693405401</v>
      </c>
    </row>
    <row r="61" spans="1:21" ht="16" x14ac:dyDescent="0.2">
      <c r="A61" s="30">
        <v>315</v>
      </c>
      <c r="B61" s="30">
        <f>IF(A61&lt;270, "ERROR", IF(A61&gt;370,"ERROR",(-3.014732*10^(-10)*A61^4+4.13618032*10^(-7)*A61^3-2.148422*10^(-4)*A61^2+0.0494708537*A61-3.2343963445)*1000))</f>
        <v>991.01405559724981</v>
      </c>
      <c r="C61" s="30">
        <v>1.1379999999999999</v>
      </c>
      <c r="D61" s="30">
        <v>6.7000000000000004E-2</v>
      </c>
      <c r="E61" s="38">
        <f t="shared" si="50"/>
        <v>205.01388639999999</v>
      </c>
      <c r="F61">
        <f t="shared" si="51"/>
        <v>7.8987569881090014</v>
      </c>
      <c r="G61">
        <f t="shared" si="52"/>
        <v>1.292830484578408</v>
      </c>
      <c r="H61" s="39">
        <f t="shared" si="53"/>
        <v>3.7958174608267115E-2</v>
      </c>
      <c r="I61" s="39"/>
      <c r="J61" s="39"/>
      <c r="K61" s="39">
        <v>1.29283048457841</v>
      </c>
      <c r="L61" s="39">
        <v>3.79581746082698E-2</v>
      </c>
      <c r="M61" s="39"/>
      <c r="O61" s="38">
        <f t="shared" si="54"/>
        <v>217.08412399999997</v>
      </c>
      <c r="P61">
        <f t="shared" si="55"/>
        <v>8.3637980410117283</v>
      </c>
      <c r="Q61" s="39">
        <f t="shared" si="56"/>
        <v>1.3286165488848527</v>
      </c>
      <c r="S61" s="38">
        <f t="shared" si="57"/>
        <v>192.94364880000001</v>
      </c>
      <c r="T61">
        <f t="shared" si="58"/>
        <v>7.4337159352062754</v>
      </c>
      <c r="U61" s="39">
        <f t="shared" si="59"/>
        <v>1.2548723099701409</v>
      </c>
    </row>
    <row r="62" spans="1:21" ht="16" x14ac:dyDescent="0.2">
      <c r="A62" s="30">
        <v>335</v>
      </c>
      <c r="B62" s="30">
        <f>IF(A62&lt;270, "ERROR", IF(A62&gt;370,"ERROR",(-3.014732*10^(-10)*A62^4+4.13618032*10^(-7)*A62^3-2.148422*10^(-4)*A62^2+0.0494708537*A62-3.2343963445)*1000))</f>
        <v>980.90943764125041</v>
      </c>
      <c r="C62" s="30">
        <v>1.667</v>
      </c>
      <c r="D62" s="30">
        <v>8.8999999999999996E-2</v>
      </c>
      <c r="E62" s="38">
        <f t="shared" si="50"/>
        <v>300.31471760000005</v>
      </c>
      <c r="F62">
        <f t="shared" si="51"/>
        <v>10.9917979902502</v>
      </c>
      <c r="G62">
        <f t="shared" si="52"/>
        <v>1.5947490659701231</v>
      </c>
      <c r="H62" s="39">
        <f t="shared" si="53"/>
        <v>3.6501565862463226E-2</v>
      </c>
      <c r="I62" s="39"/>
      <c r="J62" s="39"/>
      <c r="K62" s="39">
        <v>1.59474906597012</v>
      </c>
      <c r="L62" s="39">
        <v>3.6501565862460297E-2</v>
      </c>
      <c r="M62" s="39"/>
      <c r="O62" s="38">
        <f t="shared" si="54"/>
        <v>316.34831680000002</v>
      </c>
      <c r="P62">
        <f t="shared" si="55"/>
        <v>11.57864263400081</v>
      </c>
      <c r="Q62" s="39">
        <f t="shared" si="56"/>
        <v>1.6293516282978762</v>
      </c>
      <c r="S62" s="38">
        <f t="shared" si="57"/>
        <v>284.28111840000003</v>
      </c>
      <c r="T62">
        <f t="shared" si="58"/>
        <v>10.404953346499589</v>
      </c>
      <c r="U62" s="39">
        <f t="shared" si="59"/>
        <v>1.5582475001076599</v>
      </c>
    </row>
    <row r="63" spans="1:21" ht="16" x14ac:dyDescent="0.2">
      <c r="A63" s="30">
        <v>355</v>
      </c>
      <c r="B63" s="30">
        <f>IF(A63&lt;270, "ERROR", IF(A63&gt;370,"ERROR",(-3.014732*10^(-10)*A63^4+4.13618032*10^(-7)*A63^3-2.148422*10^(-4)*A63^2+0.0494708537*A63-3.2343963445)*1000))</f>
        <v>968.985902613245</v>
      </c>
      <c r="C63" s="30">
        <v>2.0099999999999998</v>
      </c>
      <c r="D63" s="30">
        <v>6.9000000000000006E-2</v>
      </c>
      <c r="E63" s="38">
        <f t="shared" si="50"/>
        <v>362.10712799999993</v>
      </c>
      <c r="F63">
        <f t="shared" si="51"/>
        <v>12.660682099860127</v>
      </c>
      <c r="G63">
        <f t="shared" si="52"/>
        <v>1.7896091739592939</v>
      </c>
      <c r="H63" s="39">
        <f t="shared" si="53"/>
        <v>2.4626178470799731E-2</v>
      </c>
      <c r="I63" s="39"/>
      <c r="J63" s="39"/>
      <c r="K63" s="39">
        <v>1.7896091739592901</v>
      </c>
      <c r="L63" s="39">
        <v>2.46261784707986E-2</v>
      </c>
      <c r="M63" s="39"/>
      <c r="O63" s="38">
        <f t="shared" si="54"/>
        <v>374.53767120000003</v>
      </c>
      <c r="P63">
        <f t="shared" si="55"/>
        <v>13.095302530153837</v>
      </c>
      <c r="Q63" s="39">
        <f t="shared" si="56"/>
        <v>1.8134040809227745</v>
      </c>
      <c r="S63" s="38">
        <f t="shared" si="57"/>
        <v>349.67658479999994</v>
      </c>
      <c r="T63">
        <f t="shared" si="58"/>
        <v>12.226061669566421</v>
      </c>
      <c r="U63" s="39">
        <f t="shared" si="59"/>
        <v>1.7649829954884941</v>
      </c>
    </row>
    <row r="64" spans="1:21" ht="16" x14ac:dyDescent="0.2">
      <c r="A64" s="30">
        <v>375</v>
      </c>
      <c r="B64" s="30">
        <f>IF(A64&lt;270, "ERROR", IF(A64&gt;375,"ERROR",(-3.014732*10^(-10)*A64^4+4.13618032*10^(-7)*A64^3-2.148422*10^(-4)*A64^2+0.0494708537*A64-3.2343963445)*1000))</f>
        <v>955.12753128124791</v>
      </c>
      <c r="C64" s="30">
        <v>2.19</v>
      </c>
      <c r="D64" s="30">
        <v>6.6000000000000003E-2</v>
      </c>
      <c r="E64" s="38">
        <f t="shared" si="50"/>
        <v>394.53463200000004</v>
      </c>
      <c r="F64">
        <f t="shared" si="51"/>
        <v>13.248244725340623</v>
      </c>
      <c r="G64">
        <f t="shared" si="52"/>
        <v>1.9242148146535571</v>
      </c>
      <c r="H64" s="39">
        <f t="shared" si="53"/>
        <v>2.2788272316449198E-2</v>
      </c>
      <c r="I64" s="39"/>
      <c r="J64" s="39"/>
      <c r="K64" s="39">
        <v>1.92421481465356</v>
      </c>
      <c r="L64" s="39">
        <v>2.2788272316452099E-2</v>
      </c>
      <c r="M64" s="39"/>
      <c r="O64" s="38">
        <f t="shared" si="54"/>
        <v>406.4247168</v>
      </c>
      <c r="P64">
        <f t="shared" si="55"/>
        <v>13.647506895145407</v>
      </c>
      <c r="Q64" s="39">
        <f t="shared" si="56"/>
        <v>1.9463264111460259</v>
      </c>
      <c r="S64" s="38">
        <f t="shared" si="57"/>
        <v>382.64454720000009</v>
      </c>
      <c r="T64">
        <f t="shared" si="58"/>
        <v>12.848982555535837</v>
      </c>
      <c r="U64" s="39">
        <f t="shared" si="59"/>
        <v>1.9014265423371079</v>
      </c>
    </row>
    <row r="65" spans="1:21" ht="16" x14ac:dyDescent="0.2">
      <c r="A65" s="30">
        <v>395</v>
      </c>
      <c r="B65" s="30" t="str">
        <f>IF(A65&lt;270, "ERROR", IF(A65&gt;375,"ERROR",(-3.014732*10^(-10)*A65^4+4.13618032*10^(-7)*A65^3-2.148422*10^(-4)*A65^2+0.0494708537*A65-3.2343963445)*1000))</f>
        <v>ERROR</v>
      </c>
      <c r="C65" s="30">
        <v>2.1949999999999998</v>
      </c>
      <c r="D65" s="30">
        <v>4.3999999999999997E-2</v>
      </c>
      <c r="E65" s="38">
        <f t="shared" si="50"/>
        <v>395.43539600000003</v>
      </c>
      <c r="F65" t="e">
        <f t="shared" si="51"/>
        <v>#VALUE!</v>
      </c>
      <c r="G65" t="e">
        <f t="shared" si="52"/>
        <v>#VALUE!</v>
      </c>
      <c r="H65" s="39" t="e">
        <f t="shared" si="53"/>
        <v>#VALUE!</v>
      </c>
      <c r="I65" s="39"/>
      <c r="J65" s="39"/>
      <c r="K65" s="39" t="e">
        <f>#VALUE!</f>
        <v>#VALUE!</v>
      </c>
      <c r="L65" s="39" t="e">
        <f>#VALUE!</f>
        <v>#VALUE!</v>
      </c>
      <c r="M65" s="39"/>
      <c r="O65" s="38">
        <f t="shared" si="54"/>
        <v>403.36211920000005</v>
      </c>
      <c r="P65" t="e">
        <f t="shared" si="55"/>
        <v>#VALUE!</v>
      </c>
      <c r="Q65" s="39" t="e">
        <f t="shared" si="56"/>
        <v>#VALUE!</v>
      </c>
      <c r="S65" s="38">
        <f t="shared" si="57"/>
        <v>387.50867279999994</v>
      </c>
      <c r="T65" t="e">
        <f t="shared" si="58"/>
        <v>#VALUE!</v>
      </c>
      <c r="U65" s="39" t="e">
        <f t="shared" si="59"/>
        <v>#VALUE!</v>
      </c>
    </row>
    <row r="66" spans="1:21" x14ac:dyDescent="0.2">
      <c r="E66"/>
      <c r="F66" s="34"/>
    </row>
    <row r="67" spans="1:21" x14ac:dyDescent="0.2">
      <c r="E67"/>
      <c r="F67" s="34"/>
    </row>
    <row r="68" spans="1:21" x14ac:dyDescent="0.2">
      <c r="E68"/>
      <c r="F68" s="34"/>
    </row>
    <row r="69" spans="1:21" x14ac:dyDescent="0.2">
      <c r="E69"/>
      <c r="F69" s="34"/>
    </row>
    <row r="70" spans="1:21" x14ac:dyDescent="0.2">
      <c r="E70"/>
      <c r="F70" s="34"/>
    </row>
    <row r="71" spans="1:21" x14ac:dyDescent="0.2">
      <c r="E71"/>
      <c r="F71" s="34"/>
    </row>
    <row r="72" spans="1:21" x14ac:dyDescent="0.2">
      <c r="E72"/>
      <c r="F72" s="34"/>
    </row>
    <row r="73" spans="1:21" x14ac:dyDescent="0.2">
      <c r="E73"/>
      <c r="F73" s="34"/>
    </row>
    <row r="74" spans="1:21" x14ac:dyDescent="0.2">
      <c r="E74"/>
      <c r="F74" s="34"/>
    </row>
    <row r="75" spans="1:21" x14ac:dyDescent="0.2">
      <c r="E75"/>
      <c r="F75" s="34"/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7"/>
  <sheetViews>
    <sheetView tabSelected="1" topLeftCell="A45" zoomScaleNormal="100" workbookViewId="0">
      <selection activeCell="G63" sqref="G63"/>
    </sheetView>
  </sheetViews>
  <sheetFormatPr baseColWidth="10" defaultColWidth="10.6640625" defaultRowHeight="15" x14ac:dyDescent="0.2"/>
  <cols>
    <col min="1" max="1" width="28" customWidth="1"/>
    <col min="2" max="2" width="17.83203125" customWidth="1"/>
  </cols>
  <sheetData>
    <row r="1" spans="1:6" x14ac:dyDescent="0.2">
      <c r="A1" t="s">
        <v>26</v>
      </c>
      <c r="B1">
        <v>996.57</v>
      </c>
    </row>
    <row r="2" spans="1:6" x14ac:dyDescent="0.2">
      <c r="A2" t="s">
        <v>27</v>
      </c>
      <c r="B2">
        <v>1</v>
      </c>
    </row>
    <row r="3" spans="1:6" x14ac:dyDescent="0.2">
      <c r="A3" t="s">
        <v>28</v>
      </c>
      <c r="B3">
        <f>8.3144621*10^(-5)</f>
        <v>8.3144621000000001E-5</v>
      </c>
    </row>
    <row r="4" spans="1:6" x14ac:dyDescent="0.2">
      <c r="A4" t="s">
        <v>29</v>
      </c>
      <c r="B4">
        <f>1.9858775*10^(-3)</f>
        <v>1.9858775000000002E-3</v>
      </c>
    </row>
    <row r="5" spans="1:6" x14ac:dyDescent="0.2">
      <c r="A5" t="s">
        <v>46</v>
      </c>
    </row>
    <row r="7" spans="1:6" x14ac:dyDescent="0.2">
      <c r="A7" s="35" t="s">
        <v>31</v>
      </c>
    </row>
    <row r="8" spans="1:6" x14ac:dyDescent="0.2">
      <c r="A8" t="s">
        <v>47</v>
      </c>
      <c r="C8" s="41">
        <v>3.8000000000000002E-4</v>
      </c>
    </row>
    <row r="9" spans="1:6" x14ac:dyDescent="0.2">
      <c r="A9" t="s">
        <v>48</v>
      </c>
      <c r="C9" s="41">
        <v>92</v>
      </c>
    </row>
    <row r="10" spans="1:6" x14ac:dyDescent="0.2">
      <c r="A10" s="42" t="s">
        <v>49</v>
      </c>
      <c r="B10" s="42"/>
      <c r="C10" s="42" t="s">
        <v>50</v>
      </c>
      <c r="D10" s="42" t="s">
        <v>51</v>
      </c>
      <c r="E10" s="42" t="s">
        <v>52</v>
      </c>
      <c r="F10" s="42" t="s">
        <v>39</v>
      </c>
    </row>
    <row r="11" spans="1:6" x14ac:dyDescent="0.2">
      <c r="A11">
        <v>275</v>
      </c>
      <c r="C11">
        <f>$C$8*EXP($C$9*(1/A11-1/298.15))</f>
        <v>3.9000017789915878E-4</v>
      </c>
      <c r="D11">
        <f t="shared" ref="D11:D16" si="0">1/(C11)</f>
        <v>2564.1013944833817</v>
      </c>
      <c r="E11">
        <f t="shared" ref="E11:E16" si="1">1/(C11*$B$1*$B$3*A11)</f>
        <v>112.52798279976727</v>
      </c>
      <c r="F11">
        <f t="shared" ref="F11:F16" si="2">$B$4*A11*LN(E11)</f>
        <v>2.5794176194092548</v>
      </c>
    </row>
    <row r="12" spans="1:6" x14ac:dyDescent="0.2">
      <c r="A12">
        <v>295</v>
      </c>
      <c r="C12">
        <f t="shared" ref="C12:C16" si="3">$C$8*EXP($C$9*(1/A12-1/298.15))</f>
        <v>3.8125412499018777E-4</v>
      </c>
      <c r="D12">
        <f t="shared" si="0"/>
        <v>2622.922440578805</v>
      </c>
      <c r="E12">
        <f t="shared" si="1"/>
        <v>107.30537223437636</v>
      </c>
      <c r="F12">
        <f t="shared" si="2"/>
        <v>2.7391709218892482</v>
      </c>
    </row>
    <row r="13" spans="1:6" x14ac:dyDescent="0.2">
      <c r="A13">
        <v>315</v>
      </c>
      <c r="C13">
        <f t="shared" si="3"/>
        <v>3.7377919403817683E-4</v>
      </c>
      <c r="D13">
        <f t="shared" si="0"/>
        <v>2675.3763075904717</v>
      </c>
      <c r="E13">
        <f t="shared" si="1"/>
        <v>102.50200383894732</v>
      </c>
      <c r="F13">
        <f t="shared" si="2"/>
        <v>2.8962294425225101</v>
      </c>
    </row>
    <row r="14" spans="1:6" x14ac:dyDescent="0.2">
      <c r="A14">
        <v>335</v>
      </c>
      <c r="C14">
        <f t="shared" si="3"/>
        <v>3.6731823821119957E-4</v>
      </c>
      <c r="D14">
        <f t="shared" si="0"/>
        <v>2722.4349241951413</v>
      </c>
      <c r="E14">
        <f t="shared" si="1"/>
        <v>98.077803938860043</v>
      </c>
      <c r="F14">
        <f t="shared" si="2"/>
        <v>3.0507645169145201</v>
      </c>
    </row>
    <row r="15" spans="1:6" x14ac:dyDescent="0.2">
      <c r="A15">
        <v>355</v>
      </c>
      <c r="C15">
        <f t="shared" si="3"/>
        <v>3.616788525072571E-4</v>
      </c>
      <c r="D15">
        <f t="shared" si="0"/>
        <v>2764.8837997237756</v>
      </c>
      <c r="E15">
        <f t="shared" si="1"/>
        <v>93.995392007524885</v>
      </c>
      <c r="F15">
        <f t="shared" si="2"/>
        <v>3.2029269836824907</v>
      </c>
    </row>
    <row r="16" spans="1:6" x14ac:dyDescent="0.2">
      <c r="A16">
        <v>375</v>
      </c>
      <c r="C16">
        <f t="shared" si="3"/>
        <v>3.5671426175688998E-4</v>
      </c>
      <c r="D16">
        <f t="shared" si="0"/>
        <v>2803.3642251218034</v>
      </c>
      <c r="E16">
        <f t="shared" si="1"/>
        <v>90.220720647828259</v>
      </c>
      <c r="F16">
        <f t="shared" si="2"/>
        <v>3.3528506568094465</v>
      </c>
    </row>
    <row r="19" spans="1:6" x14ac:dyDescent="0.2">
      <c r="A19" s="35" t="s">
        <v>53</v>
      </c>
      <c r="B19" s="35"/>
    </row>
    <row r="20" spans="1:6" x14ac:dyDescent="0.2">
      <c r="A20" t="s">
        <v>47</v>
      </c>
      <c r="C20" s="41">
        <v>4.4999999999999999E-4</v>
      </c>
    </row>
    <row r="21" spans="1:6" x14ac:dyDescent="0.2">
      <c r="A21" t="s">
        <v>48</v>
      </c>
      <c r="C21" s="41">
        <v>450</v>
      </c>
    </row>
    <row r="22" spans="1:6" x14ac:dyDescent="0.2">
      <c r="A22" s="42" t="s">
        <v>49</v>
      </c>
      <c r="B22" s="42"/>
      <c r="C22" s="42" t="s">
        <v>50</v>
      </c>
      <c r="D22" s="42" t="s">
        <v>51</v>
      </c>
      <c r="E22" s="42" t="s">
        <v>52</v>
      </c>
      <c r="F22" s="42" t="s">
        <v>39</v>
      </c>
    </row>
    <row r="23" spans="1:6" x14ac:dyDescent="0.2">
      <c r="A23">
        <v>275</v>
      </c>
      <c r="C23">
        <f t="shared" ref="C23:C28" si="4">$C$20*EXP($C$21*(1/A23-1/298.15))</f>
        <v>5.1096639433060676E-4</v>
      </c>
      <c r="D23">
        <f t="shared" ref="D23:D28" si="5">1/(C23)</f>
        <v>1957.0758685804637</v>
      </c>
      <c r="E23">
        <f t="shared" ref="E23:E28" si="6">1/(C23*$B$1*$B$3*A23)</f>
        <v>85.888101052194713</v>
      </c>
      <c r="F23">
        <f t="shared" ref="F23:F28" si="7">$B$4*A23*LN(E23)</f>
        <v>2.4318806777938513</v>
      </c>
    </row>
    <row r="24" spans="1:6" x14ac:dyDescent="0.2">
      <c r="A24">
        <v>295</v>
      </c>
      <c r="C24">
        <f t="shared" si="4"/>
        <v>4.5731110580605393E-4</v>
      </c>
      <c r="D24">
        <f t="shared" si="5"/>
        <v>2186.6952000594993</v>
      </c>
      <c r="E24">
        <f t="shared" si="6"/>
        <v>89.459047196885237</v>
      </c>
      <c r="F24">
        <f t="shared" si="7"/>
        <v>2.6326090496109056</v>
      </c>
    </row>
    <row r="25" spans="1:6" x14ac:dyDescent="0.2">
      <c r="A25">
        <v>315</v>
      </c>
      <c r="C25">
        <f t="shared" si="4"/>
        <v>4.1509674590710539E-4</v>
      </c>
      <c r="D25">
        <f t="shared" si="5"/>
        <v>2409.0769437729832</v>
      </c>
      <c r="E25">
        <f t="shared" si="6"/>
        <v>92.299245320496766</v>
      </c>
      <c r="F25">
        <f t="shared" si="7"/>
        <v>2.8306426395812285</v>
      </c>
    </row>
    <row r="26" spans="1:6" x14ac:dyDescent="0.2">
      <c r="A26">
        <v>335</v>
      </c>
      <c r="C26">
        <f t="shared" si="4"/>
        <v>3.8116172847597245E-4</v>
      </c>
      <c r="D26">
        <f t="shared" si="5"/>
        <v>2623.5582570117285</v>
      </c>
      <c r="E26">
        <f t="shared" si="6"/>
        <v>94.515696249174965</v>
      </c>
      <c r="F26">
        <f t="shared" si="7"/>
        <v>3.0261527833103004</v>
      </c>
    </row>
    <row r="27" spans="1:6" x14ac:dyDescent="0.2">
      <c r="A27">
        <v>355</v>
      </c>
      <c r="C27">
        <f t="shared" si="4"/>
        <v>3.5338065579347322E-4</v>
      </c>
      <c r="D27">
        <f t="shared" si="5"/>
        <v>2829.8096786158876</v>
      </c>
      <c r="E27">
        <f t="shared" si="6"/>
        <v>96.20262163450117</v>
      </c>
      <c r="F27">
        <f t="shared" si="7"/>
        <v>3.2192903194153328</v>
      </c>
    </row>
    <row r="28" spans="1:6" x14ac:dyDescent="0.2">
      <c r="A28">
        <v>375</v>
      </c>
      <c r="C28">
        <f t="shared" si="4"/>
        <v>3.3027980434512512E-4</v>
      </c>
      <c r="D28">
        <f t="shared" si="5"/>
        <v>3027.735837444824</v>
      </c>
      <c r="E28">
        <f t="shared" si="6"/>
        <v>97.441676232298761</v>
      </c>
      <c r="F28">
        <f t="shared" si="7"/>
        <v>3.41018906187935</v>
      </c>
    </row>
    <row r="32" spans="1:6" x14ac:dyDescent="0.2">
      <c r="A32" s="35" t="s">
        <v>42</v>
      </c>
      <c r="B32" s="35"/>
    </row>
    <row r="33" spans="1:6" x14ac:dyDescent="0.2">
      <c r="A33" t="s">
        <v>47</v>
      </c>
      <c r="C33" s="41">
        <v>1.4E-3</v>
      </c>
    </row>
    <row r="34" spans="1:6" x14ac:dyDescent="0.2">
      <c r="A34" t="s">
        <v>48</v>
      </c>
      <c r="C34" s="41">
        <v>1500</v>
      </c>
    </row>
    <row r="35" spans="1:6" x14ac:dyDescent="0.2">
      <c r="A35" s="42" t="s">
        <v>49</v>
      </c>
      <c r="B35" s="42"/>
      <c r="C35" s="42" t="s">
        <v>50</v>
      </c>
      <c r="D35" s="42" t="s">
        <v>51</v>
      </c>
      <c r="E35" s="42" t="s">
        <v>52</v>
      </c>
      <c r="F35" s="42" t="s">
        <v>39</v>
      </c>
    </row>
    <row r="36" spans="1:6" x14ac:dyDescent="0.2">
      <c r="A36">
        <v>275</v>
      </c>
      <c r="C36">
        <f t="shared" ref="C36:C41" si="8">$C$33*EXP($C$34*(1/A36-1/298.15))</f>
        <v>2.1382613363197657E-3</v>
      </c>
      <c r="D36">
        <f t="shared" ref="D36:D41" si="9">1/(C36)</f>
        <v>467.6696823790183</v>
      </c>
      <c r="E36">
        <f t="shared" ref="E36:E41" si="10">1/(C36*$B$1*$B$3*A36)</f>
        <v>20.524120492248294</v>
      </c>
      <c r="F36">
        <f t="shared" ref="F36:F41" si="11">$B$4*A36*LN(E36)</f>
        <v>1.6501454888510618</v>
      </c>
    </row>
    <row r="37" spans="1:6" x14ac:dyDescent="0.2">
      <c r="A37">
        <v>295</v>
      </c>
      <c r="C37">
        <f t="shared" si="8"/>
        <v>1.4772663917583327E-3</v>
      </c>
      <c r="D37">
        <f t="shared" si="9"/>
        <v>676.92598002567354</v>
      </c>
      <c r="E37">
        <f t="shared" si="10"/>
        <v>27.693458692490282</v>
      </c>
      <c r="F37">
        <f t="shared" si="11"/>
        <v>1.9456692196540952</v>
      </c>
    </row>
    <row r="38" spans="1:6" x14ac:dyDescent="0.2">
      <c r="A38">
        <v>315</v>
      </c>
      <c r="C38">
        <f t="shared" si="8"/>
        <v>1.069672307082615E-3</v>
      </c>
      <c r="D38">
        <f t="shared" si="9"/>
        <v>934.86574662044234</v>
      </c>
      <c r="E38">
        <f t="shared" si="10"/>
        <v>35.817620152019849</v>
      </c>
      <c r="F38">
        <f t="shared" si="11"/>
        <v>2.2384981686103971</v>
      </c>
    </row>
    <row r="39" spans="1:6" x14ac:dyDescent="0.2">
      <c r="A39">
        <v>335</v>
      </c>
      <c r="C39">
        <f t="shared" si="8"/>
        <v>8.0497788410611375E-4</v>
      </c>
      <c r="D39">
        <f t="shared" si="9"/>
        <v>1242.2701539315558</v>
      </c>
      <c r="E39">
        <f t="shared" si="10"/>
        <v>44.753734061216186</v>
      </c>
      <c r="F39">
        <f t="shared" si="11"/>
        <v>2.528803671325448</v>
      </c>
    </row>
    <row r="40" spans="1:6" x14ac:dyDescent="0.2">
      <c r="A40">
        <v>355</v>
      </c>
      <c r="C40">
        <f t="shared" si="8"/>
        <v>6.2550228079711234E-4</v>
      </c>
      <c r="D40">
        <f t="shared" si="9"/>
        <v>1598.71519369305</v>
      </c>
      <c r="E40">
        <f t="shared" si="10"/>
        <v>54.350154373423265</v>
      </c>
      <c r="F40">
        <f t="shared" si="11"/>
        <v>2.8167365664164592</v>
      </c>
    </row>
    <row r="41" spans="1:6" x14ac:dyDescent="0.2">
      <c r="A41">
        <v>375</v>
      </c>
      <c r="C41">
        <f t="shared" si="8"/>
        <v>4.9929787602025991E-4</v>
      </c>
      <c r="D41">
        <f t="shared" si="9"/>
        <v>2002.8124452895192</v>
      </c>
      <c r="E41">
        <f t="shared" si="10"/>
        <v>64.456548498833953</v>
      </c>
      <c r="F41">
        <f t="shared" si="11"/>
        <v>3.102430667866455</v>
      </c>
    </row>
    <row r="44" spans="1:6" x14ac:dyDescent="0.2">
      <c r="A44" s="35" t="s">
        <v>43</v>
      </c>
      <c r="B44" s="35"/>
    </row>
    <row r="45" spans="1:6" x14ac:dyDescent="0.2">
      <c r="A45" t="s">
        <v>47</v>
      </c>
      <c r="C45" s="41">
        <v>2.5000000000000001E-3</v>
      </c>
    </row>
    <row r="46" spans="1:6" x14ac:dyDescent="0.2">
      <c r="A46" t="s">
        <v>48</v>
      </c>
      <c r="C46" s="41">
        <v>1900</v>
      </c>
    </row>
    <row r="47" spans="1:6" x14ac:dyDescent="0.2">
      <c r="A47" s="42" t="s">
        <v>49</v>
      </c>
      <c r="B47" s="42"/>
      <c r="C47" s="42" t="s">
        <v>50</v>
      </c>
      <c r="D47" s="42" t="s">
        <v>51</v>
      </c>
      <c r="E47" s="42" t="s">
        <v>52</v>
      </c>
      <c r="F47" s="42" t="s">
        <v>39</v>
      </c>
    </row>
    <row r="48" spans="1:6" x14ac:dyDescent="0.2">
      <c r="A48">
        <v>275</v>
      </c>
      <c r="C48">
        <f t="shared" ref="C48:C53" si="12">$C$45*EXP($C$46*(1/A48-1/298.15))</f>
        <v>4.274855989146932E-3</v>
      </c>
      <c r="D48">
        <f t="shared" ref="D48:D53" si="13">1/(C48)</f>
        <v>233.92600886177567</v>
      </c>
      <c r="E48">
        <f t="shared" ref="E48:E53" si="14">1/(C48*$B$1*$B$3*A48)</f>
        <v>10.266061224509311</v>
      </c>
      <c r="F48">
        <f t="shared" ref="F48:F53" si="15">$B$4*A48*LN(E48)</f>
        <v>1.2718193852530775</v>
      </c>
    </row>
    <row r="49" spans="1:6" x14ac:dyDescent="0.2">
      <c r="A49">
        <v>295</v>
      </c>
      <c r="C49">
        <f t="shared" si="12"/>
        <v>2.6760383468646689E-3</v>
      </c>
      <c r="D49">
        <f t="shared" si="13"/>
        <v>373.68672282728369</v>
      </c>
      <c r="E49">
        <f t="shared" si="14"/>
        <v>15.287753946387099</v>
      </c>
      <c r="F49">
        <f t="shared" si="15"/>
        <v>1.5975994721580757</v>
      </c>
    </row>
    <row r="50" spans="1:6" x14ac:dyDescent="0.2">
      <c r="A50">
        <v>315</v>
      </c>
      <c r="C50">
        <f t="shared" si="12"/>
        <v>1.777851366542777E-3</v>
      </c>
      <c r="D50">
        <f t="shared" si="13"/>
        <v>562.47671701859269</v>
      </c>
      <c r="E50">
        <f t="shared" si="14"/>
        <v>21.550235921422274</v>
      </c>
      <c r="F50">
        <f t="shared" si="15"/>
        <v>1.9206847772163425</v>
      </c>
    </row>
    <row r="51" spans="1:6" x14ac:dyDescent="0.2">
      <c r="A51">
        <v>335</v>
      </c>
      <c r="C51">
        <f t="shared" si="12"/>
        <v>1.2402355199510945E-3</v>
      </c>
      <c r="D51">
        <f t="shared" si="13"/>
        <v>806.29846824531558</v>
      </c>
      <c r="E51">
        <f t="shared" si="14"/>
        <v>29.047520064468159</v>
      </c>
      <c r="F51">
        <f t="shared" si="15"/>
        <v>2.2412466360333583</v>
      </c>
    </row>
    <row r="52" spans="1:6" x14ac:dyDescent="0.2">
      <c r="A52">
        <v>355</v>
      </c>
      <c r="C52">
        <f t="shared" si="12"/>
        <v>9.0102000549566197E-4</v>
      </c>
      <c r="D52">
        <f t="shared" si="13"/>
        <v>1109.8532706273131</v>
      </c>
      <c r="E52">
        <f t="shared" si="14"/>
        <v>37.730733296592803</v>
      </c>
      <c r="F52">
        <f t="shared" si="15"/>
        <v>2.5594358872263343</v>
      </c>
    </row>
    <row r="53" spans="1:6" x14ac:dyDescent="0.2">
      <c r="A53">
        <v>375</v>
      </c>
      <c r="C53">
        <f t="shared" si="12"/>
        <v>6.7727774795112161E-4</v>
      </c>
      <c r="D53">
        <f t="shared" si="13"/>
        <v>1476.4991217047468</v>
      </c>
      <c r="E53">
        <f t="shared" si="14"/>
        <v>47.518197458020239</v>
      </c>
      <c r="F53">
        <f t="shared" si="15"/>
        <v>2.875386344778295</v>
      </c>
    </row>
    <row r="56" spans="1:6" x14ac:dyDescent="0.2">
      <c r="A56" s="35" t="s">
        <v>44</v>
      </c>
      <c r="B56" s="35"/>
    </row>
    <row r="57" spans="1:6" x14ac:dyDescent="0.2">
      <c r="A57" t="s">
        <v>47</v>
      </c>
      <c r="C57" s="41">
        <v>4.3E-3</v>
      </c>
    </row>
    <row r="58" spans="1:6" x14ac:dyDescent="0.2">
      <c r="A58" t="s">
        <v>48</v>
      </c>
      <c r="C58" s="41">
        <v>2200</v>
      </c>
    </row>
    <row r="59" spans="1:6" x14ac:dyDescent="0.2">
      <c r="A59" s="42" t="s">
        <v>49</v>
      </c>
      <c r="B59" s="42"/>
      <c r="C59" s="42" t="s">
        <v>50</v>
      </c>
      <c r="D59" s="42" t="s">
        <v>51</v>
      </c>
      <c r="E59" s="42" t="s">
        <v>52</v>
      </c>
      <c r="F59" s="42" t="s">
        <v>39</v>
      </c>
    </row>
    <row r="60" spans="1:6" x14ac:dyDescent="0.2">
      <c r="A60">
        <v>275</v>
      </c>
      <c r="C60">
        <f t="shared" ref="C60:C65" si="16">$C$57*EXP($C$58*(1/A60-1/298.15))</f>
        <v>8.0026990529831685E-3</v>
      </c>
      <c r="D60">
        <f t="shared" ref="D60:D65" si="17">1/(C60)</f>
        <v>124.95784152063418</v>
      </c>
      <c r="E60">
        <f t="shared" ref="E60:E65" si="18">1/(C60*$B$1*$B$3*A60)</f>
        <v>5.4838914996039181</v>
      </c>
      <c r="F60">
        <f t="shared" ref="F60:F65" si="19">$B$4*A60*LN(E60)</f>
        <v>0.92938891957999192</v>
      </c>
    </row>
    <row r="61" spans="1:6" x14ac:dyDescent="0.2">
      <c r="A61">
        <v>295</v>
      </c>
      <c r="C61">
        <f t="shared" si="16"/>
        <v>4.6525059343240568E-3</v>
      </c>
      <c r="D61">
        <f t="shared" si="17"/>
        <v>214.93793110986883</v>
      </c>
      <c r="E61">
        <f t="shared" si="18"/>
        <v>8.7932431200450019</v>
      </c>
      <c r="F61">
        <f t="shared" si="19"/>
        <v>1.2735932089814934</v>
      </c>
    </row>
    <row r="62" spans="1:6" x14ac:dyDescent="0.2">
      <c r="A62">
        <v>315</v>
      </c>
      <c r="C62">
        <f t="shared" si="16"/>
        <v>2.8976667683762655E-3</v>
      </c>
      <c r="D62">
        <f t="shared" si="17"/>
        <v>345.10524499004396</v>
      </c>
      <c r="E62">
        <f t="shared" si="18"/>
        <v>13.222057415418041</v>
      </c>
      <c r="F62">
        <f t="shared" si="19"/>
        <v>1.6151027165362626</v>
      </c>
    </row>
    <row r="63" spans="1:6" x14ac:dyDescent="0.2">
      <c r="A63">
        <v>335</v>
      </c>
      <c r="C63">
        <f t="shared" si="16"/>
        <v>1.9096940490930269E-3</v>
      </c>
      <c r="D63">
        <f t="shared" si="17"/>
        <v>523.64408868265105</v>
      </c>
      <c r="E63">
        <f t="shared" si="18"/>
        <v>18.86467948494434</v>
      </c>
      <c r="F63">
        <f t="shared" si="19"/>
        <v>1.9540887778497811</v>
      </c>
    </row>
    <row r="64" spans="1:6" x14ac:dyDescent="0.2">
      <c r="A64">
        <v>355</v>
      </c>
      <c r="C64">
        <f t="shared" si="16"/>
        <v>1.3191161974881707E-3</v>
      </c>
      <c r="D64">
        <f t="shared" si="17"/>
        <v>758.08333026626156</v>
      </c>
      <c r="E64">
        <f t="shared" si="18"/>
        <v>25.771911213724799</v>
      </c>
      <c r="F64">
        <f t="shared" si="19"/>
        <v>2.2907022315392602</v>
      </c>
    </row>
    <row r="65" spans="1:6" x14ac:dyDescent="0.2">
      <c r="A65">
        <v>375</v>
      </c>
      <c r="C65">
        <f t="shared" si="16"/>
        <v>9.4785431288236111E-4</v>
      </c>
      <c r="D65">
        <f t="shared" si="17"/>
        <v>1055.014453602123</v>
      </c>
      <c r="E65">
        <f t="shared" si="18"/>
        <v>33.953548898457051</v>
      </c>
      <c r="F65">
        <f t="shared" si="19"/>
        <v>2.6250768915877236</v>
      </c>
    </row>
    <row r="68" spans="1:6" x14ac:dyDescent="0.2">
      <c r="A68" s="35" t="s">
        <v>54</v>
      </c>
      <c r="B68" s="35"/>
    </row>
    <row r="69" spans="1:6" x14ac:dyDescent="0.2">
      <c r="A69" t="s">
        <v>47</v>
      </c>
      <c r="C69" s="41">
        <v>9.2999999999999992E-3</v>
      </c>
    </row>
    <row r="70" spans="1:6" x14ac:dyDescent="0.2">
      <c r="A70" t="s">
        <v>48</v>
      </c>
      <c r="C70" s="41">
        <v>2600</v>
      </c>
    </row>
    <row r="71" spans="1:6" x14ac:dyDescent="0.2">
      <c r="A71" s="42" t="s">
        <v>49</v>
      </c>
      <c r="B71" s="42"/>
      <c r="C71" s="42" t="s">
        <v>50</v>
      </c>
      <c r="D71" s="42" t="s">
        <v>51</v>
      </c>
      <c r="E71" s="42" t="s">
        <v>52</v>
      </c>
      <c r="F71" s="42" t="s">
        <v>39</v>
      </c>
    </row>
    <row r="72" spans="1:6" x14ac:dyDescent="0.2">
      <c r="A72">
        <v>275</v>
      </c>
      <c r="C72">
        <f>$C$69*EXP($C$70*(1/A72-1/298.15))</f>
        <v>1.9377587690395853E-2</v>
      </c>
      <c r="D72">
        <f t="shared" ref="D72:D77" si="20">1/(C72)</f>
        <v>51.606010819170834</v>
      </c>
      <c r="E72">
        <f t="shared" ref="E72:E77" si="21">1/(C72*$B$1*$B$3*A72)</f>
        <v>2.2647779492332774</v>
      </c>
      <c r="F72">
        <f t="shared" ref="F72:F77" si="22">$B$4*A72*LN(E72)</f>
        <v>0.44643737104575976</v>
      </c>
    </row>
    <row r="73" spans="1:6" x14ac:dyDescent="0.2">
      <c r="A73">
        <v>295</v>
      </c>
      <c r="C73">
        <f t="shared" ref="C73:C77" si="23">$C$69*EXP($C$70*(1/A73-1/298.15))</f>
        <v>1.0207584189889565E-2</v>
      </c>
      <c r="D73">
        <f t="shared" si="20"/>
        <v>97.966372982794766</v>
      </c>
      <c r="E73">
        <f t="shared" si="21"/>
        <v>4.0078646462191125</v>
      </c>
      <c r="F73">
        <f t="shared" si="22"/>
        <v>0.81328889328113496</v>
      </c>
    </row>
    <row r="74" spans="1:6" x14ac:dyDescent="0.2">
      <c r="A74">
        <v>315</v>
      </c>
      <c r="C74">
        <f t="shared" si="23"/>
        <v>5.8330494418058878E-3</v>
      </c>
      <c r="D74">
        <f t="shared" si="20"/>
        <v>171.43691476930189</v>
      </c>
      <c r="E74">
        <f t="shared" si="21"/>
        <v>6.5682824677649672</v>
      </c>
      <c r="F74">
        <f t="shared" si="22"/>
        <v>1.1774456336697787</v>
      </c>
    </row>
    <row r="75" spans="1:6" x14ac:dyDescent="0.2">
      <c r="A75">
        <v>335</v>
      </c>
      <c r="C75">
        <f t="shared" si="23"/>
        <v>3.5635801507185594E-3</v>
      </c>
      <c r="D75">
        <f t="shared" si="20"/>
        <v>280.61667135460959</v>
      </c>
      <c r="E75">
        <f t="shared" si="21"/>
        <v>10.109430580137589</v>
      </c>
      <c r="F75">
        <f t="shared" si="22"/>
        <v>1.5390789278171713</v>
      </c>
    </row>
    <row r="76" spans="1:6" x14ac:dyDescent="0.2">
      <c r="A76">
        <v>355</v>
      </c>
      <c r="C76">
        <f t="shared" si="23"/>
        <v>2.3013947034592865E-3</v>
      </c>
      <c r="D76">
        <f t="shared" si="20"/>
        <v>434.51911942652595</v>
      </c>
      <c r="E76">
        <f t="shared" si="21"/>
        <v>14.771975216224714</v>
      </c>
      <c r="F76">
        <f t="shared" si="22"/>
        <v>1.8983396143405242</v>
      </c>
    </row>
    <row r="77" spans="1:6" x14ac:dyDescent="0.2">
      <c r="A77">
        <v>375</v>
      </c>
      <c r="C77">
        <f t="shared" si="23"/>
        <v>1.5572243961723498E-3</v>
      </c>
      <c r="D77">
        <f t="shared" si="20"/>
        <v>642.16820803603855</v>
      </c>
      <c r="E77">
        <f t="shared" si="21"/>
        <v>20.666910844814897</v>
      </c>
      <c r="F77">
        <f t="shared" si="22"/>
        <v>2.2553615072228621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1"/>
  <sheetViews>
    <sheetView zoomScaleNormal="100" workbookViewId="0">
      <selection activeCell="I1" sqref="I1"/>
    </sheetView>
  </sheetViews>
  <sheetFormatPr baseColWidth="10" defaultColWidth="10.6640625" defaultRowHeight="15" x14ac:dyDescent="0.2"/>
  <sheetData>
    <row r="1" spans="1:13" x14ac:dyDescent="0.2">
      <c r="A1" t="s">
        <v>55</v>
      </c>
      <c r="B1">
        <v>0.101325</v>
      </c>
    </row>
    <row r="3" spans="1:13" x14ac:dyDescent="0.2">
      <c r="A3" s="35" t="s">
        <v>41</v>
      </c>
    </row>
    <row r="4" spans="1:13" x14ac:dyDescent="0.2">
      <c r="A4" s="36" t="s">
        <v>33</v>
      </c>
      <c r="B4" s="36" t="s">
        <v>56</v>
      </c>
      <c r="C4" s="36" t="s">
        <v>57</v>
      </c>
      <c r="D4" s="36" t="s">
        <v>58</v>
      </c>
      <c r="E4" s="36" t="s">
        <v>59</v>
      </c>
      <c r="F4" s="36" t="s">
        <v>60</v>
      </c>
      <c r="G4" s="36" t="s">
        <v>61</v>
      </c>
      <c r="H4" s="36"/>
      <c r="I4" s="36"/>
      <c r="K4" s="43"/>
      <c r="L4" s="43"/>
      <c r="M4" s="43"/>
    </row>
    <row r="5" spans="1:13" x14ac:dyDescent="0.2">
      <c r="A5" s="44">
        <v>294.89999999999998</v>
      </c>
      <c r="B5" s="44">
        <v>2.371</v>
      </c>
      <c r="C5" s="44">
        <v>1.9510000000000001</v>
      </c>
      <c r="D5" s="44">
        <v>0.99890000000000001</v>
      </c>
      <c r="E5" s="41">
        <v>2.3959999999999999</v>
      </c>
      <c r="F5" s="44">
        <v>2.508</v>
      </c>
      <c r="G5">
        <f t="shared" ref="G5:G11" si="0">IF(F5="", "", IF(F5=0, "", EXP(F5)))</f>
        <v>12.280344793851139</v>
      </c>
      <c r="K5" s="45"/>
      <c r="L5" s="45"/>
      <c r="M5" s="45"/>
    </row>
    <row r="6" spans="1:13" x14ac:dyDescent="0.2">
      <c r="A6" s="44">
        <v>337.4</v>
      </c>
      <c r="B6" s="44">
        <v>2.0840000000000001</v>
      </c>
      <c r="C6" s="44">
        <v>1.552</v>
      </c>
      <c r="D6" s="44">
        <v>0.98809999999999998</v>
      </c>
      <c r="E6" s="44">
        <v>2.0790000000000002</v>
      </c>
      <c r="F6" s="44">
        <v>2.5950000000000002</v>
      </c>
      <c r="G6">
        <f t="shared" si="0"/>
        <v>13.396587361407848</v>
      </c>
      <c r="K6" s="45"/>
      <c r="L6" s="45"/>
      <c r="M6" s="45"/>
    </row>
    <row r="7" spans="1:13" x14ac:dyDescent="0.2">
      <c r="A7" s="44">
        <v>361</v>
      </c>
      <c r="B7" s="44">
        <v>2.2440000000000002</v>
      </c>
      <c r="C7" s="44">
        <v>1.7769999999999999</v>
      </c>
      <c r="D7" s="44">
        <v>0.97030000000000005</v>
      </c>
      <c r="E7" s="44">
        <v>2.1989999999999998</v>
      </c>
      <c r="F7" s="44">
        <v>2.516</v>
      </c>
      <c r="G7">
        <f t="shared" si="0"/>
        <v>12.37898157325731</v>
      </c>
      <c r="K7" s="45"/>
      <c r="L7" s="45"/>
      <c r="M7" s="45"/>
    </row>
    <row r="8" spans="1:13" x14ac:dyDescent="0.2">
      <c r="A8" s="44">
        <v>388.9</v>
      </c>
      <c r="B8" s="44">
        <v>2.238</v>
      </c>
      <c r="C8" s="44">
        <v>1.86</v>
      </c>
      <c r="D8" s="44">
        <v>0.91979999999999995</v>
      </c>
      <c r="E8" s="44">
        <v>2.081</v>
      </c>
      <c r="F8" s="44">
        <v>2.415</v>
      </c>
      <c r="G8">
        <f t="shared" si="0"/>
        <v>11.189770357552705</v>
      </c>
      <c r="K8" s="45"/>
      <c r="L8" s="45"/>
      <c r="M8" s="45"/>
    </row>
    <row r="9" spans="1:13" x14ac:dyDescent="0.2">
      <c r="A9" s="44">
        <v>427.7</v>
      </c>
      <c r="B9" s="44">
        <v>2.1859999999999999</v>
      </c>
      <c r="C9" s="44">
        <v>2.0350000000000001</v>
      </c>
      <c r="D9" s="44">
        <v>0.74380000000000002</v>
      </c>
      <c r="E9" s="44">
        <v>1.6579999999999999</v>
      </c>
      <c r="F9" s="44">
        <v>2.0979999999999999</v>
      </c>
      <c r="G9">
        <f t="shared" si="0"/>
        <v>8.1498538941995537</v>
      </c>
      <c r="K9" s="45"/>
      <c r="L9" s="45"/>
      <c r="M9" s="45"/>
    </row>
    <row r="10" spans="1:13" x14ac:dyDescent="0.2">
      <c r="A10" s="44">
        <v>543.20000000000005</v>
      </c>
      <c r="B10" s="44">
        <v>8.2889999999999997</v>
      </c>
      <c r="C10" s="44">
        <v>8.4499999999999993</v>
      </c>
      <c r="D10" s="44">
        <v>0.28939999999999999</v>
      </c>
      <c r="E10" s="44">
        <v>2.8260000000000001</v>
      </c>
      <c r="F10" s="44">
        <v>1.2070000000000001</v>
      </c>
      <c r="G10">
        <f t="shared" si="0"/>
        <v>3.3434392741929435</v>
      </c>
      <c r="K10" s="45"/>
      <c r="L10" s="45"/>
      <c r="M10" s="45"/>
    </row>
    <row r="11" spans="1:13" x14ac:dyDescent="0.2">
      <c r="A11" s="44">
        <v>543.4</v>
      </c>
      <c r="B11" s="44">
        <v>8.1959999999999997</v>
      </c>
      <c r="C11" s="44">
        <v>8.3859999999999992</v>
      </c>
      <c r="D11" s="44">
        <v>0.28000000000000003</v>
      </c>
      <c r="E11" s="44">
        <v>2.6859999999999999</v>
      </c>
      <c r="F11" s="44">
        <v>1.1639999999999999</v>
      </c>
      <c r="G11">
        <f t="shared" si="0"/>
        <v>3.2027185627468664</v>
      </c>
      <c r="K11" s="45"/>
      <c r="L11" s="45"/>
      <c r="M11" s="45"/>
    </row>
    <row r="13" spans="1:13" x14ac:dyDescent="0.2">
      <c r="A13" s="35" t="s">
        <v>42</v>
      </c>
    </row>
    <row r="14" spans="1:13" x14ac:dyDescent="0.2">
      <c r="A14" s="36" t="s">
        <v>33</v>
      </c>
      <c r="B14" s="36" t="s">
        <v>56</v>
      </c>
      <c r="C14" s="36" t="s">
        <v>57</v>
      </c>
      <c r="D14" s="36" t="s">
        <v>58</v>
      </c>
      <c r="E14" s="36" t="s">
        <v>59</v>
      </c>
      <c r="F14" s="36" t="s">
        <v>60</v>
      </c>
      <c r="G14" s="36" t="s">
        <v>61</v>
      </c>
      <c r="H14" s="36"/>
      <c r="I14" s="36"/>
      <c r="K14" s="43"/>
      <c r="L14" s="43"/>
      <c r="M14" s="43"/>
    </row>
    <row r="15" spans="1:13" x14ac:dyDescent="0.2">
      <c r="A15" s="44">
        <v>306.89999999999998</v>
      </c>
      <c r="B15" s="44">
        <v>2.2490000000000001</v>
      </c>
      <c r="C15" s="44">
        <v>4.6669999999999998</v>
      </c>
      <c r="D15" s="44">
        <v>0.99750000000000005</v>
      </c>
      <c r="E15" s="44">
        <v>2.2160000000000002</v>
      </c>
      <c r="F15" s="44">
        <v>1.5569999999999999</v>
      </c>
      <c r="G15">
        <f t="shared" ref="G15:G22" si="1">IF(F15="", "", IF(F15=0, "", EXP(F15)))</f>
        <v>4.7445661746993988</v>
      </c>
      <c r="K15" s="45"/>
      <c r="L15" s="45"/>
      <c r="M15" s="45"/>
    </row>
    <row r="16" spans="1:13" x14ac:dyDescent="0.2">
      <c r="A16" s="44">
        <v>335.9</v>
      </c>
      <c r="B16" s="44">
        <v>2.1259999999999999</v>
      </c>
      <c r="C16" s="44">
        <v>3.4289999999999998</v>
      </c>
      <c r="D16" s="44">
        <v>0.98880000000000001</v>
      </c>
      <c r="E16" s="44">
        <v>2.089</v>
      </c>
      <c r="F16" s="44">
        <v>1.806</v>
      </c>
      <c r="G16">
        <f t="shared" si="1"/>
        <v>6.0860544609681657</v>
      </c>
      <c r="K16" s="45"/>
      <c r="L16" s="45"/>
      <c r="M16" s="45"/>
    </row>
    <row r="17" spans="1:13" x14ac:dyDescent="0.2">
      <c r="A17" s="44">
        <v>365.3</v>
      </c>
      <c r="B17" s="44">
        <v>1.67</v>
      </c>
      <c r="C17" s="44">
        <v>2.4780000000000002</v>
      </c>
      <c r="D17" s="44">
        <v>0.95269999999999999</v>
      </c>
      <c r="E17" s="44">
        <v>1.5880000000000001</v>
      </c>
      <c r="F17" s="44">
        <v>1.857</v>
      </c>
      <c r="G17">
        <f t="shared" si="1"/>
        <v>6.4044944390451697</v>
      </c>
      <c r="K17" s="45"/>
      <c r="L17" s="45"/>
      <c r="M17" s="45"/>
    </row>
    <row r="18" spans="1:13" x14ac:dyDescent="0.2">
      <c r="A18" s="44">
        <v>368.3</v>
      </c>
      <c r="B18" s="44">
        <v>2.0329999999999999</v>
      </c>
      <c r="C18" s="44">
        <v>2.9390000000000001</v>
      </c>
      <c r="D18" s="44">
        <v>0.95620000000000005</v>
      </c>
      <c r="E18" s="46" t="s">
        <v>62</v>
      </c>
      <c r="F18" s="44">
        <v>1.887</v>
      </c>
      <c r="G18">
        <f t="shared" si="1"/>
        <v>6.5995403323941808</v>
      </c>
      <c r="K18" s="45"/>
      <c r="L18" s="45"/>
      <c r="M18" s="45"/>
    </row>
    <row r="19" spans="1:13" x14ac:dyDescent="0.2">
      <c r="A19" s="44">
        <v>397.3</v>
      </c>
      <c r="B19" s="44">
        <v>2.4350000000000001</v>
      </c>
      <c r="C19" s="44">
        <v>3.5790000000000002</v>
      </c>
      <c r="D19" s="44">
        <v>0.90210000000000001</v>
      </c>
      <c r="E19" s="44">
        <v>2.1989999999999998</v>
      </c>
      <c r="F19" s="44">
        <v>1.8160000000000001</v>
      </c>
      <c r="G19">
        <f t="shared" si="1"/>
        <v>6.1472203251842421</v>
      </c>
      <c r="K19" s="45"/>
      <c r="L19" s="45"/>
      <c r="M19" s="45"/>
    </row>
    <row r="20" spans="1:13" x14ac:dyDescent="0.2">
      <c r="A20" s="44">
        <v>424.7</v>
      </c>
      <c r="B20" s="44">
        <v>2.5259999999999998</v>
      </c>
      <c r="C20" s="44">
        <v>3.786</v>
      </c>
      <c r="D20" s="44">
        <v>0.79259999999999997</v>
      </c>
      <c r="E20" s="44">
        <v>2.02</v>
      </c>
      <c r="F20" s="44">
        <v>1.675</v>
      </c>
      <c r="G20">
        <f t="shared" si="1"/>
        <v>5.3387951490731762</v>
      </c>
      <c r="K20" s="45"/>
      <c r="L20" s="45"/>
      <c r="M20" s="45"/>
    </row>
    <row r="21" spans="1:13" x14ac:dyDescent="0.2">
      <c r="A21" s="44">
        <v>453.7</v>
      </c>
      <c r="B21" s="44">
        <v>2.214</v>
      </c>
      <c r="C21" s="44">
        <v>2.7309999999999999</v>
      </c>
      <c r="D21" s="44">
        <v>0.5212</v>
      </c>
      <c r="E21" s="44">
        <v>1.1890000000000001</v>
      </c>
      <c r="F21" s="44">
        <v>1.472</v>
      </c>
      <c r="G21">
        <f t="shared" si="1"/>
        <v>4.3579423156170289</v>
      </c>
      <c r="K21" s="45"/>
      <c r="L21" s="45"/>
      <c r="M21" s="45"/>
    </row>
    <row r="22" spans="1:13" x14ac:dyDescent="0.2">
      <c r="A22" s="44">
        <v>568.4</v>
      </c>
      <c r="B22" s="44">
        <v>9.7110000000000003</v>
      </c>
      <c r="C22" s="44">
        <v>9.5039999999999996</v>
      </c>
      <c r="D22" s="44">
        <v>0.13689999999999999</v>
      </c>
      <c r="E22" s="44">
        <v>1.6859999999999999</v>
      </c>
      <c r="F22" s="44">
        <v>0.52800000000000002</v>
      </c>
      <c r="G22">
        <f t="shared" si="1"/>
        <v>1.6955378396018199</v>
      </c>
    </row>
    <row r="24" spans="1:13" x14ac:dyDescent="0.2">
      <c r="A24" s="35" t="s">
        <v>43</v>
      </c>
    </row>
    <row r="25" spans="1:13" x14ac:dyDescent="0.2">
      <c r="A25" s="36" t="s">
        <v>33</v>
      </c>
      <c r="B25" s="36" t="s">
        <v>56</v>
      </c>
      <c r="C25" s="36" t="s">
        <v>57</v>
      </c>
      <c r="D25" s="36" t="s">
        <v>58</v>
      </c>
      <c r="E25" s="36" t="s">
        <v>59</v>
      </c>
      <c r="F25" s="36" t="s">
        <v>60</v>
      </c>
      <c r="G25" s="36" t="s">
        <v>61</v>
      </c>
      <c r="H25" s="36"/>
      <c r="I25" s="36"/>
      <c r="K25" s="43"/>
      <c r="L25" s="43"/>
      <c r="M25" s="43"/>
    </row>
    <row r="26" spans="1:13" x14ac:dyDescent="0.2">
      <c r="A26" s="44">
        <v>333.7</v>
      </c>
      <c r="B26" s="44">
        <v>2.3860000000000001</v>
      </c>
      <c r="C26" s="44">
        <v>6.3319999999999999</v>
      </c>
      <c r="D26" s="44">
        <v>0.9909</v>
      </c>
      <c r="E26" s="44">
        <v>2.2810000000000001</v>
      </c>
      <c r="F26" s="44">
        <v>1.2809999999999999</v>
      </c>
      <c r="G26">
        <f t="shared" ref="G26:G31" si="2">IF(F26="", "", IF(F26=0, "", EXP(F26)))</f>
        <v>3.6002381642143031</v>
      </c>
      <c r="K26" s="45"/>
      <c r="L26" s="45"/>
      <c r="M26" s="45"/>
    </row>
    <row r="27" spans="1:13" x14ac:dyDescent="0.2">
      <c r="A27" s="44">
        <v>359</v>
      </c>
      <c r="B27" s="44">
        <v>2.4300000000000002</v>
      </c>
      <c r="C27" s="44">
        <v>5.14</v>
      </c>
      <c r="D27" s="44">
        <v>0.97409999999999997</v>
      </c>
      <c r="E27" s="44">
        <v>2.302</v>
      </c>
      <c r="F27" s="44">
        <v>1.4990000000000001</v>
      </c>
      <c r="G27">
        <f t="shared" si="2"/>
        <v>4.4772096213655006</v>
      </c>
      <c r="K27" s="45"/>
      <c r="L27" s="45"/>
      <c r="M27" s="45"/>
    </row>
    <row r="28" spans="1:13" x14ac:dyDescent="0.2">
      <c r="A28" s="44">
        <v>387.6</v>
      </c>
      <c r="B28" s="44">
        <v>2.4249999999999998</v>
      </c>
      <c r="C28" s="44">
        <v>4.9509999999999996</v>
      </c>
      <c r="D28" s="44">
        <v>0.92800000000000005</v>
      </c>
      <c r="E28" s="44">
        <v>2.2090000000000001</v>
      </c>
      <c r="F28" s="44">
        <v>1.496</v>
      </c>
      <c r="G28">
        <f t="shared" si="2"/>
        <v>4.463798119812358</v>
      </c>
      <c r="K28" s="45"/>
      <c r="L28" s="45"/>
      <c r="M28" s="45"/>
    </row>
    <row r="29" spans="1:13" x14ac:dyDescent="0.2">
      <c r="A29" s="44">
        <v>426</v>
      </c>
      <c r="B29" s="44">
        <v>2.5230000000000001</v>
      </c>
      <c r="C29" s="44">
        <v>4.8650000000000002</v>
      </c>
      <c r="D29" s="44">
        <v>0.78539999999999999</v>
      </c>
      <c r="E29" s="44">
        <v>1.9710000000000001</v>
      </c>
      <c r="F29" s="44">
        <v>1.399</v>
      </c>
      <c r="G29">
        <f t="shared" si="2"/>
        <v>4.0511467938021157</v>
      </c>
      <c r="K29" s="45"/>
      <c r="L29" s="45"/>
      <c r="M29" s="45"/>
    </row>
    <row r="30" spans="1:13" x14ac:dyDescent="0.2">
      <c r="A30" s="44">
        <v>477.5</v>
      </c>
      <c r="B30" s="44">
        <v>3.2149999999999999</v>
      </c>
      <c r="C30" s="44">
        <v>4.8280000000000003</v>
      </c>
      <c r="D30" s="44">
        <v>0.44319999999999998</v>
      </c>
      <c r="E30" s="44">
        <v>1.478</v>
      </c>
      <c r="F30" s="44">
        <v>1.1180000000000001</v>
      </c>
      <c r="G30">
        <f t="shared" si="2"/>
        <v>3.058730620510393</v>
      </c>
      <c r="K30" s="45"/>
      <c r="L30" s="45"/>
      <c r="M30" s="45"/>
    </row>
    <row r="31" spans="1:13" x14ac:dyDescent="0.2">
      <c r="A31" s="44">
        <v>523.4</v>
      </c>
      <c r="B31" s="44">
        <v>6.7009999999999996</v>
      </c>
      <c r="C31" s="44">
        <v>10.752000000000001</v>
      </c>
      <c r="D31" s="44">
        <v>0.35959999999999998</v>
      </c>
      <c r="E31" s="44">
        <v>2.6080000000000001</v>
      </c>
      <c r="F31" s="44">
        <v>0.88600000000000001</v>
      </c>
      <c r="G31">
        <f t="shared" si="2"/>
        <v>2.425408587773163</v>
      </c>
      <c r="K31" s="45"/>
      <c r="L31" s="45"/>
      <c r="M31" s="45"/>
    </row>
    <row r="32" spans="1:13" x14ac:dyDescent="0.2">
      <c r="L32" s="45"/>
      <c r="M32" s="45"/>
    </row>
    <row r="33" spans="1:13" x14ac:dyDescent="0.2">
      <c r="A33" s="35" t="s">
        <v>44</v>
      </c>
    </row>
    <row r="34" spans="1:13" x14ac:dyDescent="0.2">
      <c r="A34" s="36" t="s">
        <v>33</v>
      </c>
      <c r="B34" s="36" t="s">
        <v>56</v>
      </c>
      <c r="C34" s="36" t="s">
        <v>57</v>
      </c>
      <c r="D34" s="36" t="s">
        <v>58</v>
      </c>
      <c r="E34" s="36" t="s">
        <v>59</v>
      </c>
      <c r="F34" s="36" t="s">
        <v>60</v>
      </c>
      <c r="G34" s="36" t="s">
        <v>61</v>
      </c>
      <c r="H34" s="36"/>
      <c r="I34" s="36"/>
      <c r="K34" s="43"/>
      <c r="L34" s="43"/>
      <c r="M34" s="43"/>
    </row>
    <row r="35" spans="1:13" x14ac:dyDescent="0.2">
      <c r="A35" s="44">
        <v>334.5</v>
      </c>
      <c r="B35" s="44">
        <v>1.984</v>
      </c>
      <c r="C35" s="44">
        <v>6.9720000000000004</v>
      </c>
      <c r="D35" s="44">
        <v>0.9889</v>
      </c>
      <c r="E35" s="44">
        <v>1.8220000000000001</v>
      </c>
      <c r="F35" s="44">
        <v>0.96099999999999997</v>
      </c>
      <c r="G35">
        <f t="shared" ref="G35:G40" si="3">IF(F35="", "", IF(F35=0, "", EXP(F35)))</f>
        <v>2.6143094761801691</v>
      </c>
      <c r="K35" s="45"/>
      <c r="L35" s="45"/>
      <c r="M35" s="45"/>
    </row>
    <row r="36" spans="1:13" x14ac:dyDescent="0.2">
      <c r="A36" s="44">
        <v>364.1</v>
      </c>
      <c r="B36" s="44">
        <v>2.1360000000000001</v>
      </c>
      <c r="C36" s="44">
        <v>6.2080000000000002</v>
      </c>
      <c r="D36" s="44">
        <v>0.96460000000000001</v>
      </c>
      <c r="E36" s="44">
        <v>1.9359999999999999</v>
      </c>
      <c r="F36" s="44">
        <v>1.1379999999999999</v>
      </c>
      <c r="G36">
        <f t="shared" si="3"/>
        <v>3.1205210778255728</v>
      </c>
      <c r="K36" s="45"/>
      <c r="L36" s="45"/>
      <c r="M36" s="45"/>
    </row>
    <row r="37" spans="1:13" x14ac:dyDescent="0.2">
      <c r="A37" s="44">
        <v>391.5</v>
      </c>
      <c r="B37" s="44">
        <v>2.1120000000000001</v>
      </c>
      <c r="C37" s="44">
        <v>5.6680000000000001</v>
      </c>
      <c r="D37" s="44">
        <v>0.90700000000000003</v>
      </c>
      <c r="E37" s="44">
        <v>1.827</v>
      </c>
      <c r="F37" s="44">
        <v>1.171</v>
      </c>
      <c r="G37">
        <f t="shared" si="3"/>
        <v>3.2252162427004807</v>
      </c>
      <c r="K37" s="45"/>
      <c r="L37" s="45"/>
      <c r="M37" s="45"/>
    </row>
    <row r="38" spans="1:13" x14ac:dyDescent="0.2">
      <c r="A38" s="44">
        <v>439.3</v>
      </c>
      <c r="B38" s="44">
        <v>2.21</v>
      </c>
      <c r="C38" s="44">
        <v>5.1859999999999999</v>
      </c>
      <c r="D38" s="44">
        <v>0.65839999999999999</v>
      </c>
      <c r="E38" s="44">
        <v>1.43</v>
      </c>
      <c r="F38" s="44">
        <v>1.014</v>
      </c>
      <c r="G38">
        <f t="shared" si="3"/>
        <v>2.7566054132008251</v>
      </c>
      <c r="K38" s="45"/>
      <c r="L38" s="45"/>
      <c r="M38" s="45"/>
    </row>
    <row r="39" spans="1:13" x14ac:dyDescent="0.2">
      <c r="A39" s="44">
        <v>473.7</v>
      </c>
      <c r="B39" s="44">
        <v>5.4260000000000002</v>
      </c>
      <c r="C39" s="44">
        <v>14.766999999999999</v>
      </c>
      <c r="D39" s="44">
        <v>0.68430000000000002</v>
      </c>
      <c r="E39" s="44">
        <v>3.5739999999999998</v>
      </c>
      <c r="F39" s="44">
        <v>0.88400000000000001</v>
      </c>
      <c r="G39">
        <f t="shared" si="3"/>
        <v>2.4205626181825304</v>
      </c>
      <c r="K39" s="45"/>
      <c r="L39" s="45"/>
      <c r="M39" s="45"/>
    </row>
    <row r="40" spans="1:13" x14ac:dyDescent="0.2">
      <c r="A40" s="44">
        <v>476.3</v>
      </c>
      <c r="B40" s="44">
        <v>2.3570000000000002</v>
      </c>
      <c r="C40" s="44">
        <v>2.7370000000000001</v>
      </c>
      <c r="D40" s="44">
        <v>0.27589999999999998</v>
      </c>
      <c r="E40" s="44">
        <v>0.67100000000000004</v>
      </c>
      <c r="F40" s="44">
        <v>0.88400000000000001</v>
      </c>
      <c r="G40">
        <f t="shared" si="3"/>
        <v>2.4205626181825304</v>
      </c>
      <c r="K40" s="45"/>
      <c r="L40" s="45"/>
      <c r="M40" s="45"/>
    </row>
    <row r="41" spans="1:13" x14ac:dyDescent="0.2">
      <c r="L41" s="45"/>
      <c r="M41" s="45"/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SPCE</vt:lpstr>
      <vt:lpstr>SPC</vt:lpstr>
      <vt:lpstr>MSPCE</vt:lpstr>
      <vt:lpstr>TIP4P2005</vt:lpstr>
      <vt:lpstr>Comparison</vt:lpstr>
      <vt:lpstr>TIP4P_densityies</vt:lpstr>
      <vt:lpstr>Vrabec_et_al_and_Rn_Mick_et_al</vt:lpstr>
      <vt:lpstr>Experimental_Nist</vt:lpstr>
      <vt:lpstr>Experimental_Crovetto_et_al</vt:lpstr>
      <vt:lpstr>Warr_et_al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Raha</dc:creator>
  <dc:description/>
  <cp:lastModifiedBy>Brad Crawford</cp:lastModifiedBy>
  <cp:revision>23</cp:revision>
  <dcterms:created xsi:type="dcterms:W3CDTF">2020-11-19T14:38:51Z</dcterms:created>
  <dcterms:modified xsi:type="dcterms:W3CDTF">2022-04-14T22:30:20Z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