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4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_rels/drawing5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vmlDrawing3.vml" ContentType="application/vnd.openxmlformats-officedocument.vmlDrawing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7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vmlDrawing4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comments5.xml" ContentType="application/vnd.openxmlformats-officedocument.spreadsheetml.comments+xml"/>
  <Override PartName="/xl/media/image2.wmf" ContentType="image/x-wmf"/>
  <Override PartName="/xl/comments4.xml" ContentType="application/vnd.openxmlformats-officedocument.spreadsheetml.comments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26.xml" ContentType="application/vnd.openxmlformats-officedocument.drawingml.chart+xml"/>
  <Override PartName="/xl/charts/chart18.xml" ContentType="application/vnd.openxmlformats-officedocument.drawingml.chart+xml"/>
  <Override PartName="/xl/charts/chart25.xml" ContentType="application/vnd.openxmlformats-officedocument.drawingml.chart+xml"/>
  <Override PartName="/xl/charts/chart17.xml" ContentType="application/vnd.openxmlformats-officedocument.drawingml.chart+xml"/>
  <Override PartName="/xl/charts/chart24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PCE" sheetId="1" state="visible" r:id="rId2"/>
    <sheet name="SPC" sheetId="2" state="visible" r:id="rId3"/>
    <sheet name="MSPCE" sheetId="3" state="visible" r:id="rId4"/>
    <sheet name="TIP4P2005" sheetId="4" state="visible" r:id="rId5"/>
    <sheet name="Comparison" sheetId="5" state="visible" r:id="rId6"/>
    <sheet name="TIP4P_densityies" sheetId="6" state="visible" r:id="rId7"/>
    <sheet name="Vrabec_et_al_and_Rn_Mick_et_al" sheetId="7" state="visible" r:id="rId8"/>
    <sheet name="Experimental_Nist" sheetId="8" state="visible" r:id="rId9"/>
    <sheet name="Experimental_Crovetto_et_al" sheetId="9" state="visible" r:id="rId10"/>
    <sheet name="Warr_et_a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https://aip.scitation.org/doi/pdf/10.1063/1.451846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http://physics.ujep.cz/~mlisal/mol_simul_21/mspce.pdf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https://aip.scitation.org/doi/pdf/10.1063/1.2121687</t>
        </r>
      </text>
    </commen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http://catalan.quim.ucm.es/namd/tip4p_2005_namd.tar.gz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https://pubs.acs.org/doi/10.1021/acs.jced.9b00565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Warr et al.</t>
        </r>
      </text>
    </comment>
    <comment ref="G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Mick et al.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Water model: TIP4P2005
Simulation tool ms2
NPT
864 particles 
rcut 15A
2E4 equilibration 
3E6 production cycle 
long range</t>
        </r>
      </text>
    </comment>
  </commentList>
</comments>
</file>

<file path=xl/sharedStrings.xml><?xml version="1.0" encoding="utf-8"?>
<sst xmlns="http://schemas.openxmlformats.org/spreadsheetml/2006/main" count="287" uniqueCount="65">
  <si>
    <t xml:space="preserve">TI_1(Kcal/mol)</t>
  </si>
  <si>
    <t xml:space="preserve">TI_2(Kcal/mol)</t>
  </si>
  <si>
    <t xml:space="preserve">TI_3(Kcal/mol)</t>
  </si>
  <si>
    <t xml:space="preserve">TI_4(Kcal/mol)</t>
  </si>
  <si>
    <t xml:space="preserve">TI_5(Kcal/mol)</t>
  </si>
  <si>
    <t xml:space="preserve">Average</t>
  </si>
  <si>
    <t xml:space="preserve">Experimental(Kcal/mol)</t>
  </si>
  <si>
    <t xml:space="preserve">NE</t>
  </si>
  <si>
    <t xml:space="preserve">AR</t>
  </si>
  <si>
    <t xml:space="preserve">KR</t>
  </si>
  <si>
    <t xml:space="preserve">XE</t>
  </si>
  <si>
    <t xml:space="preserve">RN</t>
  </si>
  <si>
    <t xml:space="preserve">SPCE</t>
  </si>
  <si>
    <t xml:space="preserve">SPC</t>
  </si>
  <si>
    <t xml:space="preserve">MSPCE</t>
  </si>
  <si>
    <t xml:space="preserve">TIP4P2005</t>
  </si>
  <si>
    <t xml:space="preserve">Experimental</t>
  </si>
  <si>
    <t xml:space="preserve">Vrabec KH</t>
  </si>
  <si>
    <t xml:space="preserve">Vrabec DeltaG(kcal/mol)</t>
  </si>
  <si>
    <t xml:space="preserve">c</t>
  </si>
  <si>
    <t xml:space="preserve">from paper</t>
  </si>
  <si>
    <t xml:space="preserve">T/K</t>
  </si>
  <si>
    <t xml:space="preserve">TIP4P/2005</t>
  </si>
  <si>
    <t xml:space="preserve">Expt.</t>
  </si>
  <si>
    <t xml:space="preserve">all x^4 poly</t>
  </si>
  <si>
    <t xml:space="preserve">all x^4 poly plus last value</t>
  </si>
  <si>
    <t xml:space="preserve">Density water (kg/m^3)</t>
  </si>
  <si>
    <t xml:space="preserve">Pressure (ba)r</t>
  </si>
  <si>
    <t xml:space="preserve">R (m^3*bar/(mol * K))</t>
  </si>
  <si>
    <t xml:space="preserve">kb (kcal/mol/K)</t>
  </si>
  <si>
    <t xml:space="preserve">Mw H2O (kg/mol)</t>
  </si>
  <si>
    <t xml:space="preserve">He</t>
  </si>
  <si>
    <t xml:space="preserve">calc std dev for pluss</t>
  </si>
  <si>
    <t xml:space="preserve">T_K</t>
  </si>
  <si>
    <t xml:space="preserve">TIP4P density (kg/m^3)</t>
  </si>
  <si>
    <t xml:space="preserve">H (Gpa)</t>
  </si>
  <si>
    <t xml:space="preserve">dH(dGpa) uncertanites</t>
  </si>
  <si>
    <t xml:space="preserve">H (bar *kg /mol)</t>
  </si>
  <si>
    <t xml:space="preserve">H_unitless</t>
  </si>
  <si>
    <t xml:space="preserve">dG (kcal/mol)</t>
  </si>
  <si>
    <t xml:space="preserve">ddG (kcal/mol)</t>
  </si>
  <si>
    <t xml:space="preserve">Ne</t>
  </si>
  <si>
    <t xml:space="preserve">Ar</t>
  </si>
  <si>
    <t xml:space="preserve">Kr</t>
  </si>
  <si>
    <t xml:space="preserve">Xe</t>
  </si>
  <si>
    <t xml:space="preserve">Rn (Mick et al)</t>
  </si>
  <si>
    <t xml:space="preserve">Temp</t>
  </si>
  <si>
    <t xml:space="preserve">kh0 (mol/(kg*bar))</t>
  </si>
  <si>
    <t xml:space="preserve">d(ln(Kn))/d(1/T) (K) at 298.15 K</t>
  </si>
  <si>
    <t xml:space="preserve">Temp (K)</t>
  </si>
  <si>
    <t xml:space="preserve">Kn (mol/(kg*bar))</t>
  </si>
  <si>
    <t xml:space="preserve">H (kg*bar/mol)</t>
  </si>
  <si>
    <t xml:space="preserve">H unitless</t>
  </si>
  <si>
    <t xml:space="preserve">Neon data</t>
  </si>
  <si>
    <t xml:space="preserve">Rn</t>
  </si>
  <si>
    <t xml:space="preserve">P ref (MPa)</t>
  </si>
  <si>
    <t xml:space="preserve">P_MPa</t>
  </si>
  <si>
    <t xml:space="preserve">x_times_10000</t>
  </si>
  <si>
    <t xml:space="preserve">y</t>
  </si>
  <si>
    <t xml:space="preserve">fx_MPa</t>
  </si>
  <si>
    <t xml:space="preserve">ln_kh_per_Gpa</t>
  </si>
  <si>
    <t xml:space="preserve">kh_GPa</t>
  </si>
  <si>
    <t xml:space="preserve">1. 940</t>
  </si>
  <si>
    <t xml:space="preserve">Pressure at 1 atm</t>
  </si>
  <si>
    <t xml:space="preserve">Partion coeff kh_MPa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</si>
</sst>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"/>
    <numFmt numFmtId="167" formatCode="#,##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595959"/>
      <name val="Calibri"/>
      <family val="2"/>
    </font>
    <font>
      <sz val="9"/>
      <color rgb="FF595959"/>
      <name val="Calibri"/>
      <family val="2"/>
    </font>
    <font>
      <sz val="12"/>
      <color rgb="FF000000"/>
      <name val="Arial"/>
      <family val="2"/>
      <charset val="1"/>
    </font>
    <font>
      <sz val="10"/>
      <name val="Arial"/>
      <family val="2"/>
    </font>
    <font>
      <sz val="14"/>
      <color rgb="FF595959"/>
      <name val="Arial"/>
      <family val="2"/>
    </font>
    <font>
      <sz val="16"/>
      <color rgb="FF595959"/>
      <name val="Arial"/>
      <family val="2"/>
    </font>
    <font>
      <sz val="14"/>
      <color rgb="FF595959"/>
      <name val="Calibri"/>
      <family val="2"/>
    </font>
    <font>
      <sz val="11"/>
      <color rgb="FFFF0000"/>
      <name val="Calibri"/>
      <family val="2"/>
      <charset val="1"/>
    </font>
    <font>
      <sz val="9"/>
      <color rgb="FF000000"/>
      <name val="Times New Roman"/>
      <family val="1"/>
      <charset val="1"/>
    </font>
  </fonts>
  <fills count="17">
    <fill>
      <patternFill patternType="none"/>
    </fill>
    <fill>
      <patternFill patternType="gray125"/>
    </fill>
    <fill>
      <patternFill patternType="solid">
        <fgColor rgb="FFB4C7E7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D9D9D9"/>
      </patternFill>
    </fill>
    <fill>
      <patternFill patternType="solid">
        <fgColor rgb="FFE7E6E6"/>
        <bgColor rgb="FFDBDBDB"/>
      </patternFill>
    </fill>
    <fill>
      <patternFill patternType="solid">
        <fgColor rgb="FF7F7F7F"/>
        <bgColor rgb="FF595959"/>
      </patternFill>
    </fill>
    <fill>
      <patternFill patternType="solid">
        <fgColor rgb="FF00B0F0"/>
        <bgColor rgb="FF008080"/>
      </patternFill>
    </fill>
    <fill>
      <patternFill patternType="solid">
        <fgColor rgb="FF00A933"/>
        <bgColor rgb="FF00B050"/>
      </patternFill>
    </fill>
    <fill>
      <patternFill patternType="solid">
        <fgColor rgb="FFAFABAB"/>
        <bgColor rgb="FFAEAAAA"/>
      </patternFill>
    </fill>
    <fill>
      <patternFill patternType="solid">
        <fgColor rgb="FFFFFFFF"/>
        <bgColor rgb="FFE7E6E6"/>
      </patternFill>
    </fill>
    <fill>
      <patternFill patternType="solid">
        <fgColor rgb="FFAEAAAA"/>
        <bgColor rgb="FFAFABAB"/>
      </patternFill>
    </fill>
    <fill>
      <patternFill patternType="solid">
        <fgColor rgb="FFD0CECE"/>
        <bgColor rgb="FFD9D9D9"/>
      </patternFill>
    </fill>
    <fill>
      <patternFill patternType="solid">
        <fgColor rgb="FF8FAADC"/>
        <bgColor rgb="FFA5A5A5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A933"/>
      <rgbColor rgb="FF000080"/>
      <rgbColor rgb="FF70AD47"/>
      <rgbColor rgb="FF800080"/>
      <rgbColor rgb="FF008080"/>
      <rgbColor rgb="FFBFBFBF"/>
      <rgbColor rgb="FF7F7F7F"/>
      <rgbColor rgb="FF8FAADC"/>
      <rgbColor rgb="FF993366"/>
      <rgbColor rgb="FFE7E6E6"/>
      <rgbColor rgb="FFDBDBDB"/>
      <rgbColor rgb="FF660066"/>
      <rgbColor rgb="FFAEAAAA"/>
      <rgbColor rgb="FF0066CC"/>
      <rgbColor rgb="FFBDD7EE"/>
      <rgbColor rgb="FF000080"/>
      <rgbColor rgb="FFFF00FF"/>
      <rgbColor rgb="FFD0CECE"/>
      <rgbColor rgb="FF00FFFF"/>
      <rgbColor rgb="FF800080"/>
      <rgbColor rgb="FF800000"/>
      <rgbColor rgb="FF008080"/>
      <rgbColor rgb="FF0000FF"/>
      <rgbColor rgb="FF00B0F0"/>
      <rgbColor rgb="FFD9D9D9"/>
      <rgbColor rgb="FFC5E0B4"/>
      <rgbColor rgb="FFFFE699"/>
      <rgbColor rgb="FFB4C7E7"/>
      <rgbColor rgb="FFB3B3B3"/>
      <rgbColor rgb="FFAFABAB"/>
      <rgbColor rgb="FFF8CBAD"/>
      <rgbColor rgb="FF4472C4"/>
      <rgbColor rgb="FF5B9BD5"/>
      <rgbColor rgb="FF92D050"/>
      <rgbColor rgb="FFFFC000"/>
      <rgbColor rgb="FFFF9900"/>
      <rgbColor rgb="FFED7D31"/>
      <rgbColor rgb="FF595959"/>
      <rgbColor rgb="FFA5A5A5"/>
      <rgbColor rgb="FF004586"/>
      <rgbColor rgb="FF00B050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595959"/>
                </a:solidFill>
                <a:latin typeface="Calibri"/>
              </a:rPr>
              <a:t>Free Energy of Hydration of Noble Gases_SPCE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SPCE!$B$1</c:f>
              <c:strCache>
                <c:ptCount val="1"/>
                <c:pt idx="0">
                  <c:v>TI_1(Kcal/mol)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SPCE!$B$2:$B$6</c:f>
              <c:numCache>
                <c:formatCode>General</c:formatCode>
                <c:ptCount val="5"/>
                <c:pt idx="0">
                  <c:v>1.825</c:v>
                </c:pt>
                <c:pt idx="1">
                  <c:v>1.49</c:v>
                </c:pt>
                <c:pt idx="2">
                  <c:v>1.07</c:v>
                </c:pt>
                <c:pt idx="3">
                  <c:v>0.82</c:v>
                </c:pt>
                <c:pt idx="4">
                  <c:v>-0.05</c:v>
                </c:pt>
              </c:numCache>
            </c:numRef>
          </c:val>
        </c:ser>
        <c:ser>
          <c:idx val="1"/>
          <c:order val="1"/>
          <c:tx>
            <c:strRef>
              <c:f>SPCE!$C$1</c:f>
              <c:strCache>
                <c:ptCount val="1"/>
                <c:pt idx="0">
                  <c:v>TI_2(Kcal/mol)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SPCE!$C$2:$C$6</c:f>
              <c:numCache>
                <c:formatCode>General</c:formatCode>
                <c:ptCount val="5"/>
                <c:pt idx="0">
                  <c:v>1.81</c:v>
                </c:pt>
                <c:pt idx="1">
                  <c:v>1.625</c:v>
                </c:pt>
                <c:pt idx="2">
                  <c:v>1.45</c:v>
                </c:pt>
                <c:pt idx="3">
                  <c:v>0.83</c:v>
                </c:pt>
                <c:pt idx="4">
                  <c:v>-0.09</c:v>
                </c:pt>
              </c:numCache>
            </c:numRef>
          </c:val>
        </c:ser>
        <c:ser>
          <c:idx val="2"/>
          <c:order val="2"/>
          <c:tx>
            <c:strRef>
              <c:f>SPCE!$D$1</c:f>
              <c:strCache>
                <c:ptCount val="1"/>
                <c:pt idx="0">
                  <c:v>TI_3(Kcal/mol)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SPCE!$D$2:$D$6</c:f>
              <c:numCache>
                <c:formatCode>General</c:formatCode>
                <c:ptCount val="5"/>
                <c:pt idx="0">
                  <c:v>1.832</c:v>
                </c:pt>
                <c:pt idx="1">
                  <c:v>1.56</c:v>
                </c:pt>
                <c:pt idx="2">
                  <c:v>1.17</c:v>
                </c:pt>
                <c:pt idx="3">
                  <c:v>0.83</c:v>
                </c:pt>
                <c:pt idx="4">
                  <c:v>0.37</c:v>
                </c:pt>
              </c:numCache>
            </c:numRef>
          </c:val>
        </c:ser>
        <c:ser>
          <c:idx val="3"/>
          <c:order val="3"/>
          <c:tx>
            <c:strRef>
              <c:f>SPCE!$E$1</c:f>
              <c:strCache>
                <c:ptCount val="1"/>
                <c:pt idx="0">
                  <c:v>TI_4(Kcal/mol)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SPCE!$E$2:$E$6</c:f>
              <c:numCache>
                <c:formatCode>General</c:formatCode>
                <c:ptCount val="5"/>
                <c:pt idx="0">
                  <c:v>1.862</c:v>
                </c:pt>
                <c:pt idx="1">
                  <c:v>1.52</c:v>
                </c:pt>
                <c:pt idx="2">
                  <c:v>1.15</c:v>
                </c:pt>
                <c:pt idx="3">
                  <c:v>0.99</c:v>
                </c:pt>
                <c:pt idx="4">
                  <c:v>0.21</c:v>
                </c:pt>
              </c:numCache>
            </c:numRef>
          </c:val>
        </c:ser>
        <c:ser>
          <c:idx val="4"/>
          <c:order val="4"/>
          <c:tx>
            <c:strRef>
              <c:f>SPCE!$F$1</c:f>
              <c:strCache>
                <c:ptCount val="1"/>
                <c:pt idx="0">
                  <c:v>TI_5(Kcal/mol)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SPCE!$F$2:$F$6</c:f>
              <c:numCache>
                <c:formatCode>General</c:formatCode>
                <c:ptCount val="5"/>
                <c:pt idx="0">
                  <c:v>1.835</c:v>
                </c:pt>
                <c:pt idx="1">
                  <c:v>1.575</c:v>
                </c:pt>
                <c:pt idx="2">
                  <c:v>1.1</c:v>
                </c:pt>
                <c:pt idx="3">
                  <c:v>0.88</c:v>
                </c:pt>
                <c:pt idx="4">
                  <c:v>0.18</c:v>
                </c:pt>
              </c:numCache>
            </c:numRef>
          </c:val>
        </c:ser>
        <c:ser>
          <c:idx val="5"/>
          <c:order val="5"/>
          <c:tx>
            <c:strRef>
              <c:f>SPCE!$H$1</c:f>
              <c:strCache>
                <c:ptCount val="1"/>
                <c:pt idx="0">
                  <c:v>Experimental(Kcal/mol)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SPCE!$H$2:$H$6</c:f>
              <c:numCache>
                <c:formatCode>General</c:formatCode>
                <c:ptCount val="5"/>
                <c:pt idx="0">
                  <c:v>2.477536196</c:v>
                </c:pt>
                <c:pt idx="1">
                  <c:v>1.9867612756</c:v>
                </c:pt>
                <c:pt idx="2">
                  <c:v>1.662525736</c:v>
                </c:pt>
                <c:pt idx="3">
                  <c:v>1.447420336</c:v>
                </c:pt>
              </c:numCache>
            </c:numRef>
          </c:val>
        </c:ser>
        <c:gapWidth val="219"/>
        <c:overlap val="-27"/>
        <c:axId val="42812708"/>
        <c:axId val="7077879"/>
      </c:barChart>
      <c:catAx>
        <c:axId val="428127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77879"/>
        <c:crosses val="autoZero"/>
        <c:auto val="1"/>
        <c:lblAlgn val="ctr"/>
        <c:lblOffset val="100"/>
        <c:noMultiLvlLbl val="0"/>
      </c:catAx>
      <c:valAx>
        <c:axId val="70778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81270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595959"/>
                </a:solidFill>
                <a:latin typeface="Calibri"/>
              </a:rPr>
              <a:t>Free Energy of Hydration of Noble Gases_SPC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SPC!$B$1</c:f>
              <c:strCache>
                <c:ptCount val="1"/>
                <c:pt idx="0">
                  <c:v>TI_1(Kcal/mol)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SPC!$A$2:$A$6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SPC!$B$2:$B$6</c:f>
              <c:numCache>
                <c:formatCode>General</c:formatCode>
                <c:ptCount val="5"/>
                <c:pt idx="0">
                  <c:v>1.93</c:v>
                </c:pt>
                <c:pt idx="1">
                  <c:v>1.75</c:v>
                </c:pt>
                <c:pt idx="2">
                  <c:v>1.62</c:v>
                </c:pt>
                <c:pt idx="3">
                  <c:v>1.18</c:v>
                </c:pt>
                <c:pt idx="4">
                  <c:v>0.41</c:v>
                </c:pt>
              </c:numCache>
            </c:numRef>
          </c:val>
        </c:ser>
        <c:ser>
          <c:idx val="1"/>
          <c:order val="1"/>
          <c:tx>
            <c:strRef>
              <c:f>SPC!$C$1</c:f>
              <c:strCache>
                <c:ptCount val="1"/>
                <c:pt idx="0">
                  <c:v>TI_2(Kcal/mol)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SPC!$A$2:$A$6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SPC!$C$2:$C$6</c:f>
              <c:numCache>
                <c:formatCode>General</c:formatCode>
                <c:ptCount val="5"/>
                <c:pt idx="0">
                  <c:v>1.95</c:v>
                </c:pt>
                <c:pt idx="1">
                  <c:v>1.73</c:v>
                </c:pt>
                <c:pt idx="2">
                  <c:v>1.45</c:v>
                </c:pt>
                <c:pt idx="3">
                  <c:v>1.15</c:v>
                </c:pt>
                <c:pt idx="4">
                  <c:v>0.9</c:v>
                </c:pt>
              </c:numCache>
            </c:numRef>
          </c:val>
        </c:ser>
        <c:ser>
          <c:idx val="2"/>
          <c:order val="2"/>
          <c:tx>
            <c:strRef>
              <c:f>SPC!$D$1</c:f>
              <c:strCache>
                <c:ptCount val="1"/>
                <c:pt idx="0">
                  <c:v>TI_3(Kcal/mol)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SPC!$A$2:$A$6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SPC!$D$2:$D$6</c:f>
              <c:numCache>
                <c:formatCode>General</c:formatCode>
                <c:ptCount val="5"/>
                <c:pt idx="0">
                  <c:v>1.97</c:v>
                </c:pt>
                <c:pt idx="1">
                  <c:v>1.87</c:v>
                </c:pt>
                <c:pt idx="2">
                  <c:v>1.52</c:v>
                </c:pt>
                <c:pt idx="3">
                  <c:v>1.18</c:v>
                </c:pt>
                <c:pt idx="4">
                  <c:v>0.55</c:v>
                </c:pt>
              </c:numCache>
            </c:numRef>
          </c:val>
        </c:ser>
        <c:ser>
          <c:idx val="3"/>
          <c:order val="3"/>
          <c:tx>
            <c:strRef>
              <c:f>SPC!$E$1</c:f>
              <c:strCache>
                <c:ptCount val="1"/>
                <c:pt idx="0">
                  <c:v>TI_4(Kcal/mol)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SPC!$A$2:$A$6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SPC!$E$2:$E$6</c:f>
              <c:numCache>
                <c:formatCode>General</c:formatCode>
                <c:ptCount val="5"/>
                <c:pt idx="0">
                  <c:v>1.96</c:v>
                </c:pt>
                <c:pt idx="1">
                  <c:v>1.81</c:v>
                </c:pt>
                <c:pt idx="2">
                  <c:v>1.7</c:v>
                </c:pt>
                <c:pt idx="3">
                  <c:v>1.5</c:v>
                </c:pt>
                <c:pt idx="4">
                  <c:v>0.45</c:v>
                </c:pt>
              </c:numCache>
            </c:numRef>
          </c:val>
        </c:ser>
        <c:ser>
          <c:idx val="4"/>
          <c:order val="4"/>
          <c:tx>
            <c:strRef>
              <c:f>SPC!$F$1</c:f>
              <c:strCache>
                <c:ptCount val="1"/>
                <c:pt idx="0">
                  <c:v>TI_5(Kcal/mol)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SPC!$A$2:$A$6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SPC!$F$2:$F$6</c:f>
              <c:numCache>
                <c:formatCode>General</c:formatCode>
                <c:ptCount val="5"/>
                <c:pt idx="0">
                  <c:v>1.95</c:v>
                </c:pt>
                <c:pt idx="1">
                  <c:v>1.9</c:v>
                </c:pt>
                <c:pt idx="2">
                  <c:v>1.61</c:v>
                </c:pt>
                <c:pt idx="3">
                  <c:v>1.1</c:v>
                </c:pt>
                <c:pt idx="4">
                  <c:v>0.45</c:v>
                </c:pt>
              </c:numCache>
            </c:numRef>
          </c:val>
        </c:ser>
        <c:ser>
          <c:idx val="5"/>
          <c:order val="5"/>
          <c:tx>
            <c:strRef>
              <c:f>SPC!$H$1</c:f>
              <c:strCache>
                <c:ptCount val="1"/>
                <c:pt idx="0">
                  <c:v>Experimental(Kcal/mol)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SPC!$A$2:$A$6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SPC!$H$2:$H$6</c:f>
              <c:numCache>
                <c:formatCode>General</c:formatCode>
                <c:ptCount val="5"/>
                <c:pt idx="0">
                  <c:v>2.477536196</c:v>
                </c:pt>
                <c:pt idx="1">
                  <c:v>1.9867612756</c:v>
                </c:pt>
                <c:pt idx="2">
                  <c:v>1.662525736</c:v>
                </c:pt>
                <c:pt idx="3">
                  <c:v>1.447420336</c:v>
                </c:pt>
              </c:numCache>
            </c:numRef>
          </c:val>
        </c:ser>
        <c:gapWidth val="219"/>
        <c:overlap val="-27"/>
        <c:axId val="31683220"/>
        <c:axId val="32839871"/>
      </c:barChart>
      <c:catAx>
        <c:axId val="316832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839871"/>
        <c:crosses val="autoZero"/>
        <c:auto val="1"/>
        <c:lblAlgn val="ctr"/>
        <c:lblOffset val="100"/>
        <c:noMultiLvlLbl val="0"/>
      </c:catAx>
      <c:valAx>
        <c:axId val="328398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68322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595959"/>
                </a:solidFill>
                <a:latin typeface="Calibri"/>
              </a:rPr>
              <a:t>Free Energy of Hydration of Noble Gases_MSPCE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MSPCE!$B$1</c:f>
              <c:strCache>
                <c:ptCount val="1"/>
                <c:pt idx="0">
                  <c:v>TI_1(Kcal/mol)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MSPCE!$B$2:$B$6</c:f>
              <c:numCache>
                <c:formatCode>General</c:formatCode>
                <c:ptCount val="5"/>
                <c:pt idx="0">
                  <c:v>1.96</c:v>
                </c:pt>
                <c:pt idx="1">
                  <c:v>1.84</c:v>
                </c:pt>
                <c:pt idx="2">
                  <c:v>1.48</c:v>
                </c:pt>
                <c:pt idx="3">
                  <c:v>1.12</c:v>
                </c:pt>
                <c:pt idx="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MSPCE!$C$1</c:f>
              <c:strCache>
                <c:ptCount val="1"/>
                <c:pt idx="0">
                  <c:v>TI_2(Kcal/mol)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MSPCE!$C$2:$C$6</c:f>
              <c:numCache>
                <c:formatCode>General</c:formatCode>
                <c:ptCount val="5"/>
                <c:pt idx="0">
                  <c:v>1.81</c:v>
                </c:pt>
                <c:pt idx="1">
                  <c:v>1.57</c:v>
                </c:pt>
                <c:pt idx="2">
                  <c:v>1.2</c:v>
                </c:pt>
                <c:pt idx="3">
                  <c:v>1.07</c:v>
                </c:pt>
                <c:pt idx="4">
                  <c:v>-0.17</c:v>
                </c:pt>
              </c:numCache>
            </c:numRef>
          </c:val>
        </c:ser>
        <c:ser>
          <c:idx val="2"/>
          <c:order val="2"/>
          <c:tx>
            <c:strRef>
              <c:f>MSPCE!$D$1</c:f>
              <c:strCache>
                <c:ptCount val="1"/>
                <c:pt idx="0">
                  <c:v>TI_3(Kcal/mol)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MSPCE!$D$2:$D$6</c:f>
              <c:numCache>
                <c:formatCode>General</c:formatCode>
                <c:ptCount val="5"/>
                <c:pt idx="0">
                  <c:v>1.8</c:v>
                </c:pt>
                <c:pt idx="1">
                  <c:v>1.66</c:v>
                </c:pt>
                <c:pt idx="2">
                  <c:v>1.34</c:v>
                </c:pt>
                <c:pt idx="3">
                  <c:v>0.95</c:v>
                </c:pt>
                <c:pt idx="4">
                  <c:v>-0.15</c:v>
                </c:pt>
              </c:numCache>
            </c:numRef>
          </c:val>
        </c:ser>
        <c:ser>
          <c:idx val="3"/>
          <c:order val="3"/>
          <c:tx>
            <c:strRef>
              <c:f>MSPCE!$E$1</c:f>
              <c:strCache>
                <c:ptCount val="1"/>
                <c:pt idx="0">
                  <c:v>TI_4(Kcal/mol)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MSPCE!$E$2:$E$6</c:f>
              <c:numCache>
                <c:formatCode>General</c:formatCode>
                <c:ptCount val="5"/>
                <c:pt idx="0">
                  <c:v>1.84</c:v>
                </c:pt>
                <c:pt idx="1">
                  <c:v>1.58</c:v>
                </c:pt>
                <c:pt idx="2">
                  <c:v>1.1</c:v>
                </c:pt>
                <c:pt idx="3">
                  <c:v>0.83</c:v>
                </c:pt>
                <c:pt idx="4">
                  <c:v>0.2</c:v>
                </c:pt>
              </c:numCache>
            </c:numRef>
          </c:val>
        </c:ser>
        <c:ser>
          <c:idx val="4"/>
          <c:order val="4"/>
          <c:tx>
            <c:strRef>
              <c:f>MSPCE!$F$1</c:f>
              <c:strCache>
                <c:ptCount val="1"/>
                <c:pt idx="0">
                  <c:v>TI_5(Kcal/mol)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MSPCE!$F$2:$F$6</c:f>
              <c:numCache>
                <c:formatCode>General</c:formatCode>
                <c:ptCount val="5"/>
                <c:pt idx="0">
                  <c:v>1.82</c:v>
                </c:pt>
                <c:pt idx="1">
                  <c:v>1.5</c:v>
                </c:pt>
                <c:pt idx="2">
                  <c:v>1.09</c:v>
                </c:pt>
                <c:pt idx="3">
                  <c:v>0.81</c:v>
                </c:pt>
                <c:pt idx="4">
                  <c:v>-0.06</c:v>
                </c:pt>
              </c:numCache>
            </c:numRef>
          </c:val>
        </c:ser>
        <c:ser>
          <c:idx val="5"/>
          <c:order val="5"/>
          <c:tx>
            <c:strRef>
              <c:f>MSPCE!$H$1</c:f>
              <c:strCache>
                <c:ptCount val="1"/>
                <c:pt idx="0">
                  <c:v>Experimental(Kcal/mol)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MSPCE!$A$2:$A$6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MSPCE!$H$2:$H$6</c:f>
              <c:numCache>
                <c:formatCode>General</c:formatCode>
                <c:ptCount val="5"/>
                <c:pt idx="0">
                  <c:v>2.477536196</c:v>
                </c:pt>
                <c:pt idx="1">
                  <c:v>1.9867612756</c:v>
                </c:pt>
                <c:pt idx="2">
                  <c:v>1.662525736</c:v>
                </c:pt>
                <c:pt idx="3">
                  <c:v>1.447420336</c:v>
                </c:pt>
              </c:numCache>
            </c:numRef>
          </c:val>
        </c:ser>
        <c:gapWidth val="219"/>
        <c:overlap val="-27"/>
        <c:axId val="47981716"/>
        <c:axId val="7797146"/>
      </c:barChart>
      <c:catAx>
        <c:axId val="479817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97146"/>
        <c:crosses val="autoZero"/>
        <c:auto val="1"/>
        <c:lblAlgn val="ctr"/>
        <c:lblOffset val="100"/>
        <c:noMultiLvlLbl val="0"/>
      </c:catAx>
      <c:valAx>
        <c:axId val="77971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98171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595959"/>
                </a:solidFill>
                <a:latin typeface="Calibri"/>
              </a:rPr>
              <a:t>Free Energy of Hydration of Noble Gases_TIP4P2005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TIP4P2005!$B$1</c:f>
              <c:strCache>
                <c:ptCount val="1"/>
                <c:pt idx="0">
                  <c:v>TI_1(Kcal/mol)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TIP4P2005!$A$2:$A$6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TIP4P2005!$B$2:$B$6</c:f>
              <c:numCache>
                <c:formatCode>General</c:formatCode>
                <c:ptCount val="5"/>
                <c:pt idx="0">
                  <c:v>1.84</c:v>
                </c:pt>
                <c:pt idx="1">
                  <c:v>1.91</c:v>
                </c:pt>
                <c:pt idx="2">
                  <c:v>1.45</c:v>
                </c:pt>
                <c:pt idx="3">
                  <c:v>1.11</c:v>
                </c:pt>
                <c:pt idx="4">
                  <c:v>-0.09</c:v>
                </c:pt>
              </c:numCache>
            </c:numRef>
          </c:val>
        </c:ser>
        <c:ser>
          <c:idx val="1"/>
          <c:order val="1"/>
          <c:tx>
            <c:strRef>
              <c:f>TIP4P2005!$C$1</c:f>
              <c:strCache>
                <c:ptCount val="1"/>
                <c:pt idx="0">
                  <c:v>TI_2(Kcal/mol)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TIP4P2005!$A$2:$A$6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TIP4P2005!$C$2:$C$6</c:f>
              <c:numCache>
                <c:formatCode>General</c:formatCode>
                <c:ptCount val="5"/>
                <c:pt idx="0">
                  <c:v>1.86</c:v>
                </c:pt>
                <c:pt idx="1">
                  <c:v>1.56</c:v>
                </c:pt>
                <c:pt idx="2">
                  <c:v>1.16</c:v>
                </c:pt>
                <c:pt idx="3">
                  <c:v>1.2</c:v>
                </c:pt>
                <c:pt idx="4">
                  <c:v>0.36</c:v>
                </c:pt>
              </c:numCache>
            </c:numRef>
          </c:val>
        </c:ser>
        <c:ser>
          <c:idx val="2"/>
          <c:order val="2"/>
          <c:tx>
            <c:strRef>
              <c:f>TIP4P2005!$D$1</c:f>
              <c:strCache>
                <c:ptCount val="1"/>
                <c:pt idx="0">
                  <c:v>TI_3(Kcal/mol)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TIP4P2005!$A$2:$A$6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TIP4P2005!$D$2:$D$6</c:f>
              <c:numCache>
                <c:formatCode>General</c:formatCode>
                <c:ptCount val="5"/>
                <c:pt idx="0">
                  <c:v>1.93</c:v>
                </c:pt>
                <c:pt idx="1">
                  <c:v>1.81</c:v>
                </c:pt>
                <c:pt idx="2">
                  <c:v>1.63</c:v>
                </c:pt>
                <c:pt idx="3">
                  <c:v>0.85</c:v>
                </c:pt>
                <c:pt idx="4">
                  <c:v>0.4</c:v>
                </c:pt>
              </c:numCache>
            </c:numRef>
          </c:val>
        </c:ser>
        <c:ser>
          <c:idx val="3"/>
          <c:order val="3"/>
          <c:tx>
            <c:strRef>
              <c:f>TIP4P2005!$E$1</c:f>
              <c:strCache>
                <c:ptCount val="1"/>
                <c:pt idx="0">
                  <c:v>TI_4(Kcal/mol)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TIP4P2005!$A$2:$A$6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TIP4P2005!$E$2:$E$6</c:f>
              <c:numCache>
                <c:formatCode>General</c:formatCode>
                <c:ptCount val="5"/>
                <c:pt idx="0">
                  <c:v>1.98</c:v>
                </c:pt>
                <c:pt idx="1">
                  <c:v>1.75</c:v>
                </c:pt>
                <c:pt idx="2">
                  <c:v>1.61</c:v>
                </c:pt>
                <c:pt idx="3">
                  <c:v>0.83</c:v>
                </c:pt>
                <c:pt idx="4">
                  <c:v>0.55</c:v>
                </c:pt>
              </c:numCache>
            </c:numRef>
          </c:val>
        </c:ser>
        <c:ser>
          <c:idx val="4"/>
          <c:order val="4"/>
          <c:tx>
            <c:strRef>
              <c:f>TIP4P2005!$F$1</c:f>
              <c:strCache>
                <c:ptCount val="1"/>
                <c:pt idx="0">
                  <c:v>TI_5(Kcal/mol)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TIP4P2005!$A$2:$A$6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TIP4P2005!$F$2:$F$6</c:f>
              <c:numCache>
                <c:formatCode>General</c:formatCode>
                <c:ptCount val="5"/>
                <c:pt idx="0">
                  <c:v>1.97</c:v>
                </c:pt>
                <c:pt idx="1">
                  <c:v>1.63</c:v>
                </c:pt>
                <c:pt idx="2">
                  <c:v>1.51</c:v>
                </c:pt>
                <c:pt idx="3">
                  <c:v>1.2</c:v>
                </c:pt>
                <c:pt idx="4">
                  <c:v>0.43</c:v>
                </c:pt>
              </c:numCache>
            </c:numRef>
          </c:val>
        </c:ser>
        <c:ser>
          <c:idx val="5"/>
          <c:order val="5"/>
          <c:tx>
            <c:strRef>
              <c:f>TIP4P2005!$H$1</c:f>
              <c:strCache>
                <c:ptCount val="1"/>
                <c:pt idx="0">
                  <c:v>Experimental(Kcal/mol)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TIP4P2005!$A$2:$A$6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TIP4P2005!$H$2:$H$6</c:f>
              <c:numCache>
                <c:formatCode>General</c:formatCode>
                <c:ptCount val="5"/>
                <c:pt idx="0">
                  <c:v>2.477536196</c:v>
                </c:pt>
                <c:pt idx="1">
                  <c:v>1.9867612756</c:v>
                </c:pt>
                <c:pt idx="2">
                  <c:v>1.662525736</c:v>
                </c:pt>
                <c:pt idx="3">
                  <c:v>1.447420336</c:v>
                </c:pt>
              </c:numCache>
            </c:numRef>
          </c:val>
        </c:ser>
        <c:gapWidth val="219"/>
        <c:overlap val="-27"/>
        <c:axId val="26540104"/>
        <c:axId val="8320622"/>
      </c:barChart>
      <c:catAx>
        <c:axId val="2654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20622"/>
        <c:crosses val="autoZero"/>
        <c:auto val="1"/>
        <c:lblAlgn val="ctr"/>
        <c:lblOffset val="100"/>
        <c:noMultiLvlLbl val="0"/>
      </c:catAx>
      <c:valAx>
        <c:axId val="83206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54010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595959"/>
                </a:solidFill>
                <a:latin typeface="Calibri"/>
              </a:rPr>
              <a:t>Free Energy of Hydration of Noble Gases</a:t>
            </a:r>
          </a:p>
        </c:rich>
      </c:tx>
      <c:layout>
        <c:manualLayout>
          <c:xMode val="edge"/>
          <c:yMode val="edge"/>
          <c:x val="0.0590506742707776"/>
          <c:y val="0.0929967013448363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SPCE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Comparison!$A$2:$A$6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Comparison!$B$2:$B$6</c:f>
              <c:numCache>
                <c:formatCode>General</c:formatCode>
                <c:ptCount val="5"/>
                <c:pt idx="0">
                  <c:v>1.8328</c:v>
                </c:pt>
                <c:pt idx="1">
                  <c:v>1.554</c:v>
                </c:pt>
                <c:pt idx="2">
                  <c:v>1.188</c:v>
                </c:pt>
                <c:pt idx="3">
                  <c:v>0.87</c:v>
                </c:pt>
                <c:pt idx="4">
                  <c:v>0.124</c:v>
                </c:pt>
              </c:numCache>
            </c:numRef>
          </c:val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SPC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Comparison!$A$2:$A$6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Comparison!$C$2:$C$6</c:f>
              <c:numCache>
                <c:formatCode>General</c:formatCode>
                <c:ptCount val="5"/>
                <c:pt idx="0">
                  <c:v>1.952</c:v>
                </c:pt>
                <c:pt idx="1">
                  <c:v>1.812</c:v>
                </c:pt>
                <c:pt idx="2">
                  <c:v>1.58</c:v>
                </c:pt>
                <c:pt idx="3">
                  <c:v>1.222</c:v>
                </c:pt>
                <c:pt idx="4">
                  <c:v>0.552</c:v>
                </c:pt>
              </c:numCache>
            </c:numRef>
          </c:val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MSPCE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Comparison!$A$2:$A$6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Comparison!$D$2:$D$6</c:f>
              <c:numCache>
                <c:formatCode>General</c:formatCode>
                <c:ptCount val="5"/>
                <c:pt idx="0">
                  <c:v>1.846</c:v>
                </c:pt>
                <c:pt idx="1">
                  <c:v>1.63</c:v>
                </c:pt>
                <c:pt idx="2">
                  <c:v>1.242</c:v>
                </c:pt>
                <c:pt idx="3">
                  <c:v>0.956</c:v>
                </c:pt>
                <c:pt idx="4">
                  <c:v>0.066</c:v>
                </c:pt>
              </c:numCache>
            </c:numRef>
          </c:val>
        </c:ser>
        <c:ser>
          <c:idx val="3"/>
          <c:order val="3"/>
          <c:tx>
            <c:strRef>
              <c:f>Comparison!$E$1</c:f>
              <c:strCache>
                <c:ptCount val="1"/>
                <c:pt idx="0">
                  <c:v>TIP4P2005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Comparison!$A$2:$A$6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Comparison!$E$2:$E$6</c:f>
              <c:numCache>
                <c:formatCode>General</c:formatCode>
                <c:ptCount val="5"/>
                <c:pt idx="0">
                  <c:v>1.916</c:v>
                </c:pt>
                <c:pt idx="1">
                  <c:v>1.732</c:v>
                </c:pt>
                <c:pt idx="2">
                  <c:v>1.472</c:v>
                </c:pt>
                <c:pt idx="3">
                  <c:v>1.038</c:v>
                </c:pt>
                <c:pt idx="4">
                  <c:v>0.33</c:v>
                </c:pt>
              </c:numCache>
            </c:numRef>
          </c:val>
        </c:ser>
        <c:ser>
          <c:idx val="4"/>
          <c:order val="4"/>
          <c:tx>
            <c:strRef>
              <c:f>Comparison!$F$1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Comparison!$A$2:$A$6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Comparison!$F$2:$F$6</c:f>
              <c:numCache>
                <c:formatCode>General</c:formatCode>
                <c:ptCount val="5"/>
                <c:pt idx="0">
                  <c:v>2.477536196</c:v>
                </c:pt>
                <c:pt idx="1">
                  <c:v>1.9867612756</c:v>
                </c:pt>
                <c:pt idx="2">
                  <c:v>1.662525736</c:v>
                </c:pt>
                <c:pt idx="3">
                  <c:v>1.447420336</c:v>
                </c:pt>
              </c:numCache>
            </c:numRef>
          </c:val>
        </c:ser>
        <c:ser>
          <c:idx val="5"/>
          <c:order val="5"/>
          <c:tx>
            <c:strRef>
              <c:f>Comparison!$H$1</c:f>
              <c:strCache>
                <c:ptCount val="1"/>
                <c:pt idx="0">
                  <c:v>Vrabec DeltaG(kcal/mol)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Comparison!$A$2:$A$6</c:f>
              <c:strCache>
                <c:ptCount val="5"/>
                <c:pt idx="0">
                  <c:v>NE</c:v>
                </c:pt>
                <c:pt idx="1">
                  <c:v>AR</c:v>
                </c:pt>
                <c:pt idx="2">
                  <c:v>KR</c:v>
                </c:pt>
                <c:pt idx="3">
                  <c:v>XE</c:v>
                </c:pt>
                <c:pt idx="4">
                  <c:v>RN</c:v>
                </c:pt>
              </c:strCache>
            </c:strRef>
          </c:cat>
          <c:val>
            <c:numRef>
              <c:f>Comparison!$H$2:$H$6</c:f>
              <c:numCache>
                <c:formatCode>General</c:formatCode>
                <c:ptCount val="5"/>
                <c:pt idx="0">
                  <c:v>1.52742734236835</c:v>
                </c:pt>
                <c:pt idx="1">
                  <c:v>1.0960473066882</c:v>
                </c:pt>
                <c:pt idx="2">
                  <c:v>0.934110779117695</c:v>
                </c:pt>
                <c:pt idx="3">
                  <c:v>0.644214978944454</c:v>
                </c:pt>
                <c:pt idx="4">
                  <c:v>-0.171314674145036</c:v>
                </c:pt>
              </c:numCache>
            </c:numRef>
          </c:val>
        </c:ser>
        <c:gapWidth val="219"/>
        <c:overlap val="-27"/>
        <c:axId val="82709945"/>
        <c:axId val="90226720"/>
      </c:barChart>
      <c:catAx>
        <c:axId val="827099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226720"/>
        <c:crosses val="autoZero"/>
        <c:auto val="1"/>
        <c:lblAlgn val="ctr"/>
        <c:lblOffset val="100"/>
        <c:noMultiLvlLbl val="0"/>
      </c:catAx>
      <c:valAx>
        <c:axId val="902267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70994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TIP4P_densityies!$A$1</c:f>
              <c:strCache>
                <c:ptCount val="1"/>
                <c:pt idx="0">
                  <c:v>from paper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4"/>
            <c:forward val="0"/>
            <c:backward val="0"/>
            <c:dispRSqr val="1"/>
            <c:dispEq val="1"/>
          </c:trendline>
          <c:xVal>
            <c:numRef>
              <c:f>TIP4P_densityies!$A$3:$A$15</c:f>
              <c:numCache>
                <c:formatCode>General</c:formatCode>
                <c:ptCount val="13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298</c:v>
                </c:pt>
                <c:pt idx="6">
                  <c:v>300</c:v>
                </c:pt>
                <c:pt idx="7">
                  <c:v>315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</c:numCache>
            </c:numRef>
          </c:xVal>
          <c:yVal>
            <c:numRef>
              <c:f>TIP4P_densityies!$B$3:$B$15</c:f>
              <c:numCache>
                <c:formatCode>General</c:formatCode>
                <c:ptCount val="13"/>
                <c:pt idx="0">
                  <c:v>0.9908</c:v>
                </c:pt>
                <c:pt idx="1">
                  <c:v>0.9965</c:v>
                </c:pt>
                <c:pt idx="2">
                  <c:v>1.001</c:v>
                </c:pt>
                <c:pt idx="3">
                  <c:v>0.9994</c:v>
                </c:pt>
                <c:pt idx="4">
                  <c:v>0.9993</c:v>
                </c:pt>
                <c:pt idx="5">
                  <c:v>0.9979</c:v>
                </c:pt>
                <c:pt idx="6">
                  <c:v>0.996815709500002</c:v>
                </c:pt>
                <c:pt idx="7">
                  <c:v>0.9913</c:v>
                </c:pt>
                <c:pt idx="8">
                  <c:v>0.9841</c:v>
                </c:pt>
                <c:pt idx="9">
                  <c:v>0.9776</c:v>
                </c:pt>
                <c:pt idx="10">
                  <c:v>0.9713</c:v>
                </c:pt>
                <c:pt idx="11">
                  <c:v>0.9668</c:v>
                </c:pt>
                <c:pt idx="12">
                  <c:v>0.9585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TIP4P_densityies!$F$2</c:f>
              <c:strCache>
                <c:ptCount val="1"/>
                <c:pt idx="0">
                  <c:v>all x^4 poly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TIP4P_densityies!$E$3:$E$28</c:f>
              <c:numCache>
                <c:formatCode>General</c:formatCode>
                <c:ptCount val="26"/>
                <c:pt idx="0">
                  <c:v>250</c:v>
                </c:pt>
                <c:pt idx="1">
                  <c:v>255</c:v>
                </c:pt>
                <c:pt idx="2">
                  <c:v>260</c:v>
                </c:pt>
                <c:pt idx="3">
                  <c:v>265</c:v>
                </c:pt>
                <c:pt idx="4">
                  <c:v>270</c:v>
                </c:pt>
                <c:pt idx="5">
                  <c:v>275</c:v>
                </c:pt>
                <c:pt idx="6">
                  <c:v>280</c:v>
                </c:pt>
                <c:pt idx="7">
                  <c:v>285</c:v>
                </c:pt>
                <c:pt idx="8">
                  <c:v>290</c:v>
                </c:pt>
                <c:pt idx="9">
                  <c:v>295</c:v>
                </c:pt>
                <c:pt idx="10">
                  <c:v>300</c:v>
                </c:pt>
                <c:pt idx="11">
                  <c:v>305</c:v>
                </c:pt>
                <c:pt idx="12">
                  <c:v>310</c:v>
                </c:pt>
                <c:pt idx="13">
                  <c:v>315</c:v>
                </c:pt>
                <c:pt idx="14">
                  <c:v>320</c:v>
                </c:pt>
                <c:pt idx="15">
                  <c:v>325</c:v>
                </c:pt>
                <c:pt idx="16">
                  <c:v>330</c:v>
                </c:pt>
                <c:pt idx="17">
                  <c:v>335</c:v>
                </c:pt>
                <c:pt idx="18">
                  <c:v>340</c:v>
                </c:pt>
                <c:pt idx="19">
                  <c:v>345</c:v>
                </c:pt>
                <c:pt idx="20">
                  <c:v>350</c:v>
                </c:pt>
                <c:pt idx="21">
                  <c:v>355</c:v>
                </c:pt>
                <c:pt idx="22">
                  <c:v>360</c:v>
                </c:pt>
                <c:pt idx="23">
                  <c:v>365</c:v>
                </c:pt>
                <c:pt idx="24">
                  <c:v>370</c:v>
                </c:pt>
                <c:pt idx="25">
                  <c:v>375</c:v>
                </c:pt>
              </c:numCache>
            </c:numRef>
          </c:xVal>
          <c:yVal>
            <c:numRef>
              <c:f>TIP4P_densityies!$F$3:$F$28</c:f>
              <c:numCache>
                <c:formatCode>General</c:formatCode>
                <c:ptCount val="26"/>
                <c:pt idx="0">
                  <c:v>0.990831643</c:v>
                </c:pt>
                <c:pt idx="1">
                  <c:v>0.994208743033248</c:v>
                </c:pt>
                <c:pt idx="2">
                  <c:v>0.996783257500001</c:v>
                </c:pt>
                <c:pt idx="3">
                  <c:v>0.998632511877251</c:v>
                </c:pt>
                <c:pt idx="4">
                  <c:v>0.999829309544002</c:v>
                </c:pt>
                <c:pt idx="5">
                  <c:v>1.00044193178125</c:v>
                </c:pt>
                <c:pt idx="6">
                  <c:v>1.000534137772</c:v>
                </c:pt>
                <c:pt idx="7">
                  <c:v>1.00016516460125</c:v>
                </c:pt>
                <c:pt idx="8">
                  <c:v>0.999389727256001</c:v>
                </c:pt>
                <c:pt idx="9">
                  <c:v>0.998258018625249</c:v>
                </c:pt>
                <c:pt idx="10">
                  <c:v>0.996815709500002</c:v>
                </c:pt>
                <c:pt idx="11">
                  <c:v>0.995103948573253</c:v>
                </c:pt>
                <c:pt idx="12">
                  <c:v>0.993159362440002</c:v>
                </c:pt>
                <c:pt idx="13">
                  <c:v>0.991014055597251</c:v>
                </c:pt>
                <c:pt idx="14">
                  <c:v>0.988695610444</c:v>
                </c:pt>
                <c:pt idx="15">
                  <c:v>0.986227087281252</c:v>
                </c:pt>
                <c:pt idx="16">
                  <c:v>0.983627024312</c:v>
                </c:pt>
                <c:pt idx="17">
                  <c:v>0.98090943764125</c:v>
                </c:pt>
                <c:pt idx="18">
                  <c:v>0.978083821276</c:v>
                </c:pt>
                <c:pt idx="19">
                  <c:v>0.975155147125248</c:v>
                </c:pt>
                <c:pt idx="20">
                  <c:v>0.972123864999999</c:v>
                </c:pt>
                <c:pt idx="21">
                  <c:v>0.968985902613249</c:v>
                </c:pt>
                <c:pt idx="22">
                  <c:v>0.965732665580001</c:v>
                </c:pt>
                <c:pt idx="23">
                  <c:v>0.962351037417248</c:v>
                </c:pt>
                <c:pt idx="24">
                  <c:v>0.958823379544003</c:v>
                </c:pt>
                <c:pt idx="25">
                  <c:v>0.955127531281248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TIP4P_densityies!$G$2</c:f>
              <c:strCache>
                <c:ptCount val="1"/>
                <c:pt idx="0">
                  <c:v>all x^4 poly plus last value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TIP4P_densityies!$E$3:$E$28</c:f>
              <c:numCache>
                <c:formatCode>General</c:formatCode>
                <c:ptCount val="26"/>
                <c:pt idx="0">
                  <c:v>250</c:v>
                </c:pt>
                <c:pt idx="1">
                  <c:v>255</c:v>
                </c:pt>
                <c:pt idx="2">
                  <c:v>260</c:v>
                </c:pt>
                <c:pt idx="3">
                  <c:v>265</c:v>
                </c:pt>
                <c:pt idx="4">
                  <c:v>270</c:v>
                </c:pt>
                <c:pt idx="5">
                  <c:v>275</c:v>
                </c:pt>
                <c:pt idx="6">
                  <c:v>280</c:v>
                </c:pt>
                <c:pt idx="7">
                  <c:v>285</c:v>
                </c:pt>
                <c:pt idx="8">
                  <c:v>290</c:v>
                </c:pt>
                <c:pt idx="9">
                  <c:v>295</c:v>
                </c:pt>
                <c:pt idx="10">
                  <c:v>300</c:v>
                </c:pt>
                <c:pt idx="11">
                  <c:v>305</c:v>
                </c:pt>
                <c:pt idx="12">
                  <c:v>310</c:v>
                </c:pt>
                <c:pt idx="13">
                  <c:v>315</c:v>
                </c:pt>
                <c:pt idx="14">
                  <c:v>320</c:v>
                </c:pt>
                <c:pt idx="15">
                  <c:v>325</c:v>
                </c:pt>
                <c:pt idx="16">
                  <c:v>330</c:v>
                </c:pt>
                <c:pt idx="17">
                  <c:v>335</c:v>
                </c:pt>
                <c:pt idx="18">
                  <c:v>340</c:v>
                </c:pt>
                <c:pt idx="19">
                  <c:v>345</c:v>
                </c:pt>
                <c:pt idx="20">
                  <c:v>350</c:v>
                </c:pt>
                <c:pt idx="21">
                  <c:v>355</c:v>
                </c:pt>
                <c:pt idx="22">
                  <c:v>360</c:v>
                </c:pt>
                <c:pt idx="23">
                  <c:v>365</c:v>
                </c:pt>
                <c:pt idx="24">
                  <c:v>370</c:v>
                </c:pt>
                <c:pt idx="25">
                  <c:v>375</c:v>
                </c:pt>
              </c:numCache>
            </c:numRef>
          </c:xVal>
          <c:yVal>
            <c:numRef>
              <c:f>TIP4P_densityies!$G$3:$G$28</c:f>
              <c:numCache>
                <c:formatCode>General</c:formatCode>
                <c:ptCount val="26"/>
                <c:pt idx="0">
                  <c:v>0.990831643</c:v>
                </c:pt>
                <c:pt idx="1">
                  <c:v>0.994208743033248</c:v>
                </c:pt>
                <c:pt idx="2">
                  <c:v>0.996783257500001</c:v>
                </c:pt>
                <c:pt idx="3">
                  <c:v>0.998632511877251</c:v>
                </c:pt>
                <c:pt idx="4">
                  <c:v>0.999829309544002</c:v>
                </c:pt>
                <c:pt idx="5">
                  <c:v>1.00044193178125</c:v>
                </c:pt>
                <c:pt idx="6">
                  <c:v>1.000534137772</c:v>
                </c:pt>
                <c:pt idx="7">
                  <c:v>1.00016516460125</c:v>
                </c:pt>
                <c:pt idx="8">
                  <c:v>0.999389727256001</c:v>
                </c:pt>
                <c:pt idx="9">
                  <c:v>0.998258018625249</c:v>
                </c:pt>
                <c:pt idx="10">
                  <c:v>0.996815709500002</c:v>
                </c:pt>
                <c:pt idx="11">
                  <c:v>0.995103948573253</c:v>
                </c:pt>
                <c:pt idx="12">
                  <c:v>0.993159362440002</c:v>
                </c:pt>
                <c:pt idx="13">
                  <c:v>0.991014055597251</c:v>
                </c:pt>
                <c:pt idx="14">
                  <c:v>0.988695610444</c:v>
                </c:pt>
                <c:pt idx="15">
                  <c:v>0.986227087281252</c:v>
                </c:pt>
                <c:pt idx="16">
                  <c:v>0.983627024312</c:v>
                </c:pt>
                <c:pt idx="17">
                  <c:v>0.98090943764125</c:v>
                </c:pt>
                <c:pt idx="18">
                  <c:v>0.978083821276</c:v>
                </c:pt>
                <c:pt idx="19">
                  <c:v>0.975155147125248</c:v>
                </c:pt>
                <c:pt idx="20">
                  <c:v>0.972123864999999</c:v>
                </c:pt>
                <c:pt idx="21">
                  <c:v>0.968985902613249</c:v>
                </c:pt>
                <c:pt idx="22">
                  <c:v>0.965732665580001</c:v>
                </c:pt>
                <c:pt idx="23">
                  <c:v>0.962351037417248</c:v>
                </c:pt>
                <c:pt idx="24">
                  <c:v>0.958823379544003</c:v>
                </c:pt>
                <c:pt idx="25">
                  <c:v>0.954673379544003</c:v>
                </c:pt>
              </c:numCache>
            </c:numRef>
          </c:yVal>
          <c:smooth val="0"/>
        </c:ser>
        <c:axId val="57725621"/>
        <c:axId val="61602298"/>
      </c:scatterChart>
      <c:valAx>
        <c:axId val="577256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02298"/>
        <c:crosses val="autoZero"/>
        <c:crossBetween val="midCat"/>
      </c:valAx>
      <c:valAx>
        <c:axId val="616022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7256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5515873015873"/>
          <c:y val="0.0228907330567082"/>
          <c:w val="0.825925925925926"/>
          <c:h val="0.761410788381743"/>
        </c:manualLayout>
      </c:layout>
      <c:scatterChart>
        <c:scatterStyle val="line"/>
        <c:varyColors val="0"/>
        <c:ser>
          <c:idx val="0"/>
          <c:order val="0"/>
          <c:tx>
            <c:strRef>
              <c:f>Vrabec_et_al_and_Rn_Mick_et_al!$A$7:$A$7</c:f>
              <c:strCache>
                <c:ptCount val="1"/>
                <c:pt idx="0">
                  <c:v>He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Vrabec_et_al_and_Rn_Mick_et_al!$A$9:$A$15</c:f>
              <c:numCache>
                <c:formatCode>General</c:formatCode>
                <c:ptCount val="7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  <c:pt idx="6">
                  <c:v>395</c:v>
                </c:pt>
              </c:numCache>
            </c:numRef>
          </c:xVal>
          <c:yVal>
            <c:numRef>
              <c:f>Vrabec_et_al_and_Rn_Mick_et_al!$G$9:$G$15</c:f>
              <c:numCache>
                <c:formatCode>General</c:formatCode>
                <c:ptCount val="7"/>
                <c:pt idx="0">
                  <c:v>2.66032918465973</c:v>
                </c:pt>
                <c:pt idx="1">
                  <c:v>2.84350166517089</c:v>
                </c:pt>
                <c:pt idx="2">
                  <c:v>2.9679561900609</c:v>
                </c:pt>
                <c:pt idx="3">
                  <c:v>3.08031796683532</c:v>
                </c:pt>
                <c:pt idx="4">
                  <c:v>3.15237237861752</c:v>
                </c:pt>
                <c:pt idx="5">
                  <c:v>3.17191497869087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Vrabec_et_al_and_Rn_Mick_et_al!$A$27:$A$27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Vrabec_et_al_and_Rn_Mick_et_al!$A$29:$A$35</c:f>
              <c:numCache>
                <c:formatCode>General</c:formatCode>
                <c:ptCount val="7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  <c:pt idx="6">
                  <c:v>395</c:v>
                </c:pt>
              </c:numCache>
            </c:numRef>
          </c:xVal>
          <c:yVal>
            <c:numRef>
              <c:f>Vrabec_et_al_and_Rn_Mick_et_al!$G$29:$G$35</c:f>
              <c:numCache>
                <c:formatCode>General</c:formatCode>
                <c:ptCount val="7"/>
                <c:pt idx="0">
                  <c:v>1.85381796252715</c:v>
                </c:pt>
                <c:pt idx="1">
                  <c:v>2.14650698163336</c:v>
                </c:pt>
                <c:pt idx="2">
                  <c:v>2.35472432224612</c:v>
                </c:pt>
                <c:pt idx="3">
                  <c:v>2.5756996346947</c:v>
                </c:pt>
                <c:pt idx="4">
                  <c:v>2.71442652378505</c:v>
                </c:pt>
                <c:pt idx="5">
                  <c:v>2.78433608434494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Vrabec_et_al_and_Rn_Mick_et_al!$A$37:$A$37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Vrabec_et_al_and_Rn_Mick_et_al!$A$39:$A$44</c:f>
              <c:numCache>
                <c:formatCode>General</c:formatCode>
                <c:ptCount val="6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</c:numCache>
            </c:numRef>
          </c:xVal>
          <c:yVal>
            <c:numRef>
              <c:f>Vrabec_et_al_and_Rn_Mick_et_al!$G$39:$G$44</c:f>
              <c:numCache>
                <c:formatCode>General</c:formatCode>
                <c:ptCount val="6"/>
                <c:pt idx="0">
                  <c:v>1.59273619109853</c:v>
                </c:pt>
                <c:pt idx="1">
                  <c:v>1.90758925918306</c:v>
                </c:pt>
                <c:pt idx="2">
                  <c:v>2.14147923496148</c:v>
                </c:pt>
                <c:pt idx="3">
                  <c:v>2.39957467640352</c:v>
                </c:pt>
                <c:pt idx="4">
                  <c:v>2.55529254415208</c:v>
                </c:pt>
                <c:pt idx="5">
                  <c:v>2.64074148432321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Vrabec_et_al_and_Rn_Mick_et_al!$A$47:$A$47</c:f>
              <c:strCache>
                <c:ptCount val="1"/>
                <c:pt idx="0">
                  <c:v>Xe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Vrabec_et_al_and_Rn_Mick_et_al!$A$49:$A$54</c:f>
              <c:numCache>
                <c:formatCode>General</c:formatCode>
                <c:ptCount val="6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</c:numCache>
            </c:numRef>
          </c:xVal>
          <c:yVal>
            <c:numRef>
              <c:f>Vrabec_et_al_and_Rn_Mick_et_al!$G$49:$G$54</c:f>
              <c:numCache>
                <c:formatCode>General</c:formatCode>
                <c:ptCount val="6"/>
                <c:pt idx="0">
                  <c:v>1.19621255080663</c:v>
                </c:pt>
                <c:pt idx="1">
                  <c:v>1.52607918869354</c:v>
                </c:pt>
                <c:pt idx="2">
                  <c:v>1.81208687841956</c:v>
                </c:pt>
                <c:pt idx="3">
                  <c:v>2.10639050121503</c:v>
                </c:pt>
                <c:pt idx="4">
                  <c:v>2.28385820254097</c:v>
                </c:pt>
                <c:pt idx="5">
                  <c:v>2.39211550419125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Vrabec_et_al_and_Rn_Mick_et_al!$A$57:$A$57</c:f>
              <c:strCache>
                <c:ptCount val="1"/>
                <c:pt idx="0">
                  <c:v>Rn (Mick et al)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Vrabec_et_al_and_Rn_Mick_et_al!$A$59:$A$65</c:f>
              <c:numCache>
                <c:formatCode>General</c:formatCode>
                <c:ptCount val="7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  <c:pt idx="6">
                  <c:v>395</c:v>
                </c:pt>
              </c:numCache>
            </c:numRef>
          </c:xVal>
          <c:yVal>
            <c:numRef>
              <c:f>Vrabec_et_al_and_Rn_Mick_et_al!$G$59:$G$65</c:f>
              <c:numCache>
                <c:formatCode>General</c:formatCode>
                <c:ptCount val="7"/>
                <c:pt idx="0">
                  <c:v>0.597203931481529</c:v>
                </c:pt>
                <c:pt idx="1">
                  <c:v>0.949242016432879</c:v>
                </c:pt>
                <c:pt idx="2">
                  <c:v>1.29283048457841</c:v>
                </c:pt>
                <c:pt idx="3">
                  <c:v>1.59474906597012</c:v>
                </c:pt>
                <c:pt idx="4">
                  <c:v>1.78960917395929</c:v>
                </c:pt>
                <c:pt idx="5">
                  <c:v>1.92421481465356</c:v>
                </c:pt>
              </c:numCache>
            </c:numRef>
          </c:yVal>
          <c:smooth val="1"/>
        </c:ser>
        <c:axId val="93018596"/>
        <c:axId val="52514407"/>
      </c:scatterChart>
      <c:valAx>
        <c:axId val="93018596"/>
        <c:scaling>
          <c:orientation val="minMax"/>
          <c:max val="380"/>
          <c:min val="2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Arial"/>
                  </a:rPr>
                  <a:t>Temp (K)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52514407"/>
        <c:crosses val="autoZero"/>
        <c:crossBetween val="midCat"/>
      </c:valAx>
      <c:valAx>
        <c:axId val="525144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Arial"/>
                  </a:rPr>
                  <a:t>dG (kcal/mol)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93018596"/>
        <c:crosses val="autoZero"/>
        <c:crossBetween val="midCat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541989180612874"/>
          <c:y val="0.597052813520261"/>
          <c:w val="0.458010819387126"/>
          <c:h val="0.052399078164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3310408676101"/>
          <c:y val="0.0229211087420043"/>
          <c:w val="0.728673455892078"/>
          <c:h val="0.761194029850746"/>
        </c:manualLayout>
      </c:layout>
      <c:scatterChart>
        <c:scatterStyle val="line"/>
        <c:varyColors val="0"/>
        <c:ser>
          <c:idx val="0"/>
          <c:order val="0"/>
          <c:tx>
            <c:strRef>
              <c:f>Vrabec_et_al_and_Rn_Mick_et_al!$A$7:$A$7</c:f>
              <c:strCache>
                <c:ptCount val="1"/>
                <c:pt idx="0">
                  <c:v>He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Vrabec_et_al_and_Rn_Mick_et_al!$A$9:$A$15</c:f>
              <c:numCache>
                <c:formatCode>General</c:formatCode>
                <c:ptCount val="7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  <c:pt idx="6">
                  <c:v>395</c:v>
                </c:pt>
              </c:numCache>
            </c:numRef>
          </c:xVal>
          <c:yVal>
            <c:numRef>
              <c:f>Vrabec_et_al_and_Rn_Mick_et_al!$C$9:$C$15</c:f>
              <c:numCache>
                <c:formatCode>General</c:formatCode>
                <c:ptCount val="7"/>
                <c:pt idx="0">
                  <c:v>16.57</c:v>
                </c:pt>
                <c:pt idx="1">
                  <c:v>17.427</c:v>
                </c:pt>
                <c:pt idx="2">
                  <c:v>16.562</c:v>
                </c:pt>
                <c:pt idx="3">
                  <c:v>15.55</c:v>
                </c:pt>
                <c:pt idx="4">
                  <c:v>13.89</c:v>
                </c:pt>
                <c:pt idx="5">
                  <c:v>11.697</c:v>
                </c:pt>
                <c:pt idx="6">
                  <c:v>9.984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Vrabec_et_al_and_Rn_Mick_et_al!$A$27:$A$27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Vrabec_et_al_and_Rn_Mick_et_al!$A$29:$A$35</c:f>
              <c:numCache>
                <c:formatCode>General</c:formatCode>
                <c:ptCount val="7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  <c:pt idx="6">
                  <c:v>395</c:v>
                </c:pt>
              </c:numCache>
            </c:numRef>
          </c:xVal>
          <c:yVal>
            <c:numRef>
              <c:f>Vrabec_et_al_and_Rn_Mick_et_al!$C$29:$C$35</c:f>
              <c:numCache>
                <c:formatCode>General</c:formatCode>
                <c:ptCount val="7"/>
                <c:pt idx="0">
                  <c:v>3.784</c:v>
                </c:pt>
                <c:pt idx="1">
                  <c:v>5.303</c:v>
                </c:pt>
                <c:pt idx="2">
                  <c:v>6.214</c:v>
                </c:pt>
                <c:pt idx="3">
                  <c:v>7.283</c:v>
                </c:pt>
                <c:pt idx="4">
                  <c:v>7.463</c:v>
                </c:pt>
                <c:pt idx="5">
                  <c:v>6.951</c:v>
                </c:pt>
                <c:pt idx="6">
                  <c:v>6.426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Vrabec_et_al_and_Rn_Mick_et_al!$A$37:$A$37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Vrabec_et_al_and_Rn_Mick_et_al!$A$39:$A$44</c:f>
              <c:numCache>
                <c:formatCode>General</c:formatCode>
                <c:ptCount val="6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</c:numCache>
            </c:numRef>
          </c:xVal>
          <c:yVal>
            <c:numRef>
              <c:f>Vrabec_et_al_and_Rn_Mick_et_al!$C$39:$C$44</c:f>
              <c:numCache>
                <c:formatCode>General</c:formatCode>
                <c:ptCount val="6"/>
                <c:pt idx="0">
                  <c:v>2.346</c:v>
                </c:pt>
                <c:pt idx="1">
                  <c:v>3.527</c:v>
                </c:pt>
                <c:pt idx="2">
                  <c:v>4.419</c:v>
                </c:pt>
                <c:pt idx="3">
                  <c:v>5.589</c:v>
                </c:pt>
                <c:pt idx="4">
                  <c:v>5.955</c:v>
                </c:pt>
                <c:pt idx="5">
                  <c:v>5.732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Vrabec_et_al_and_Rn_Mick_et_al!$A$47:$A$47</c:f>
              <c:strCache>
                <c:ptCount val="1"/>
                <c:pt idx="0">
                  <c:v>Xe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Vrabec_et_al_and_Rn_Mick_et_al!$A$49:$A$54</c:f>
              <c:numCache>
                <c:formatCode>General</c:formatCode>
                <c:ptCount val="6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</c:numCache>
            </c:numRef>
          </c:xVal>
          <c:yVal>
            <c:numRef>
              <c:f>Vrabec_et_al_and_Rn_Mick_et_al!$C$49:$C$54</c:f>
              <c:numCache>
                <c:formatCode>General</c:formatCode>
                <c:ptCount val="6"/>
                <c:pt idx="0">
                  <c:v>1.135</c:v>
                </c:pt>
                <c:pt idx="1">
                  <c:v>1.839</c:v>
                </c:pt>
                <c:pt idx="2">
                  <c:v>2.61</c:v>
                </c:pt>
                <c:pt idx="3">
                  <c:v>3.597</c:v>
                </c:pt>
                <c:pt idx="4">
                  <c:v>4.052</c:v>
                </c:pt>
                <c:pt idx="5">
                  <c:v>4.105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Vrabec_et_al_and_Rn_Mick_et_al!$A$57:$A$57</c:f>
              <c:strCache>
                <c:ptCount val="1"/>
                <c:pt idx="0">
                  <c:v>Rn (Mick et al)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Vrabec_et_al_and_Rn_Mick_et_al!$A$59:$A$65</c:f>
              <c:numCache>
                <c:formatCode>General</c:formatCode>
                <c:ptCount val="7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  <c:pt idx="6">
                  <c:v>395</c:v>
                </c:pt>
              </c:numCache>
            </c:numRef>
          </c:xVal>
          <c:yVal>
            <c:numRef>
              <c:f>Vrabec_et_al_and_Rn_Mick_et_al!$C$59:$C$65</c:f>
              <c:numCache>
                <c:formatCode>General</c:formatCode>
                <c:ptCount val="7"/>
                <c:pt idx="0">
                  <c:v>0.379</c:v>
                </c:pt>
                <c:pt idx="1">
                  <c:v>0.687</c:v>
                </c:pt>
                <c:pt idx="2">
                  <c:v>1.138</c:v>
                </c:pt>
                <c:pt idx="3">
                  <c:v>1.667</c:v>
                </c:pt>
                <c:pt idx="4">
                  <c:v>2.01</c:v>
                </c:pt>
                <c:pt idx="5">
                  <c:v>2.19</c:v>
                </c:pt>
                <c:pt idx="6">
                  <c:v>2.195</c:v>
                </c:pt>
              </c:numCache>
            </c:numRef>
          </c:yVal>
          <c:smooth val="1"/>
        </c:ser>
        <c:axId val="95778170"/>
        <c:axId val="3893956"/>
      </c:scatterChart>
      <c:valAx>
        <c:axId val="95778170"/>
        <c:scaling>
          <c:orientation val="minMax"/>
          <c:max val="380"/>
          <c:min val="2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Arial"/>
                  </a:rPr>
                  <a:t>Temp (K)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3893956"/>
        <c:crosses val="autoZero"/>
        <c:crossBetween val="midCat"/>
      </c:valAx>
      <c:valAx>
        <c:axId val="38939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Arial"/>
                  </a:rPr>
                  <a:t>H (GPa)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95778170"/>
        <c:crosses val="autoZero"/>
        <c:crossBetween val="midCat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256887358533559"/>
          <c:y val="0.308082706766917"/>
          <c:w val="0.702881400275126"/>
          <c:h val="0.080765496418210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Experimental_Nist!$A$23:$A$28</c:f>
              <c:numCache>
                <c:formatCode>General</c:formatCode>
                <c:ptCount val="6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</c:numCache>
            </c:numRef>
          </c:xVal>
          <c:yVal>
            <c:numRef>
              <c:f>Experimental_Nist!$F$23:$F$28</c:f>
              <c:numCache>
                <c:formatCode>General</c:formatCode>
                <c:ptCount val="6"/>
                <c:pt idx="0">
                  <c:v>2.43188067779385</c:v>
                </c:pt>
                <c:pt idx="1">
                  <c:v>2.63260904961091</c:v>
                </c:pt>
                <c:pt idx="2">
                  <c:v>2.83064263958123</c:v>
                </c:pt>
                <c:pt idx="3">
                  <c:v>3.0261527833103</c:v>
                </c:pt>
                <c:pt idx="4">
                  <c:v>3.21929031941533</c:v>
                </c:pt>
                <c:pt idx="5">
                  <c:v>3.41018906187935</c:v>
                </c:pt>
              </c:numCache>
            </c:numRef>
          </c:yVal>
          <c:smooth val="0"/>
        </c:ser>
        <c:axId val="72938424"/>
        <c:axId val="42017694"/>
      </c:scatterChart>
      <c:valAx>
        <c:axId val="729384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17694"/>
        <c:crosses val="autoZero"/>
        <c:crossBetween val="midCat"/>
      </c:valAx>
      <c:valAx>
        <c:axId val="42017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93842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Experimental_Nist!$A$23:$A$28</c:f>
              <c:numCache>
                <c:formatCode>General</c:formatCode>
                <c:ptCount val="6"/>
                <c:pt idx="0">
                  <c:v>275</c:v>
                </c:pt>
                <c:pt idx="1">
                  <c:v>295</c:v>
                </c:pt>
                <c:pt idx="2">
                  <c:v>315</c:v>
                </c:pt>
                <c:pt idx="3">
                  <c:v>335</c:v>
                </c:pt>
                <c:pt idx="4">
                  <c:v>355</c:v>
                </c:pt>
                <c:pt idx="5">
                  <c:v>375</c:v>
                </c:pt>
              </c:numCache>
            </c:numRef>
          </c:xVal>
          <c:yVal>
            <c:numRef>
              <c:f>Experimental_Nist!$D$23:$D$28</c:f>
              <c:numCache>
                <c:formatCode>General</c:formatCode>
                <c:ptCount val="6"/>
                <c:pt idx="0">
                  <c:v>1957.07586858046</c:v>
                </c:pt>
                <c:pt idx="1">
                  <c:v>2186.6952000595</c:v>
                </c:pt>
                <c:pt idx="2">
                  <c:v>2409.07694377298</c:v>
                </c:pt>
                <c:pt idx="3">
                  <c:v>2623.55825701173</c:v>
                </c:pt>
                <c:pt idx="4">
                  <c:v>2829.80967861589</c:v>
                </c:pt>
                <c:pt idx="5">
                  <c:v>3027.73583744482</c:v>
                </c:pt>
              </c:numCache>
            </c:numRef>
          </c:yVal>
          <c:smooth val="0"/>
        </c:ser>
        <c:axId val="79898712"/>
        <c:axId val="48554973"/>
      </c:scatterChart>
      <c:valAx>
        <c:axId val="79898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554973"/>
        <c:crosses val="autoZero"/>
        <c:crossBetween val="midCat"/>
      </c:valAx>
      <c:valAx>
        <c:axId val="485549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898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550691091859"/>
          <c:y val="0.0229206049149338"/>
          <c:w val="0.825937438000132"/>
          <c:h val="0.761105860113422"/>
        </c:manualLayout>
      </c:layout>
      <c:scatterChart>
        <c:scatterStyle val="line"/>
        <c:varyColors val="0"/>
        <c:ser>
          <c:idx val="0"/>
          <c:order val="0"/>
          <c:tx>
            <c:strRef>
              <c:f>Experimental_Crovetto_et_al!$A$3:$A$3</c:f>
              <c:strCache>
                <c:ptCount val="1"/>
                <c:pt idx="0">
                  <c:v>Ne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Experimental_Crovetto_et_al!$A$5:$A$11</c:f>
              <c:numCache>
                <c:formatCode>General</c:formatCode>
                <c:ptCount val="7"/>
                <c:pt idx="0">
                  <c:v>294.9</c:v>
                </c:pt>
                <c:pt idx="1">
                  <c:v>337.4</c:v>
                </c:pt>
                <c:pt idx="2">
                  <c:v>361</c:v>
                </c:pt>
                <c:pt idx="3">
                  <c:v>388.9</c:v>
                </c:pt>
                <c:pt idx="4">
                  <c:v>427.7</c:v>
                </c:pt>
                <c:pt idx="5">
                  <c:v>543.2</c:v>
                </c:pt>
                <c:pt idx="6">
                  <c:v>543.4</c:v>
                </c:pt>
              </c:numCache>
            </c:numRef>
          </c:xVal>
          <c:yVal>
            <c:numRef>
              <c:f>Experimental_Crovetto_et_al!$I$5:$I$11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1"/>
          <c:order val="1"/>
          <c:tx>
            <c:strRef>
              <c:f>Experimental_Crovetto_et_al!$A$13:$A$13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Experimental_Crovetto_et_al!$A$15:$A$22</c:f>
              <c:numCache>
                <c:formatCode>General</c:formatCode>
                <c:ptCount val="8"/>
                <c:pt idx="0">
                  <c:v>306.9</c:v>
                </c:pt>
                <c:pt idx="1">
                  <c:v>335.9</c:v>
                </c:pt>
                <c:pt idx="2">
                  <c:v>365.3</c:v>
                </c:pt>
                <c:pt idx="3">
                  <c:v>368.3</c:v>
                </c:pt>
                <c:pt idx="4">
                  <c:v>397.3</c:v>
                </c:pt>
                <c:pt idx="5">
                  <c:v>424.7</c:v>
                </c:pt>
                <c:pt idx="6">
                  <c:v>453.7</c:v>
                </c:pt>
                <c:pt idx="7">
                  <c:v>568.4</c:v>
                </c:pt>
              </c:numCache>
            </c:numRef>
          </c:xVal>
          <c:yVal>
            <c:numRef>
              <c:f>Experimental_Crovetto_et_al!$I$15:$I$22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2"/>
          <c:order val="2"/>
          <c:tx>
            <c:strRef>
              <c:f>Experimental_Crovetto_et_al!$A$24:$A$24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Experimental_Crovetto_et_al!$A$26:$A$31</c:f>
              <c:numCache>
                <c:formatCode>General</c:formatCode>
                <c:ptCount val="6"/>
                <c:pt idx="0">
                  <c:v>333.7</c:v>
                </c:pt>
                <c:pt idx="1">
                  <c:v>359</c:v>
                </c:pt>
                <c:pt idx="2">
                  <c:v>387.6</c:v>
                </c:pt>
                <c:pt idx="3">
                  <c:v>426</c:v>
                </c:pt>
                <c:pt idx="4">
                  <c:v>477.5</c:v>
                </c:pt>
                <c:pt idx="5">
                  <c:v>523.4</c:v>
                </c:pt>
              </c:numCache>
            </c:numRef>
          </c:xVal>
          <c:yVal>
            <c:numRef>
              <c:f>Experimental_Crovetto_et_al!$I$26:$I$31</c:f>
              <c:numCache>
                <c:formatCode>General</c:formatCode>
                <c:ptCount val="6"/>
              </c:numCache>
            </c:numRef>
          </c:yVal>
          <c:smooth val="1"/>
        </c:ser>
        <c:ser>
          <c:idx val="3"/>
          <c:order val="3"/>
          <c:tx>
            <c:strRef>
              <c:f>Experimental_Crovetto_et_al!$A$33:$A$33</c:f>
              <c:strCache>
                <c:ptCount val="1"/>
                <c:pt idx="0">
                  <c:v>Xe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Experimental_Crovetto_et_al!$A$35:$A$40</c:f>
              <c:numCache>
                <c:formatCode>General</c:formatCode>
                <c:ptCount val="6"/>
                <c:pt idx="0">
                  <c:v>334.5</c:v>
                </c:pt>
                <c:pt idx="1">
                  <c:v>364.1</c:v>
                </c:pt>
                <c:pt idx="2">
                  <c:v>391.5</c:v>
                </c:pt>
                <c:pt idx="3">
                  <c:v>439.3</c:v>
                </c:pt>
                <c:pt idx="4">
                  <c:v>473.7</c:v>
                </c:pt>
                <c:pt idx="5">
                  <c:v>476.3</c:v>
                </c:pt>
              </c:numCache>
            </c:numRef>
          </c:xVal>
          <c:yVal>
            <c:numRef>
              <c:f>Experimental_Crovetto_et_al!$I$35:$I$40</c:f>
              <c:numCache>
                <c:formatCode>General</c:formatCode>
                <c:ptCount val="6"/>
              </c:numCache>
            </c:numRef>
          </c:yVal>
          <c:smooth val="1"/>
        </c:ser>
        <c:axId val="83434648"/>
        <c:axId val="96654148"/>
      </c:scatterChart>
      <c:valAx>
        <c:axId val="83434648"/>
        <c:scaling>
          <c:orientation val="minMax"/>
          <c:max val="480"/>
          <c:min val="2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Arial"/>
                  </a:rPr>
                  <a:t>Temp (K)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96654148"/>
        <c:crosses val="autoZero"/>
        <c:crossBetween val="midCat"/>
      </c:valAx>
      <c:valAx>
        <c:axId val="966541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Arial"/>
                  </a:rPr>
                  <a:t>dG (kcal/mol)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83434648"/>
        <c:crosses val="autoZero"/>
        <c:crossBetween val="midCat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218302149530344"/>
          <c:y val="0.145833333333333"/>
          <c:w val="0.40905486492645"/>
          <c:h val="0.08949409448818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5522788203753"/>
          <c:y val="0.0229206049149338"/>
          <c:w val="0.825938337801608"/>
          <c:h val="0.761105860113422"/>
        </c:manualLayout>
      </c:layout>
      <c:scatterChart>
        <c:scatterStyle val="line"/>
        <c:varyColors val="0"/>
        <c:ser>
          <c:idx val="0"/>
          <c:order val="0"/>
          <c:tx>
            <c:strRef>
              <c:f>Experimental_Crovetto_et_al!$A$3:$A$3</c:f>
              <c:strCache>
                <c:ptCount val="1"/>
                <c:pt idx="0">
                  <c:v>Ne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Experimental_Crovetto_et_al!$A$5:$A$11</c:f>
              <c:numCache>
                <c:formatCode>General</c:formatCode>
                <c:ptCount val="7"/>
                <c:pt idx="0">
                  <c:v>294.9</c:v>
                </c:pt>
                <c:pt idx="1">
                  <c:v>337.4</c:v>
                </c:pt>
                <c:pt idx="2">
                  <c:v>361</c:v>
                </c:pt>
                <c:pt idx="3">
                  <c:v>388.9</c:v>
                </c:pt>
                <c:pt idx="4">
                  <c:v>427.7</c:v>
                </c:pt>
                <c:pt idx="5">
                  <c:v>543.2</c:v>
                </c:pt>
                <c:pt idx="6">
                  <c:v>543.4</c:v>
                </c:pt>
              </c:numCache>
            </c:numRef>
          </c:xVal>
          <c:yVal>
            <c:numRef>
              <c:f>Experimental_Crovetto_et_al!$G$5:$G$11</c:f>
              <c:numCache>
                <c:formatCode>General</c:formatCode>
                <c:ptCount val="7"/>
                <c:pt idx="0">
                  <c:v>12.2803447938511</c:v>
                </c:pt>
                <c:pt idx="1">
                  <c:v>13.3965873614078</c:v>
                </c:pt>
                <c:pt idx="2">
                  <c:v>12.3789815732573</c:v>
                </c:pt>
                <c:pt idx="3">
                  <c:v>11.1897703575527</c:v>
                </c:pt>
                <c:pt idx="4">
                  <c:v>8.14985389419955</c:v>
                </c:pt>
                <c:pt idx="5">
                  <c:v>3.34343927419294</c:v>
                </c:pt>
                <c:pt idx="6">
                  <c:v>3.20271856274687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Experimental_Crovetto_et_al!$A$13:$A$13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Experimental_Crovetto_et_al!$A$15:$A$22</c:f>
              <c:numCache>
                <c:formatCode>General</c:formatCode>
                <c:ptCount val="8"/>
                <c:pt idx="0">
                  <c:v>306.9</c:v>
                </c:pt>
                <c:pt idx="1">
                  <c:v>335.9</c:v>
                </c:pt>
                <c:pt idx="2">
                  <c:v>365.3</c:v>
                </c:pt>
                <c:pt idx="3">
                  <c:v>368.3</c:v>
                </c:pt>
                <c:pt idx="4">
                  <c:v>397.3</c:v>
                </c:pt>
                <c:pt idx="5">
                  <c:v>424.7</c:v>
                </c:pt>
                <c:pt idx="6">
                  <c:v>453.7</c:v>
                </c:pt>
                <c:pt idx="7">
                  <c:v>568.4</c:v>
                </c:pt>
              </c:numCache>
            </c:numRef>
          </c:xVal>
          <c:yVal>
            <c:numRef>
              <c:f>Experimental_Crovetto_et_al!$G$15:$G$22</c:f>
              <c:numCache>
                <c:formatCode>General</c:formatCode>
                <c:ptCount val="8"/>
                <c:pt idx="0">
                  <c:v>4.7445661746994</c:v>
                </c:pt>
                <c:pt idx="1">
                  <c:v>6.08605446096817</c:v>
                </c:pt>
                <c:pt idx="2">
                  <c:v>6.40449443904517</c:v>
                </c:pt>
                <c:pt idx="3">
                  <c:v>6.59954033239418</c:v>
                </c:pt>
                <c:pt idx="4">
                  <c:v>6.14722032518424</c:v>
                </c:pt>
                <c:pt idx="5">
                  <c:v>5.33879514907318</c:v>
                </c:pt>
                <c:pt idx="6">
                  <c:v>4.35794231561703</c:v>
                </c:pt>
                <c:pt idx="7">
                  <c:v>1.69553783960182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Experimental_Crovetto_et_al!$A$24:$A$24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Experimental_Crovetto_et_al!$A$26:$A$31</c:f>
              <c:numCache>
                <c:formatCode>General</c:formatCode>
                <c:ptCount val="6"/>
                <c:pt idx="0">
                  <c:v>333.7</c:v>
                </c:pt>
                <c:pt idx="1">
                  <c:v>359</c:v>
                </c:pt>
                <c:pt idx="2">
                  <c:v>387.6</c:v>
                </c:pt>
                <c:pt idx="3">
                  <c:v>426</c:v>
                </c:pt>
                <c:pt idx="4">
                  <c:v>477.5</c:v>
                </c:pt>
                <c:pt idx="5">
                  <c:v>523.4</c:v>
                </c:pt>
              </c:numCache>
            </c:numRef>
          </c:xVal>
          <c:yVal>
            <c:numRef>
              <c:f>Experimental_Crovetto_et_al!$G$26:$G$31</c:f>
              <c:numCache>
                <c:formatCode>General</c:formatCode>
                <c:ptCount val="6"/>
                <c:pt idx="0">
                  <c:v>3.6002381642143</c:v>
                </c:pt>
                <c:pt idx="1">
                  <c:v>4.4772096213655</c:v>
                </c:pt>
                <c:pt idx="2">
                  <c:v>4.46379811981236</c:v>
                </c:pt>
                <c:pt idx="3">
                  <c:v>4.05114679380212</c:v>
                </c:pt>
                <c:pt idx="4">
                  <c:v>3.05873062051039</c:v>
                </c:pt>
                <c:pt idx="5">
                  <c:v>2.42540858777316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Experimental_Crovetto_et_al!$A$33:$A$33</c:f>
              <c:strCache>
                <c:ptCount val="1"/>
                <c:pt idx="0">
                  <c:v>Xe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Experimental_Crovetto_et_al!$A$35:$A$40</c:f>
              <c:numCache>
                <c:formatCode>General</c:formatCode>
                <c:ptCount val="6"/>
                <c:pt idx="0">
                  <c:v>334.5</c:v>
                </c:pt>
                <c:pt idx="1">
                  <c:v>364.1</c:v>
                </c:pt>
                <c:pt idx="2">
                  <c:v>391.5</c:v>
                </c:pt>
                <c:pt idx="3">
                  <c:v>439.3</c:v>
                </c:pt>
                <c:pt idx="4">
                  <c:v>473.7</c:v>
                </c:pt>
                <c:pt idx="5">
                  <c:v>476.3</c:v>
                </c:pt>
              </c:numCache>
            </c:numRef>
          </c:xVal>
          <c:yVal>
            <c:numRef>
              <c:f>Experimental_Crovetto_et_al!$G$35:$G$40</c:f>
              <c:numCache>
                <c:formatCode>General</c:formatCode>
                <c:ptCount val="6"/>
                <c:pt idx="0">
                  <c:v>2.61430947618017</c:v>
                </c:pt>
                <c:pt idx="1">
                  <c:v>3.12052107782557</c:v>
                </c:pt>
                <c:pt idx="2">
                  <c:v>3.22521624270048</c:v>
                </c:pt>
                <c:pt idx="3">
                  <c:v>2.75660541320082</c:v>
                </c:pt>
                <c:pt idx="4">
                  <c:v>2.42056261818253</c:v>
                </c:pt>
                <c:pt idx="5">
                  <c:v>2.42056261818253</c:v>
                </c:pt>
              </c:numCache>
            </c:numRef>
          </c:yVal>
          <c:smooth val="1"/>
        </c:ser>
        <c:axId val="27021722"/>
        <c:axId val="80349176"/>
      </c:scatterChart>
      <c:valAx>
        <c:axId val="27021722"/>
        <c:scaling>
          <c:orientation val="minMax"/>
          <c:max val="480"/>
          <c:min val="2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Arial"/>
                  </a:rPr>
                  <a:t>Temp (K)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80349176"/>
        <c:crosses val="autoZero"/>
        <c:crossBetween val="midCat"/>
      </c:valAx>
      <c:valAx>
        <c:axId val="803491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Arial"/>
                  </a:rPr>
                  <a:t>Kh (GPa)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27021722"/>
        <c:crosses val="autoZero"/>
        <c:crossBetween val="midCat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451957026272038"/>
          <c:y val="0.075"/>
          <c:w val="0.40905486492645"/>
          <c:h val="0.08949409448818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550691091859"/>
          <c:y val="0.0228891501279303"/>
          <c:w val="0.825937438000132"/>
          <c:h val="0.761358135675265"/>
        </c:manualLayout>
      </c:layout>
      <c:scatterChart>
        <c:scatterStyle val="line"/>
        <c:varyColors val="0"/>
        <c:ser>
          <c:idx val="0"/>
          <c:order val="0"/>
          <c:tx>
            <c:strRef>
              <c:f>Warr_et_al!$A$3:$A$3</c:f>
              <c:strCache>
                <c:ptCount val="1"/>
                <c:pt idx="0">
                  <c:v>He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Warr_et_al!$A$5:$A$11</c:f>
              <c:numCache>
                <c:formatCode>General</c:formatCode>
                <c:ptCount val="7"/>
                <c:pt idx="0">
                  <c:v>293.15</c:v>
                </c:pt>
                <c:pt idx="1">
                  <c:v>303.15</c:v>
                </c:pt>
                <c:pt idx="2">
                  <c:v>313.15</c:v>
                </c:pt>
                <c:pt idx="3">
                  <c:v>323.15</c:v>
                </c:pt>
                <c:pt idx="4">
                  <c:v>333.15</c:v>
                </c:pt>
                <c:pt idx="5">
                  <c:v>343.15</c:v>
                </c:pt>
                <c:pt idx="6">
                  <c:v>353.15</c:v>
                </c:pt>
              </c:numCache>
            </c:numRef>
          </c:xVal>
          <c:yVal>
            <c:numRef>
              <c:f>Warr_et_al!$D$5:$D$11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1"/>
          <c:order val="1"/>
          <c:tx>
            <c:strRef>
              <c:f>Warr_et_al!$A$23:$A$23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Warr_et_al!$A$25:$A$31</c:f>
              <c:numCache>
                <c:formatCode>General</c:formatCode>
                <c:ptCount val="7"/>
                <c:pt idx="0">
                  <c:v>293.15</c:v>
                </c:pt>
                <c:pt idx="1">
                  <c:v>303.15</c:v>
                </c:pt>
                <c:pt idx="2">
                  <c:v>313.15</c:v>
                </c:pt>
                <c:pt idx="3">
                  <c:v>323.15</c:v>
                </c:pt>
                <c:pt idx="4">
                  <c:v>333.15</c:v>
                </c:pt>
                <c:pt idx="5">
                  <c:v>343.15</c:v>
                </c:pt>
                <c:pt idx="6">
                  <c:v>353.15</c:v>
                </c:pt>
              </c:numCache>
            </c:numRef>
          </c:xVal>
          <c:yVal>
            <c:numRef>
              <c:f>Warr_et_al!$D$25:$D$31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2"/>
          <c:order val="2"/>
          <c:tx>
            <c:strRef>
              <c:f>Warr_et_al!$A$33:$A$33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Warr_et_al!$A$35:$A$40</c:f>
              <c:numCache>
                <c:formatCode>General</c:formatCode>
                <c:ptCount val="6"/>
                <c:pt idx="0">
                  <c:v>293.15</c:v>
                </c:pt>
                <c:pt idx="1">
                  <c:v>303.15</c:v>
                </c:pt>
                <c:pt idx="2">
                  <c:v>313.15</c:v>
                </c:pt>
                <c:pt idx="3">
                  <c:v>323.15</c:v>
                </c:pt>
                <c:pt idx="4">
                  <c:v>333.15</c:v>
                </c:pt>
                <c:pt idx="5">
                  <c:v>343.15</c:v>
                </c:pt>
              </c:numCache>
            </c:numRef>
          </c:xVal>
          <c:yVal>
            <c:numRef>
              <c:f>Warr_et_al!$D$35:$D$40</c:f>
              <c:numCache>
                <c:formatCode>General</c:formatCode>
                <c:ptCount val="6"/>
              </c:numCache>
            </c:numRef>
          </c:yVal>
          <c:smooth val="1"/>
        </c:ser>
        <c:ser>
          <c:idx val="3"/>
          <c:order val="3"/>
          <c:tx>
            <c:strRef>
              <c:f>Warr_et_al!$A$43:$A$43</c:f>
              <c:strCache>
                <c:ptCount val="1"/>
                <c:pt idx="0">
                  <c:v>Xe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Warr_et_al!$A$45:$A$50</c:f>
              <c:numCache>
                <c:formatCode>General</c:formatCode>
                <c:ptCount val="6"/>
                <c:pt idx="0">
                  <c:v>293.15</c:v>
                </c:pt>
                <c:pt idx="1">
                  <c:v>303.15</c:v>
                </c:pt>
                <c:pt idx="2">
                  <c:v>313.15</c:v>
                </c:pt>
                <c:pt idx="3">
                  <c:v>323.15</c:v>
                </c:pt>
                <c:pt idx="4">
                  <c:v>333.15</c:v>
                </c:pt>
                <c:pt idx="5">
                  <c:v>343.15</c:v>
                </c:pt>
              </c:numCache>
            </c:numRef>
          </c:xVal>
          <c:yVal>
            <c:numRef>
              <c:f>Warr_et_al!$D$45:$D$50</c:f>
              <c:numCache>
                <c:formatCode>General</c:formatCode>
                <c:ptCount val="6"/>
              </c:numCache>
            </c:numRef>
          </c:yVal>
          <c:smooth val="1"/>
        </c:ser>
        <c:axId val="40366550"/>
        <c:axId val="18858692"/>
      </c:scatterChart>
      <c:valAx>
        <c:axId val="40366550"/>
        <c:scaling>
          <c:orientation val="minMax"/>
          <c:max val="380"/>
          <c:min val="2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Arial"/>
                  </a:rPr>
                  <a:t>Temp (K)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18858692"/>
        <c:crosses val="autoZero"/>
        <c:crossBetween val="midCat"/>
      </c:valAx>
      <c:valAx>
        <c:axId val="188586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Arial"/>
                  </a:rPr>
                  <a:t>dG (kcal/mol)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40366550"/>
        <c:crosses val="autoZero"/>
        <c:crossBetween val="midCat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541989180612874"/>
          <c:y val="0.597052813520261"/>
          <c:w val="0.40905486492645"/>
          <c:h val="0.08949409448818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33119502678394"/>
          <c:y val="0.0229211087420043"/>
          <c:w val="0.728655512201574"/>
          <c:h val="0.761194029850746"/>
        </c:manualLayout>
      </c:layout>
      <c:scatterChart>
        <c:scatterStyle val="line"/>
        <c:varyColors val="0"/>
        <c:ser>
          <c:idx val="0"/>
          <c:order val="0"/>
          <c:tx>
            <c:strRef>
              <c:f>Warr_et_al!$A$3:$A$3</c:f>
              <c:strCache>
                <c:ptCount val="1"/>
                <c:pt idx="0">
                  <c:v>He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Warr_et_al!$A$5:$A$11</c:f>
              <c:numCache>
                <c:formatCode>General</c:formatCode>
                <c:ptCount val="7"/>
                <c:pt idx="0">
                  <c:v>293.15</c:v>
                </c:pt>
                <c:pt idx="1">
                  <c:v>303.15</c:v>
                </c:pt>
                <c:pt idx="2">
                  <c:v>313.15</c:v>
                </c:pt>
                <c:pt idx="3">
                  <c:v>323.15</c:v>
                </c:pt>
                <c:pt idx="4">
                  <c:v>333.15</c:v>
                </c:pt>
                <c:pt idx="5">
                  <c:v>343.15</c:v>
                </c:pt>
                <c:pt idx="6">
                  <c:v>353.15</c:v>
                </c:pt>
              </c:numCache>
            </c:numRef>
          </c:xVal>
          <c:yVal>
            <c:numRef>
              <c:f>Warr_et_al!$B$5:$B$11</c:f>
              <c:numCache>
                <c:formatCode>General</c:formatCode>
                <c:ptCount val="7"/>
                <c:pt idx="0">
                  <c:v>14425.6</c:v>
                </c:pt>
                <c:pt idx="1">
                  <c:v>14712.7</c:v>
                </c:pt>
                <c:pt idx="2">
                  <c:v>14723.2</c:v>
                </c:pt>
                <c:pt idx="3">
                  <c:v>14494.7</c:v>
                </c:pt>
                <c:pt idx="4">
                  <c:v>14070.5</c:v>
                </c:pt>
                <c:pt idx="5">
                  <c:v>13495</c:v>
                </c:pt>
                <c:pt idx="6">
                  <c:v>12810.2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Warr_et_al!$A$23:$A$23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Warr_et_al!$A$25:$A$31</c:f>
              <c:numCache>
                <c:formatCode>General</c:formatCode>
                <c:ptCount val="7"/>
                <c:pt idx="0">
                  <c:v>293.15</c:v>
                </c:pt>
                <c:pt idx="1">
                  <c:v>303.15</c:v>
                </c:pt>
                <c:pt idx="2">
                  <c:v>313.15</c:v>
                </c:pt>
                <c:pt idx="3">
                  <c:v>323.15</c:v>
                </c:pt>
                <c:pt idx="4">
                  <c:v>333.15</c:v>
                </c:pt>
                <c:pt idx="5">
                  <c:v>343.15</c:v>
                </c:pt>
                <c:pt idx="6">
                  <c:v>353.15</c:v>
                </c:pt>
              </c:numCache>
            </c:numRef>
          </c:xVal>
          <c:yVal>
            <c:numRef>
              <c:f>Warr_et_al!$B$25:$B$31</c:f>
              <c:numCache>
                <c:formatCode>General</c:formatCode>
                <c:ptCount val="7"/>
                <c:pt idx="0">
                  <c:v>3707.1</c:v>
                </c:pt>
                <c:pt idx="1">
                  <c:v>4405.6</c:v>
                </c:pt>
                <c:pt idx="2">
                  <c:v>5037.1</c:v>
                </c:pt>
                <c:pt idx="3">
                  <c:v>5572</c:v>
                </c:pt>
                <c:pt idx="4">
                  <c:v>5991.9</c:v>
                </c:pt>
                <c:pt idx="5">
                  <c:v>6289.2</c:v>
                </c:pt>
                <c:pt idx="6">
                  <c:v>6465.5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Warr_et_al!$A$33:$A$33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Warr_et_al!$A$35:$A$40</c:f>
              <c:numCache>
                <c:formatCode>General</c:formatCode>
                <c:ptCount val="6"/>
                <c:pt idx="0">
                  <c:v>293.15</c:v>
                </c:pt>
                <c:pt idx="1">
                  <c:v>303.15</c:v>
                </c:pt>
                <c:pt idx="2">
                  <c:v>313.15</c:v>
                </c:pt>
                <c:pt idx="3">
                  <c:v>323.15</c:v>
                </c:pt>
                <c:pt idx="4">
                  <c:v>333.15</c:v>
                </c:pt>
                <c:pt idx="5">
                  <c:v>343.15</c:v>
                </c:pt>
              </c:numCache>
            </c:numRef>
          </c:xVal>
          <c:yVal>
            <c:numRef>
              <c:f>Warr_et_al!$B$35:$B$40</c:f>
              <c:numCache>
                <c:formatCode>General</c:formatCode>
                <c:ptCount val="6"/>
                <c:pt idx="0">
                  <c:v>2012.6</c:v>
                </c:pt>
                <c:pt idx="1">
                  <c:v>2490.7</c:v>
                </c:pt>
                <c:pt idx="2">
                  <c:v>2948.3</c:v>
                </c:pt>
                <c:pt idx="3">
                  <c:v>3362.6</c:v>
                </c:pt>
                <c:pt idx="4">
                  <c:v>3717</c:v>
                </c:pt>
                <c:pt idx="5">
                  <c:v>4001.9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Warr_et_al!$A$43:$A$43</c:f>
              <c:strCache>
                <c:ptCount val="1"/>
                <c:pt idx="0">
                  <c:v>Xe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Warr_et_al!$A$45:$A$50</c:f>
              <c:numCache>
                <c:formatCode>General</c:formatCode>
                <c:ptCount val="6"/>
                <c:pt idx="0">
                  <c:v>293.15</c:v>
                </c:pt>
                <c:pt idx="1">
                  <c:v>303.15</c:v>
                </c:pt>
                <c:pt idx="2">
                  <c:v>313.15</c:v>
                </c:pt>
                <c:pt idx="3">
                  <c:v>323.15</c:v>
                </c:pt>
                <c:pt idx="4">
                  <c:v>333.15</c:v>
                </c:pt>
                <c:pt idx="5">
                  <c:v>343.15</c:v>
                </c:pt>
              </c:numCache>
            </c:numRef>
          </c:xVal>
          <c:yVal>
            <c:numRef>
              <c:f>Warr_et_al!$B$45:$B$50</c:f>
              <c:numCache>
                <c:formatCode>General</c:formatCode>
                <c:ptCount val="6"/>
                <c:pt idx="0">
                  <c:v>1151</c:v>
                </c:pt>
                <c:pt idx="1">
                  <c:v>1513.4</c:v>
                </c:pt>
                <c:pt idx="2">
                  <c:v>1876.1</c:v>
                </c:pt>
                <c:pt idx="3">
                  <c:v>2216.2</c:v>
                </c:pt>
                <c:pt idx="4">
                  <c:v>2516.1</c:v>
                </c:pt>
                <c:pt idx="5">
                  <c:v>2764.6</c:v>
                </c:pt>
              </c:numCache>
            </c:numRef>
          </c:yVal>
          <c:smooth val="1"/>
        </c:ser>
        <c:axId val="61776676"/>
        <c:axId val="30970818"/>
      </c:scatterChart>
      <c:valAx>
        <c:axId val="61776676"/>
        <c:scaling>
          <c:orientation val="minMax"/>
          <c:max val="380"/>
          <c:min val="2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Arial"/>
                  </a:rPr>
                  <a:t>Temp (K)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30970818"/>
        <c:crosses val="autoZero"/>
        <c:crossBetween val="midCat"/>
      </c:valAx>
      <c:valAx>
        <c:axId val="309708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Arial"/>
                  </a:rPr>
                  <a:t>Kh (MPa)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61776676"/>
        <c:crosses val="autoZero"/>
        <c:crossBetween val="midCat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256887358533559"/>
          <c:y val="0.308082706766917"/>
          <c:w val="0.40905486492645"/>
          <c:h val="0.08949409448818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image" Target="../media/image2.wmf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54000</xdr:rowOff>
    </xdr:from>
    <xdr:to>
      <xdr:col>12</xdr:col>
      <xdr:colOff>490680</xdr:colOff>
      <xdr:row>23</xdr:row>
      <xdr:rowOff>87480</xdr:rowOff>
    </xdr:to>
    <xdr:graphicFrame>
      <xdr:nvGraphicFramePr>
        <xdr:cNvPr id="0" name="Chart 2"/>
        <xdr:cNvGraphicFramePr/>
      </xdr:nvGraphicFramePr>
      <xdr:xfrm>
        <a:off x="0" y="1222200"/>
        <a:ext cx="10280880" cy="327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325080</xdr:colOff>
      <xdr:row>3</xdr:row>
      <xdr:rowOff>90000</xdr:rowOff>
    </xdr:from>
    <xdr:to>
      <xdr:col>17</xdr:col>
      <xdr:colOff>469800</xdr:colOff>
      <xdr:row>31</xdr:row>
      <xdr:rowOff>68400</xdr:rowOff>
    </xdr:to>
    <xdr:graphicFrame>
      <xdr:nvGraphicFramePr>
        <xdr:cNvPr id="13" name="Chart 1"/>
        <xdr:cNvGraphicFramePr/>
      </xdr:nvGraphicFramePr>
      <xdr:xfrm>
        <a:off x="7924680" y="615600"/>
        <a:ext cx="5443200" cy="520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356040</xdr:colOff>
      <xdr:row>31</xdr:row>
      <xdr:rowOff>89280</xdr:rowOff>
    </xdr:from>
    <xdr:to>
      <xdr:col>17</xdr:col>
      <xdr:colOff>500760</xdr:colOff>
      <xdr:row>49</xdr:row>
      <xdr:rowOff>128160</xdr:rowOff>
    </xdr:to>
    <xdr:graphicFrame>
      <xdr:nvGraphicFramePr>
        <xdr:cNvPr id="14" name="Chart 2"/>
        <xdr:cNvGraphicFramePr/>
      </xdr:nvGraphicFramePr>
      <xdr:xfrm>
        <a:off x="7955640" y="5842080"/>
        <a:ext cx="5443200" cy="337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800280</xdr:colOff>
      <xdr:row>7</xdr:row>
      <xdr:rowOff>76320</xdr:rowOff>
    </xdr:from>
    <xdr:to>
      <xdr:col>6</xdr:col>
      <xdr:colOff>168120</xdr:colOff>
      <xdr:row>20</xdr:row>
      <xdr:rowOff>154080</xdr:rowOff>
    </xdr:to>
    <xdr:graphicFrame>
      <xdr:nvGraphicFramePr>
        <xdr:cNvPr id="1" name="Chart 1"/>
        <xdr:cNvGraphicFramePr/>
      </xdr:nvGraphicFramePr>
      <xdr:xfrm>
        <a:off x="800280" y="1434960"/>
        <a:ext cx="5329800" cy="255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746280</xdr:colOff>
      <xdr:row>6</xdr:row>
      <xdr:rowOff>34920</xdr:rowOff>
    </xdr:from>
    <xdr:to>
      <xdr:col>6</xdr:col>
      <xdr:colOff>271800</xdr:colOff>
      <xdr:row>21</xdr:row>
      <xdr:rowOff>14400</xdr:rowOff>
    </xdr:to>
    <xdr:graphicFrame>
      <xdr:nvGraphicFramePr>
        <xdr:cNvPr id="2" name="Chart 3"/>
        <xdr:cNvGraphicFramePr/>
      </xdr:nvGraphicFramePr>
      <xdr:xfrm>
        <a:off x="746280" y="1203120"/>
        <a:ext cx="5486040" cy="283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3240</xdr:colOff>
      <xdr:row>6</xdr:row>
      <xdr:rowOff>85680</xdr:rowOff>
    </xdr:from>
    <xdr:to>
      <xdr:col>7</xdr:col>
      <xdr:colOff>208080</xdr:colOff>
      <xdr:row>21</xdr:row>
      <xdr:rowOff>65160</xdr:rowOff>
    </xdr:to>
    <xdr:graphicFrame>
      <xdr:nvGraphicFramePr>
        <xdr:cNvPr id="3" name="Chart 1"/>
        <xdr:cNvGraphicFramePr/>
      </xdr:nvGraphicFramePr>
      <xdr:xfrm>
        <a:off x="614520" y="1253880"/>
        <a:ext cx="5580000" cy="283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543960</xdr:colOff>
      <xdr:row>10</xdr:row>
      <xdr:rowOff>97560</xdr:rowOff>
    </xdr:from>
    <xdr:to>
      <xdr:col>7</xdr:col>
      <xdr:colOff>1320480</xdr:colOff>
      <xdr:row>25</xdr:row>
      <xdr:rowOff>77400</xdr:rowOff>
    </xdr:to>
    <xdr:graphicFrame>
      <xdr:nvGraphicFramePr>
        <xdr:cNvPr id="4" name="Chart 2"/>
        <xdr:cNvGraphicFramePr/>
      </xdr:nvGraphicFramePr>
      <xdr:xfrm>
        <a:off x="543960" y="1984680"/>
        <a:ext cx="6059520" cy="283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39960</xdr:colOff>
      <xdr:row>13</xdr:row>
      <xdr:rowOff>165960</xdr:rowOff>
    </xdr:from>
    <xdr:to>
      <xdr:col>15</xdr:col>
      <xdr:colOff>108360</xdr:colOff>
      <xdr:row>32</xdr:row>
      <xdr:rowOff>76320</xdr:rowOff>
    </xdr:to>
    <xdr:graphicFrame>
      <xdr:nvGraphicFramePr>
        <xdr:cNvPr id="5" name=""/>
        <xdr:cNvGraphicFramePr/>
      </xdr:nvGraphicFramePr>
      <xdr:xfrm>
        <a:off x="6572520" y="2431440"/>
        <a:ext cx="57848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69840</xdr:colOff>
      <xdr:row>8</xdr:row>
      <xdr:rowOff>76680</xdr:rowOff>
    </xdr:from>
    <xdr:to>
      <xdr:col>13</xdr:col>
      <xdr:colOff>35280</xdr:colOff>
      <xdr:row>11</xdr:row>
      <xdr:rowOff>69120</xdr:rowOff>
    </xdr:to>
    <xdr:pic>
      <xdr:nvPicPr>
        <xdr:cNvPr id="6" name="Image 1" descr=""/>
        <xdr:cNvPicPr/>
      </xdr:nvPicPr>
      <xdr:blipFill>
        <a:blip r:embed="rId2"/>
        <a:stretch/>
      </xdr:blipFill>
      <xdr:spPr>
        <a:xfrm>
          <a:off x="5785920" y="1465920"/>
          <a:ext cx="4865040" cy="518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503640</xdr:colOff>
      <xdr:row>7</xdr:row>
      <xdr:rowOff>14040</xdr:rowOff>
    </xdr:from>
    <xdr:to>
      <xdr:col>30</xdr:col>
      <xdr:colOff>648000</xdr:colOff>
      <xdr:row>34</xdr:row>
      <xdr:rowOff>182160</xdr:rowOff>
    </xdr:to>
    <xdr:graphicFrame>
      <xdr:nvGraphicFramePr>
        <xdr:cNvPr id="7" name="Chart 1"/>
        <xdr:cNvGraphicFramePr/>
      </xdr:nvGraphicFramePr>
      <xdr:xfrm>
        <a:off x="18867600" y="1240560"/>
        <a:ext cx="5442840" cy="520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356400</xdr:colOff>
      <xdr:row>35</xdr:row>
      <xdr:rowOff>89280</xdr:rowOff>
    </xdr:from>
    <xdr:to>
      <xdr:col>26</xdr:col>
      <xdr:colOff>501480</xdr:colOff>
      <xdr:row>53</xdr:row>
      <xdr:rowOff>128160</xdr:rowOff>
    </xdr:to>
    <xdr:graphicFrame>
      <xdr:nvGraphicFramePr>
        <xdr:cNvPr id="8" name="Chart 2"/>
        <xdr:cNvGraphicFramePr/>
      </xdr:nvGraphicFramePr>
      <xdr:xfrm>
        <a:off x="15692760" y="6543360"/>
        <a:ext cx="5443560" cy="337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153360</xdr:colOff>
      <xdr:row>25</xdr:row>
      <xdr:rowOff>101160</xdr:rowOff>
    </xdr:from>
    <xdr:to>
      <xdr:col>17</xdr:col>
      <xdr:colOff>524160</xdr:colOff>
      <xdr:row>41</xdr:row>
      <xdr:rowOff>38520</xdr:rowOff>
    </xdr:to>
    <xdr:graphicFrame>
      <xdr:nvGraphicFramePr>
        <xdr:cNvPr id="9" name="Chart 2"/>
        <xdr:cNvGraphicFramePr/>
      </xdr:nvGraphicFramePr>
      <xdr:xfrm>
        <a:off x="10956960" y="4619520"/>
        <a:ext cx="41554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121320</xdr:colOff>
      <xdr:row>25</xdr:row>
      <xdr:rowOff>134640</xdr:rowOff>
    </xdr:from>
    <xdr:to>
      <xdr:col>17</xdr:col>
      <xdr:colOff>564480</xdr:colOff>
      <xdr:row>41</xdr:row>
      <xdr:rowOff>72360</xdr:rowOff>
    </xdr:to>
    <xdr:graphicFrame>
      <xdr:nvGraphicFramePr>
        <xdr:cNvPr id="10" name="Chart 3"/>
        <xdr:cNvGraphicFramePr/>
      </xdr:nvGraphicFramePr>
      <xdr:xfrm>
        <a:off x="10924920" y="4653000"/>
        <a:ext cx="42278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363240</xdr:colOff>
      <xdr:row>4</xdr:row>
      <xdr:rowOff>102600</xdr:rowOff>
    </xdr:from>
    <xdr:to>
      <xdr:col>20</xdr:col>
      <xdr:colOff>507960</xdr:colOff>
      <xdr:row>21</xdr:row>
      <xdr:rowOff>169920</xdr:rowOff>
    </xdr:to>
    <xdr:graphicFrame>
      <xdr:nvGraphicFramePr>
        <xdr:cNvPr id="11" name="Chart 1"/>
        <xdr:cNvGraphicFramePr/>
      </xdr:nvGraphicFramePr>
      <xdr:xfrm>
        <a:off x="10203120" y="803520"/>
        <a:ext cx="5443200" cy="304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47520</xdr:colOff>
      <xdr:row>23</xdr:row>
      <xdr:rowOff>12600</xdr:rowOff>
    </xdr:from>
    <xdr:to>
      <xdr:col>21</xdr:col>
      <xdr:colOff>119880</xdr:colOff>
      <xdr:row>40</xdr:row>
      <xdr:rowOff>79920</xdr:rowOff>
    </xdr:to>
    <xdr:graphicFrame>
      <xdr:nvGraphicFramePr>
        <xdr:cNvPr id="12" name="Chart 2"/>
        <xdr:cNvGraphicFramePr/>
      </xdr:nvGraphicFramePr>
      <xdr:xfrm>
        <a:off x="10644120" y="4043520"/>
        <a:ext cx="5370840" cy="304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67" zoomScaleNormal="167" zoomScalePageLayoutView="100" workbookViewId="0">
      <selection pane="topLeft" activeCell="D4" activeCellId="0" sqref="D4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3.5"/>
    <col collapsed="false" customWidth="true" hidden="false" outlineLevel="0" max="7" min="2" style="0" width="13.17"/>
    <col collapsed="false" customWidth="true" hidden="false" outlineLevel="0" max="8" min="8" style="0" width="20.83"/>
  </cols>
  <sheetData>
    <row r="1" customFormat="false" ht="16" hidden="false" customHeight="false" outlineLevel="0" collapsed="false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6" t="s">
        <v>5</v>
      </c>
      <c r="H1" s="7" t="s">
        <v>6</v>
      </c>
    </row>
    <row r="2" customFormat="false" ht="15" hidden="false" customHeight="false" outlineLevel="0" collapsed="false">
      <c r="A2" s="8" t="s">
        <v>7</v>
      </c>
      <c r="B2" s="9" t="n">
        <v>1.825</v>
      </c>
      <c r="C2" s="10" t="n">
        <v>1.81</v>
      </c>
      <c r="D2" s="10" t="n">
        <v>1.832</v>
      </c>
      <c r="E2" s="10" t="n">
        <v>1.862</v>
      </c>
      <c r="F2" s="10" t="n">
        <v>1.835</v>
      </c>
      <c r="G2" s="10" t="n">
        <f aca="false">AVERAGE(B2:F2)</f>
        <v>1.8328</v>
      </c>
      <c r="H2" s="11" t="n">
        <v>2.477536196</v>
      </c>
    </row>
    <row r="3" customFormat="false" ht="15" hidden="false" customHeight="false" outlineLevel="0" collapsed="false">
      <c r="A3" s="12" t="s">
        <v>8</v>
      </c>
      <c r="B3" s="9" t="n">
        <v>1.49</v>
      </c>
      <c r="C3" s="10" t="n">
        <v>1.625</v>
      </c>
      <c r="D3" s="10" t="n">
        <v>1.56</v>
      </c>
      <c r="E3" s="10" t="n">
        <v>1.52</v>
      </c>
      <c r="F3" s="10" t="n">
        <v>1.575</v>
      </c>
      <c r="G3" s="10" t="n">
        <f aca="false">AVERAGE(B3:F3)</f>
        <v>1.554</v>
      </c>
      <c r="H3" s="11" t="n">
        <v>1.9867612756</v>
      </c>
    </row>
    <row r="4" customFormat="false" ht="15" hidden="false" customHeight="false" outlineLevel="0" collapsed="false">
      <c r="A4" s="12" t="s">
        <v>9</v>
      </c>
      <c r="B4" s="9" t="n">
        <v>1.07</v>
      </c>
      <c r="C4" s="10" t="n">
        <v>1.45</v>
      </c>
      <c r="D4" s="10" t="n">
        <v>1.17</v>
      </c>
      <c r="E4" s="10" t="n">
        <v>1.15</v>
      </c>
      <c r="F4" s="10" t="n">
        <v>1.1</v>
      </c>
      <c r="G4" s="10" t="n">
        <f aca="false">AVERAGE(B4:F4)</f>
        <v>1.188</v>
      </c>
      <c r="H4" s="11" t="n">
        <v>1.662525736</v>
      </c>
    </row>
    <row r="5" customFormat="false" ht="15" hidden="false" customHeight="false" outlineLevel="0" collapsed="false">
      <c r="A5" s="12" t="s">
        <v>10</v>
      </c>
      <c r="B5" s="9" t="n">
        <v>0.82</v>
      </c>
      <c r="C5" s="10" t="n">
        <v>0.83</v>
      </c>
      <c r="D5" s="10" t="n">
        <v>0.83</v>
      </c>
      <c r="E5" s="10" t="n">
        <v>0.99</v>
      </c>
      <c r="F5" s="10" t="n">
        <v>0.88</v>
      </c>
      <c r="G5" s="10" t="n">
        <f aca="false">AVERAGE(B5:F5)</f>
        <v>0.87</v>
      </c>
      <c r="H5" s="11" t="n">
        <v>1.447420336</v>
      </c>
    </row>
    <row r="6" customFormat="false" ht="16" hidden="false" customHeight="false" outlineLevel="0" collapsed="false">
      <c r="A6" s="13" t="s">
        <v>11</v>
      </c>
      <c r="B6" s="14" t="n">
        <v>-0.05</v>
      </c>
      <c r="C6" s="15" t="n">
        <v>-0.09</v>
      </c>
      <c r="D6" s="15" t="n">
        <v>0.37</v>
      </c>
      <c r="E6" s="15" t="n">
        <v>0.21</v>
      </c>
      <c r="F6" s="15" t="n">
        <v>0.18</v>
      </c>
      <c r="G6" s="15" t="n">
        <f aca="false">AVERAGE(B6:F6)</f>
        <v>0.124</v>
      </c>
      <c r="H6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0.7421875" defaultRowHeight="13.8" zeroHeight="false" outlineLevelRow="0" outlineLevelCol="0"/>
  <cols>
    <col collapsed="false" customWidth="true" hidden="false" outlineLevel="0" max="7" min="7" style="0" width="11.16"/>
  </cols>
  <sheetData>
    <row r="1" customFormat="false" ht="13.8" hidden="false" customHeight="false" outlineLevel="0" collapsed="false">
      <c r="A1" s="0" t="s">
        <v>55</v>
      </c>
      <c r="B1" s="0" t="n">
        <v>0.101325</v>
      </c>
    </row>
    <row r="2" customFormat="false" ht="13.8" hidden="false" customHeight="false" outlineLevel="0" collapsed="false">
      <c r="A2" s="0" t="s">
        <v>63</v>
      </c>
    </row>
    <row r="3" customFormat="false" ht="13.8" hidden="false" customHeight="false" outlineLevel="0" collapsed="false">
      <c r="A3" s="35" t="s">
        <v>31</v>
      </c>
    </row>
    <row r="4" customFormat="false" ht="13.8" hidden="false" customHeight="false" outlineLevel="0" collapsed="false">
      <c r="A4" s="36" t="s">
        <v>33</v>
      </c>
      <c r="B4" s="36" t="s">
        <v>64</v>
      </c>
      <c r="C4" s="36"/>
      <c r="D4" s="36"/>
      <c r="F4" s="43"/>
      <c r="G4" s="43"/>
      <c r="H4" s="43"/>
    </row>
    <row r="5" customFormat="false" ht="15" hidden="false" customHeight="false" outlineLevel="0" collapsed="false">
      <c r="A5" s="47" t="n">
        <v>293.15</v>
      </c>
      <c r="B5" s="48" t="n">
        <v>14425.6</v>
      </c>
      <c r="F5" s="45"/>
      <c r="G5" s="45"/>
      <c r="H5" s="45"/>
    </row>
    <row r="6" customFormat="false" ht="15" hidden="false" customHeight="false" outlineLevel="0" collapsed="false">
      <c r="A6" s="47" t="n">
        <v>303.15</v>
      </c>
      <c r="B6" s="48" t="n">
        <v>14712.7</v>
      </c>
      <c r="F6" s="45"/>
      <c r="G6" s="45"/>
      <c r="H6" s="45"/>
    </row>
    <row r="7" customFormat="false" ht="15" hidden="false" customHeight="false" outlineLevel="0" collapsed="false">
      <c r="A7" s="47" t="n">
        <v>313.15</v>
      </c>
      <c r="B7" s="48" t="n">
        <v>14723.2</v>
      </c>
      <c r="F7" s="45"/>
      <c r="G7" s="45"/>
      <c r="H7" s="45"/>
    </row>
    <row r="8" customFormat="false" ht="15" hidden="false" customHeight="false" outlineLevel="0" collapsed="false">
      <c r="A8" s="47" t="n">
        <v>323.15</v>
      </c>
      <c r="B8" s="48" t="n">
        <v>14494.7</v>
      </c>
      <c r="F8" s="45"/>
      <c r="G8" s="45"/>
      <c r="H8" s="45"/>
    </row>
    <row r="9" customFormat="false" ht="15" hidden="false" customHeight="false" outlineLevel="0" collapsed="false">
      <c r="A9" s="47" t="n">
        <v>333.15</v>
      </c>
      <c r="B9" s="48" t="n">
        <v>14070.5</v>
      </c>
      <c r="F9" s="45"/>
      <c r="G9" s="45"/>
      <c r="H9" s="45"/>
    </row>
    <row r="10" customFormat="false" ht="15" hidden="false" customHeight="false" outlineLevel="0" collapsed="false">
      <c r="A10" s="47" t="n">
        <v>343.15</v>
      </c>
      <c r="B10" s="48" t="n">
        <v>13495</v>
      </c>
      <c r="F10" s="45"/>
      <c r="G10" s="45"/>
      <c r="H10" s="45"/>
    </row>
    <row r="11" customFormat="false" ht="15" hidden="false" customHeight="false" outlineLevel="0" collapsed="false">
      <c r="A11" s="47" t="n">
        <v>353.15</v>
      </c>
      <c r="B11" s="48" t="n">
        <v>12810.2</v>
      </c>
      <c r="F11" s="45"/>
      <c r="G11" s="45"/>
      <c r="H11" s="45"/>
    </row>
    <row r="13" customFormat="false" ht="13.8" hidden="false" customHeight="false" outlineLevel="0" collapsed="false">
      <c r="A13" s="35" t="s">
        <v>41</v>
      </c>
    </row>
    <row r="14" customFormat="false" ht="13.8" hidden="false" customHeight="false" outlineLevel="0" collapsed="false">
      <c r="A14" s="36" t="s">
        <v>33</v>
      </c>
      <c r="B14" s="36" t="s">
        <v>64</v>
      </c>
      <c r="C14" s="36"/>
      <c r="D14" s="36"/>
      <c r="F14" s="43"/>
      <c r="G14" s="43"/>
      <c r="H14" s="43"/>
    </row>
    <row r="15" customFormat="false" ht="15" hidden="false" customHeight="false" outlineLevel="0" collapsed="false">
      <c r="A15" s="47" t="n">
        <v>293.15</v>
      </c>
      <c r="B15" s="47" t="n">
        <v>12134.1</v>
      </c>
      <c r="F15" s="45"/>
      <c r="G15" s="45"/>
      <c r="H15" s="45"/>
    </row>
    <row r="16" customFormat="false" ht="15" hidden="false" customHeight="false" outlineLevel="0" collapsed="false">
      <c r="A16" s="47" t="n">
        <v>303.15</v>
      </c>
      <c r="B16" s="47" t="n">
        <v>12851.2</v>
      </c>
      <c r="F16" s="45"/>
      <c r="G16" s="45"/>
      <c r="H16" s="45"/>
    </row>
    <row r="17" customFormat="false" ht="15" hidden="false" customHeight="false" outlineLevel="0" collapsed="false">
      <c r="A17" s="47" t="n">
        <v>313.15</v>
      </c>
      <c r="B17" s="47" t="n">
        <v>13299</v>
      </c>
      <c r="F17" s="45"/>
      <c r="G17" s="45"/>
      <c r="H17" s="45"/>
    </row>
    <row r="18" customFormat="false" ht="15" hidden="false" customHeight="false" outlineLevel="0" collapsed="false">
      <c r="A18" s="47" t="n">
        <v>323.15</v>
      </c>
      <c r="B18" s="47" t="n">
        <v>13495.2</v>
      </c>
      <c r="F18" s="45"/>
      <c r="G18" s="45"/>
      <c r="H18" s="45"/>
    </row>
    <row r="19" customFormat="false" ht="15" hidden="false" customHeight="false" outlineLevel="0" collapsed="false">
      <c r="A19" s="47" t="n">
        <v>333.15</v>
      </c>
      <c r="B19" s="47" t="n">
        <v>13468.8</v>
      </c>
      <c r="F19" s="45"/>
      <c r="G19" s="45"/>
      <c r="H19" s="45"/>
    </row>
    <row r="20" customFormat="false" ht="15" hidden="false" customHeight="false" outlineLevel="0" collapsed="false">
      <c r="A20" s="47" t="n">
        <v>343.15</v>
      </c>
      <c r="B20" s="47" t="n">
        <v>13254.9</v>
      </c>
      <c r="F20" s="45"/>
      <c r="G20" s="45"/>
      <c r="H20" s="45"/>
    </row>
    <row r="21" customFormat="false" ht="15" hidden="false" customHeight="false" outlineLevel="0" collapsed="false">
      <c r="A21" s="47" t="n">
        <v>353.15</v>
      </c>
      <c r="B21" s="47" t="n">
        <v>12890.2</v>
      </c>
      <c r="F21" s="45"/>
      <c r="G21" s="45"/>
      <c r="H21" s="45"/>
    </row>
    <row r="23" customFormat="false" ht="13.8" hidden="false" customHeight="false" outlineLevel="0" collapsed="false">
      <c r="A23" s="35" t="s">
        <v>42</v>
      </c>
    </row>
    <row r="24" customFormat="false" ht="13.8" hidden="false" customHeight="false" outlineLevel="0" collapsed="false">
      <c r="A24" s="36" t="s">
        <v>33</v>
      </c>
      <c r="B24" s="36"/>
      <c r="C24" s="36"/>
      <c r="D24" s="36"/>
      <c r="F24" s="43"/>
      <c r="G24" s="43"/>
      <c r="H24" s="43"/>
    </row>
    <row r="25" customFormat="false" ht="15" hidden="false" customHeight="false" outlineLevel="0" collapsed="false">
      <c r="A25" s="47" t="n">
        <v>293.15</v>
      </c>
      <c r="B25" s="47" t="n">
        <v>3707.1</v>
      </c>
      <c r="F25" s="45"/>
      <c r="G25" s="45"/>
      <c r="H25" s="45"/>
    </row>
    <row r="26" customFormat="false" ht="15" hidden="false" customHeight="false" outlineLevel="0" collapsed="false">
      <c r="A26" s="47" t="n">
        <v>303.15</v>
      </c>
      <c r="B26" s="47" t="n">
        <v>4405.6</v>
      </c>
      <c r="F26" s="45"/>
      <c r="G26" s="45"/>
      <c r="H26" s="45"/>
    </row>
    <row r="27" customFormat="false" ht="15" hidden="false" customHeight="false" outlineLevel="0" collapsed="false">
      <c r="A27" s="47" t="n">
        <v>313.15</v>
      </c>
      <c r="B27" s="47" t="n">
        <v>5037.1</v>
      </c>
      <c r="F27" s="45"/>
      <c r="G27" s="45"/>
      <c r="H27" s="45"/>
    </row>
    <row r="28" customFormat="false" ht="15" hidden="false" customHeight="false" outlineLevel="0" collapsed="false">
      <c r="A28" s="47" t="n">
        <v>323.15</v>
      </c>
      <c r="B28" s="47" t="n">
        <v>5572</v>
      </c>
      <c r="F28" s="45"/>
      <c r="G28" s="45"/>
      <c r="H28" s="45"/>
    </row>
    <row r="29" customFormat="false" ht="15" hidden="false" customHeight="false" outlineLevel="0" collapsed="false">
      <c r="A29" s="47" t="n">
        <v>333.15</v>
      </c>
      <c r="B29" s="47" t="n">
        <v>5991.9</v>
      </c>
      <c r="F29" s="45"/>
      <c r="G29" s="45"/>
      <c r="H29" s="45"/>
    </row>
    <row r="30" customFormat="false" ht="15" hidden="false" customHeight="false" outlineLevel="0" collapsed="false">
      <c r="A30" s="47" t="n">
        <v>343.15</v>
      </c>
      <c r="B30" s="47" t="n">
        <v>6289.2</v>
      </c>
      <c r="F30" s="45"/>
      <c r="G30" s="45"/>
      <c r="H30" s="45"/>
    </row>
    <row r="31" customFormat="false" ht="15" hidden="false" customHeight="false" outlineLevel="0" collapsed="false">
      <c r="A31" s="47" t="n">
        <v>353.15</v>
      </c>
      <c r="B31" s="47" t="n">
        <v>6465.5</v>
      </c>
      <c r="F31" s="45"/>
      <c r="G31" s="45"/>
      <c r="H31" s="45"/>
    </row>
    <row r="33" customFormat="false" ht="13.8" hidden="false" customHeight="false" outlineLevel="0" collapsed="false">
      <c r="A33" s="35" t="s">
        <v>43</v>
      </c>
    </row>
    <row r="34" customFormat="false" ht="13.8" hidden="false" customHeight="false" outlineLevel="0" collapsed="false">
      <c r="A34" s="36" t="s">
        <v>33</v>
      </c>
      <c r="B34" s="36"/>
      <c r="C34" s="36"/>
      <c r="D34" s="36"/>
      <c r="F34" s="43"/>
      <c r="G34" s="43"/>
      <c r="H34" s="43"/>
    </row>
    <row r="35" customFormat="false" ht="15" hidden="false" customHeight="false" outlineLevel="0" collapsed="false">
      <c r="A35" s="47" t="n">
        <v>293.15</v>
      </c>
      <c r="B35" s="47" t="n">
        <v>2012.6</v>
      </c>
      <c r="F35" s="45"/>
      <c r="G35" s="45"/>
      <c r="H35" s="45"/>
    </row>
    <row r="36" customFormat="false" ht="15" hidden="false" customHeight="false" outlineLevel="0" collapsed="false">
      <c r="A36" s="47" t="n">
        <v>303.15</v>
      </c>
      <c r="B36" s="47" t="n">
        <v>2490.7</v>
      </c>
      <c r="F36" s="45"/>
      <c r="G36" s="45"/>
      <c r="H36" s="45"/>
    </row>
    <row r="37" customFormat="false" ht="15" hidden="false" customHeight="false" outlineLevel="0" collapsed="false">
      <c r="A37" s="47" t="n">
        <v>313.15</v>
      </c>
      <c r="B37" s="47" t="n">
        <v>2948.3</v>
      </c>
      <c r="F37" s="45"/>
      <c r="G37" s="45"/>
      <c r="H37" s="45"/>
    </row>
    <row r="38" customFormat="false" ht="15" hidden="false" customHeight="false" outlineLevel="0" collapsed="false">
      <c r="A38" s="47" t="n">
        <v>323.15</v>
      </c>
      <c r="B38" s="47" t="n">
        <v>3362.6</v>
      </c>
      <c r="F38" s="45"/>
      <c r="G38" s="45"/>
      <c r="H38" s="45"/>
    </row>
    <row r="39" customFormat="false" ht="15" hidden="false" customHeight="false" outlineLevel="0" collapsed="false">
      <c r="A39" s="47" t="n">
        <v>333.15</v>
      </c>
      <c r="B39" s="47" t="n">
        <v>3717</v>
      </c>
      <c r="F39" s="45"/>
      <c r="G39" s="45"/>
      <c r="H39" s="45"/>
    </row>
    <row r="40" customFormat="false" ht="15" hidden="false" customHeight="false" outlineLevel="0" collapsed="false">
      <c r="A40" s="47" t="n">
        <v>343.15</v>
      </c>
      <c r="B40" s="47" t="n">
        <v>4001.9</v>
      </c>
      <c r="F40" s="45"/>
      <c r="G40" s="45"/>
      <c r="H40" s="45"/>
    </row>
    <row r="41" customFormat="false" ht="15" hidden="false" customHeight="false" outlineLevel="0" collapsed="false">
      <c r="A41" s="47" t="n">
        <v>353.15</v>
      </c>
      <c r="B41" s="47" t="n">
        <v>4213.7</v>
      </c>
      <c r="F41" s="45"/>
      <c r="G41" s="45"/>
      <c r="H41" s="45"/>
    </row>
    <row r="43" customFormat="false" ht="13.8" hidden="false" customHeight="false" outlineLevel="0" collapsed="false">
      <c r="A43" s="35" t="s">
        <v>44</v>
      </c>
    </row>
    <row r="44" customFormat="false" ht="13.8" hidden="false" customHeight="false" outlineLevel="0" collapsed="false">
      <c r="A44" s="36" t="s">
        <v>33</v>
      </c>
      <c r="B44" s="36"/>
      <c r="C44" s="36"/>
      <c r="D44" s="36"/>
      <c r="F44" s="43"/>
      <c r="G44" s="43"/>
      <c r="H44" s="49"/>
    </row>
    <row r="45" customFormat="false" ht="15" hidden="false" customHeight="false" outlineLevel="0" collapsed="false">
      <c r="A45" s="47" t="n">
        <v>293.15</v>
      </c>
      <c r="B45" s="47" t="n">
        <v>1151</v>
      </c>
      <c r="F45" s="45"/>
      <c r="G45" s="45"/>
      <c r="H45" s="45"/>
    </row>
    <row r="46" customFormat="false" ht="15" hidden="false" customHeight="false" outlineLevel="0" collapsed="false">
      <c r="A46" s="47" t="n">
        <v>303.15</v>
      </c>
      <c r="B46" s="47" t="n">
        <v>1513.4</v>
      </c>
      <c r="F46" s="45"/>
      <c r="G46" s="45"/>
      <c r="H46" s="45"/>
    </row>
    <row r="47" customFormat="false" ht="15" hidden="false" customHeight="false" outlineLevel="0" collapsed="false">
      <c r="A47" s="47" t="n">
        <v>313.15</v>
      </c>
      <c r="B47" s="47" t="n">
        <v>1876.1</v>
      </c>
      <c r="F47" s="45"/>
      <c r="G47" s="45"/>
      <c r="H47" s="45"/>
    </row>
    <row r="48" customFormat="false" ht="15" hidden="false" customHeight="false" outlineLevel="0" collapsed="false">
      <c r="A48" s="47" t="n">
        <v>323.15</v>
      </c>
      <c r="B48" s="48" t="n">
        <v>2216.2</v>
      </c>
      <c r="F48" s="45"/>
      <c r="G48" s="45"/>
      <c r="H48" s="45"/>
    </row>
    <row r="49" customFormat="false" ht="15" hidden="false" customHeight="false" outlineLevel="0" collapsed="false">
      <c r="A49" s="47" t="n">
        <v>333.15</v>
      </c>
      <c r="B49" s="47" t="n">
        <v>2516.1</v>
      </c>
      <c r="F49" s="45"/>
      <c r="G49" s="45"/>
      <c r="H49" s="45"/>
    </row>
    <row r="50" customFormat="false" ht="15" hidden="false" customHeight="false" outlineLevel="0" collapsed="false">
      <c r="A50" s="47" t="n">
        <v>343.15</v>
      </c>
      <c r="B50" s="47" t="n">
        <v>2764.6</v>
      </c>
      <c r="F50" s="45"/>
      <c r="G50" s="45"/>
      <c r="H50" s="45"/>
    </row>
    <row r="51" customFormat="false" ht="15" hidden="false" customHeight="false" outlineLevel="0" collapsed="false">
      <c r="A51" s="47" t="n">
        <v>353.15</v>
      </c>
      <c r="B51" s="47" t="n">
        <v>2956.7</v>
      </c>
      <c r="F51" s="45"/>
      <c r="G51" s="45"/>
      <c r="H51" s="4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9" activeCellId="0" sqref="H9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3.33"/>
    <col collapsed="false" customWidth="true" hidden="false" outlineLevel="0" max="3" min="3" style="0" width="14.66"/>
    <col collapsed="false" customWidth="true" hidden="false" outlineLevel="0" max="4" min="4" style="0" width="13.83"/>
    <col collapsed="false" customWidth="true" hidden="false" outlineLevel="0" max="5" min="5" style="0" width="12.66"/>
    <col collapsed="false" customWidth="true" hidden="false" outlineLevel="0" max="6" min="6" style="0" width="14.35"/>
    <col collapsed="false" customWidth="true" hidden="false" outlineLevel="0" max="7" min="7" style="0" width="10.33"/>
    <col collapsed="false" customWidth="true" hidden="false" outlineLevel="0" max="8" min="8" style="0" width="19.84"/>
  </cols>
  <sheetData>
    <row r="1" customFormat="false" ht="16" hidden="false" customHeight="false" outlineLevel="0" collapsed="false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17" t="s">
        <v>5</v>
      </c>
      <c r="H1" s="7" t="s">
        <v>6</v>
      </c>
    </row>
    <row r="2" customFormat="false" ht="15" hidden="false" customHeight="false" outlineLevel="0" collapsed="false">
      <c r="A2" s="8" t="s">
        <v>7</v>
      </c>
      <c r="B2" s="9" t="n">
        <v>1.93</v>
      </c>
      <c r="C2" s="10" t="n">
        <v>1.95</v>
      </c>
      <c r="D2" s="10" t="n">
        <v>1.97</v>
      </c>
      <c r="E2" s="10" t="n">
        <v>1.96</v>
      </c>
      <c r="F2" s="10" t="n">
        <v>1.95</v>
      </c>
      <c r="G2" s="10" t="n">
        <f aca="false">AVERAGE(B2:F2)</f>
        <v>1.952</v>
      </c>
      <c r="H2" s="11" t="n">
        <v>2.477536196</v>
      </c>
    </row>
    <row r="3" customFormat="false" ht="15" hidden="false" customHeight="false" outlineLevel="0" collapsed="false">
      <c r="A3" s="12" t="s">
        <v>8</v>
      </c>
      <c r="B3" s="9" t="n">
        <v>1.75</v>
      </c>
      <c r="C3" s="10" t="n">
        <v>1.73</v>
      </c>
      <c r="D3" s="10" t="n">
        <v>1.87</v>
      </c>
      <c r="E3" s="10" t="n">
        <v>1.81</v>
      </c>
      <c r="F3" s="10" t="n">
        <v>1.9</v>
      </c>
      <c r="G3" s="10" t="n">
        <f aca="false">AVERAGE(B3:F3)</f>
        <v>1.812</v>
      </c>
      <c r="H3" s="11" t="n">
        <v>1.9867612756</v>
      </c>
    </row>
    <row r="4" customFormat="false" ht="15" hidden="false" customHeight="false" outlineLevel="0" collapsed="false">
      <c r="A4" s="12" t="s">
        <v>9</v>
      </c>
      <c r="B4" s="9" t="n">
        <v>1.62</v>
      </c>
      <c r="C4" s="10" t="n">
        <v>1.45</v>
      </c>
      <c r="D4" s="10" t="n">
        <v>1.52</v>
      </c>
      <c r="E4" s="10" t="n">
        <v>1.7</v>
      </c>
      <c r="F4" s="10" t="n">
        <v>1.61</v>
      </c>
      <c r="G4" s="10" t="n">
        <f aca="false">AVERAGE(B4:F4)</f>
        <v>1.58</v>
      </c>
      <c r="H4" s="11" t="n">
        <v>1.662525736</v>
      </c>
    </row>
    <row r="5" customFormat="false" ht="15" hidden="false" customHeight="false" outlineLevel="0" collapsed="false">
      <c r="A5" s="12" t="s">
        <v>10</v>
      </c>
      <c r="B5" s="9" t="n">
        <v>1.18</v>
      </c>
      <c r="C5" s="10" t="n">
        <v>1.15</v>
      </c>
      <c r="D5" s="10" t="n">
        <v>1.18</v>
      </c>
      <c r="E5" s="10" t="n">
        <v>1.5</v>
      </c>
      <c r="F5" s="10" t="n">
        <v>1.1</v>
      </c>
      <c r="G5" s="10" t="n">
        <f aca="false">AVERAGE(B5:F5)</f>
        <v>1.222</v>
      </c>
      <c r="H5" s="11" t="n">
        <v>1.447420336</v>
      </c>
    </row>
    <row r="6" customFormat="false" ht="16" hidden="false" customHeight="false" outlineLevel="0" collapsed="false">
      <c r="A6" s="13" t="s">
        <v>11</v>
      </c>
      <c r="B6" s="14" t="n">
        <v>0.41</v>
      </c>
      <c r="C6" s="15" t="n">
        <v>0.9</v>
      </c>
      <c r="D6" s="15" t="n">
        <v>0.55</v>
      </c>
      <c r="E6" s="15" t="n">
        <v>0.45</v>
      </c>
      <c r="F6" s="15" t="n">
        <v>0.45</v>
      </c>
      <c r="G6" s="15" t="n">
        <f aca="false">AVERAGE(B6:F6)</f>
        <v>0.552</v>
      </c>
      <c r="H6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2" activeCellId="0" sqref="K2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7.16"/>
    <col collapsed="false" customWidth="true" hidden="false" outlineLevel="0" max="3" min="3" style="0" width="13.33"/>
    <col collapsed="false" customWidth="true" hidden="false" outlineLevel="0" max="4" min="4" style="0" width="12.83"/>
    <col collapsed="false" customWidth="true" hidden="false" outlineLevel="0" max="5" min="5" style="0" width="17.33"/>
    <col collapsed="false" customWidth="true" hidden="false" outlineLevel="0" max="6" min="6" style="0" width="12.83"/>
    <col collapsed="false" customWidth="true" hidden="false" outlineLevel="0" max="8" min="8" style="0" width="21.66"/>
  </cols>
  <sheetData>
    <row r="1" customFormat="false" ht="16" hidden="false" customHeight="false" outlineLevel="0" collapsed="false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17" t="s">
        <v>5</v>
      </c>
      <c r="H1" s="7" t="s">
        <v>6</v>
      </c>
    </row>
    <row r="2" customFormat="false" ht="15" hidden="false" customHeight="false" outlineLevel="0" collapsed="false">
      <c r="A2" s="8" t="s">
        <v>7</v>
      </c>
      <c r="B2" s="9" t="n">
        <v>1.96</v>
      </c>
      <c r="C2" s="10" t="n">
        <v>1.81</v>
      </c>
      <c r="D2" s="10" t="n">
        <v>1.8</v>
      </c>
      <c r="E2" s="10" t="n">
        <v>1.84</v>
      </c>
      <c r="F2" s="10" t="n">
        <v>1.82</v>
      </c>
      <c r="G2" s="10" t="n">
        <f aca="false">AVERAGE(B2:F2)</f>
        <v>1.846</v>
      </c>
      <c r="H2" s="11" t="n">
        <v>2.477536196</v>
      </c>
      <c r="K2" s="0" t="n">
        <f aca="false">H2/4.184</f>
        <v>0.592145362332696</v>
      </c>
    </row>
    <row r="3" customFormat="false" ht="15" hidden="false" customHeight="false" outlineLevel="0" collapsed="false">
      <c r="A3" s="12" t="s">
        <v>8</v>
      </c>
      <c r="B3" s="9" t="n">
        <v>1.84</v>
      </c>
      <c r="C3" s="10" t="n">
        <v>1.57</v>
      </c>
      <c r="D3" s="10" t="n">
        <v>1.66</v>
      </c>
      <c r="E3" s="10" t="n">
        <v>1.58</v>
      </c>
      <c r="F3" s="10" t="n">
        <v>1.5</v>
      </c>
      <c r="G3" s="10" t="n">
        <f aca="false">AVERAGE(B3:F3)</f>
        <v>1.63</v>
      </c>
      <c r="H3" s="11" t="n">
        <v>1.9867612756</v>
      </c>
      <c r="K3" s="0" t="n">
        <f aca="false">H3/4.184</f>
        <v>0.474847341204589</v>
      </c>
    </row>
    <row r="4" customFormat="false" ht="15" hidden="false" customHeight="false" outlineLevel="0" collapsed="false">
      <c r="A4" s="12" t="s">
        <v>9</v>
      </c>
      <c r="B4" s="9" t="n">
        <v>1.48</v>
      </c>
      <c r="C4" s="10" t="n">
        <v>1.2</v>
      </c>
      <c r="D4" s="10" t="n">
        <v>1.34</v>
      </c>
      <c r="E4" s="10" t="n">
        <v>1.1</v>
      </c>
      <c r="F4" s="10" t="n">
        <v>1.09</v>
      </c>
      <c r="G4" s="10" t="n">
        <f aca="false">AVERAGE(B4:F4)</f>
        <v>1.242</v>
      </c>
      <c r="H4" s="11" t="n">
        <v>1.662525736</v>
      </c>
      <c r="K4" s="0" t="n">
        <f aca="false">H4/4.184</f>
        <v>0.397353187380497</v>
      </c>
    </row>
    <row r="5" customFormat="false" ht="15" hidden="false" customHeight="false" outlineLevel="0" collapsed="false">
      <c r="A5" s="12" t="s">
        <v>10</v>
      </c>
      <c r="B5" s="9" t="n">
        <v>1.12</v>
      </c>
      <c r="C5" s="10" t="n">
        <v>1.07</v>
      </c>
      <c r="D5" s="10" t="n">
        <v>0.95</v>
      </c>
      <c r="E5" s="10" t="n">
        <v>0.83</v>
      </c>
      <c r="F5" s="10" t="n">
        <v>0.81</v>
      </c>
      <c r="G5" s="10" t="n">
        <f aca="false">AVERAGE(B5:F5)</f>
        <v>0.956</v>
      </c>
      <c r="H5" s="11" t="n">
        <v>1.447420336</v>
      </c>
      <c r="K5" s="0" t="n">
        <f aca="false">H5/4.184</f>
        <v>0.34594176290631</v>
      </c>
    </row>
    <row r="6" customFormat="false" ht="16" hidden="false" customHeight="false" outlineLevel="0" collapsed="false">
      <c r="A6" s="13" t="s">
        <v>11</v>
      </c>
      <c r="B6" s="14" t="n">
        <v>0.51</v>
      </c>
      <c r="C6" s="15" t="n">
        <v>-0.17</v>
      </c>
      <c r="D6" s="15" t="n">
        <v>-0.15</v>
      </c>
      <c r="E6" s="15" t="n">
        <v>0.2</v>
      </c>
      <c r="F6" s="15" t="n">
        <v>-0.06</v>
      </c>
      <c r="G6" s="15" t="n">
        <f aca="false">AVERAGE(B6:F6)</f>
        <v>0.066</v>
      </c>
      <c r="H6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H17" activeCellId="0" sqref="H17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2.5"/>
    <col collapsed="false" customWidth="true" hidden="false" outlineLevel="0" max="3" min="3" style="0" width="13.17"/>
    <col collapsed="false" customWidth="true" hidden="false" outlineLevel="0" max="4" min="4" style="0" width="12.33"/>
    <col collapsed="false" customWidth="true" hidden="false" outlineLevel="0" max="5" min="5" style="0" width="13.33"/>
    <col collapsed="false" customWidth="true" hidden="false" outlineLevel="0" max="6" min="6" style="0" width="16"/>
    <col collapsed="false" customWidth="true" hidden="false" outlineLevel="0" max="8" min="8" style="0" width="20.33"/>
  </cols>
  <sheetData>
    <row r="1" customFormat="false" ht="16" hidden="false" customHeight="false" outlineLevel="0" collapsed="false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17" t="s">
        <v>5</v>
      </c>
      <c r="H1" s="7" t="s">
        <v>6</v>
      </c>
    </row>
    <row r="2" customFormat="false" ht="15" hidden="false" customHeight="false" outlineLevel="0" collapsed="false">
      <c r="A2" s="8" t="s">
        <v>7</v>
      </c>
      <c r="B2" s="9" t="n">
        <v>1.84</v>
      </c>
      <c r="C2" s="10" t="n">
        <v>1.86</v>
      </c>
      <c r="D2" s="10" t="n">
        <v>1.93</v>
      </c>
      <c r="E2" s="10" t="n">
        <v>1.98</v>
      </c>
      <c r="F2" s="10" t="n">
        <v>1.97</v>
      </c>
      <c r="G2" s="10" t="n">
        <f aca="false">AVERAGE(B2:F2)</f>
        <v>1.916</v>
      </c>
      <c r="H2" s="11" t="n">
        <v>2.477536196</v>
      </c>
    </row>
    <row r="3" customFormat="false" ht="15" hidden="false" customHeight="false" outlineLevel="0" collapsed="false">
      <c r="A3" s="12" t="s">
        <v>8</v>
      </c>
      <c r="B3" s="9" t="n">
        <v>1.91</v>
      </c>
      <c r="C3" s="10" t="n">
        <v>1.56</v>
      </c>
      <c r="D3" s="10" t="n">
        <v>1.81</v>
      </c>
      <c r="E3" s="10" t="n">
        <v>1.75</v>
      </c>
      <c r="F3" s="10" t="n">
        <v>1.63</v>
      </c>
      <c r="G3" s="10" t="n">
        <f aca="false">AVERAGE(B3:F3)</f>
        <v>1.732</v>
      </c>
      <c r="H3" s="11" t="n">
        <v>1.9867612756</v>
      </c>
    </row>
    <row r="4" customFormat="false" ht="15" hidden="false" customHeight="false" outlineLevel="0" collapsed="false">
      <c r="A4" s="12" t="s">
        <v>9</v>
      </c>
      <c r="B4" s="9" t="n">
        <v>1.45</v>
      </c>
      <c r="C4" s="10" t="n">
        <v>1.16</v>
      </c>
      <c r="D4" s="10" t="n">
        <v>1.63</v>
      </c>
      <c r="E4" s="10" t="n">
        <v>1.61</v>
      </c>
      <c r="F4" s="10" t="n">
        <v>1.51</v>
      </c>
      <c r="G4" s="10" t="n">
        <f aca="false">AVERAGE(B4:F4)</f>
        <v>1.472</v>
      </c>
      <c r="H4" s="11" t="n">
        <v>1.662525736</v>
      </c>
    </row>
    <row r="5" customFormat="false" ht="15" hidden="false" customHeight="false" outlineLevel="0" collapsed="false">
      <c r="A5" s="12" t="s">
        <v>10</v>
      </c>
      <c r="B5" s="9" t="n">
        <v>1.11</v>
      </c>
      <c r="C5" s="10" t="n">
        <v>1.2</v>
      </c>
      <c r="D5" s="10" t="n">
        <v>0.85</v>
      </c>
      <c r="E5" s="10" t="n">
        <v>0.83</v>
      </c>
      <c r="F5" s="10" t="n">
        <v>1.2</v>
      </c>
      <c r="G5" s="10" t="n">
        <f aca="false">AVERAGE(B5:F5)</f>
        <v>1.038</v>
      </c>
      <c r="H5" s="11" t="n">
        <v>1.447420336</v>
      </c>
    </row>
    <row r="6" customFormat="false" ht="16" hidden="false" customHeight="false" outlineLevel="0" collapsed="false">
      <c r="A6" s="13" t="s">
        <v>11</v>
      </c>
      <c r="B6" s="14" t="n">
        <v>-0.09</v>
      </c>
      <c r="C6" s="15" t="n">
        <v>0.36</v>
      </c>
      <c r="D6" s="15" t="n">
        <v>0.4</v>
      </c>
      <c r="E6" s="15" t="n">
        <v>0.55</v>
      </c>
      <c r="F6" s="15" t="n">
        <v>0.43</v>
      </c>
      <c r="G6" s="15" t="n">
        <f aca="false">AVERAGE(B6:F6)</f>
        <v>0.33</v>
      </c>
      <c r="H6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8671875" defaultRowHeight="15" zeroHeight="false" outlineLevelRow="0" outlineLevelCol="0"/>
  <cols>
    <col collapsed="false" customWidth="true" hidden="false" outlineLevel="0" max="2" min="2" style="0" width="10.5"/>
    <col collapsed="false" customWidth="true" hidden="false" outlineLevel="0" max="5" min="5" style="0" width="10.33"/>
    <col collapsed="false" customWidth="true" hidden="false" outlineLevel="0" max="6" min="6" style="0" width="15.15"/>
    <col collapsed="false" customWidth="true" hidden="false" outlineLevel="0" max="7" min="7" style="0" width="12.33"/>
    <col collapsed="false" customWidth="true" hidden="false" outlineLevel="0" max="8" min="8" style="0" width="21.33"/>
  </cols>
  <sheetData>
    <row r="1" customFormat="false" ht="16" hidden="false" customHeight="false" outlineLevel="0" collapsed="false">
      <c r="A1" s="18"/>
      <c r="B1" s="2" t="s">
        <v>12</v>
      </c>
      <c r="C1" s="3" t="s">
        <v>13</v>
      </c>
      <c r="D1" s="4" t="s">
        <v>14</v>
      </c>
      <c r="E1" s="5" t="s">
        <v>15</v>
      </c>
      <c r="F1" s="19" t="s">
        <v>16</v>
      </c>
      <c r="G1" s="20" t="s">
        <v>17</v>
      </c>
      <c r="H1" s="21" t="s">
        <v>18</v>
      </c>
      <c r="I1" s="22"/>
    </row>
    <row r="2" customFormat="false" ht="15" hidden="false" customHeight="false" outlineLevel="0" collapsed="false">
      <c r="A2" s="23" t="s">
        <v>7</v>
      </c>
      <c r="B2" s="10" t="n">
        <v>1.8328</v>
      </c>
      <c r="C2" s="10" t="n">
        <v>1.952</v>
      </c>
      <c r="D2" s="10" t="n">
        <v>1.846</v>
      </c>
      <c r="E2" s="10" t="n">
        <v>1.916</v>
      </c>
      <c r="F2" s="10" t="n">
        <v>2.477536196</v>
      </c>
      <c r="G2" s="10" t="n">
        <v>13</v>
      </c>
      <c r="H2" s="24" t="n">
        <f aca="false">1.985*300*LN(G2)/1000</f>
        <v>1.52742734236835</v>
      </c>
      <c r="I2" s="25" t="n">
        <v>5.303</v>
      </c>
      <c r="J2" s="0" t="n">
        <f aca="false">1.985*300*LN(I2*1000/0.101325)/1000/LN(10)</f>
        <v>2.81004838625673</v>
      </c>
    </row>
    <row r="3" customFormat="false" ht="15" hidden="false" customHeight="false" outlineLevel="0" collapsed="false">
      <c r="A3" s="26" t="s">
        <v>8</v>
      </c>
      <c r="B3" s="10" t="n">
        <v>1.554</v>
      </c>
      <c r="C3" s="10" t="n">
        <v>1.812</v>
      </c>
      <c r="D3" s="10" t="n">
        <v>1.63</v>
      </c>
      <c r="E3" s="10" t="n">
        <v>1.732</v>
      </c>
      <c r="F3" s="10" t="n">
        <v>1.9867612756</v>
      </c>
      <c r="G3" s="10" t="n">
        <v>6.3</v>
      </c>
      <c r="H3" s="24" t="n">
        <f aca="false">1.985*300*LN(G3)/1000</f>
        <v>1.0960473066882</v>
      </c>
      <c r="I3" s="25" t="n">
        <v>3.527</v>
      </c>
      <c r="J3" s="0" t="n">
        <f aca="false">1.985*300*LN(I3*1000/0.101325)/1000/LN(10)</f>
        <v>2.70457570853961</v>
      </c>
    </row>
    <row r="4" customFormat="false" ht="15" hidden="false" customHeight="false" outlineLevel="0" collapsed="false">
      <c r="A4" s="26" t="s">
        <v>9</v>
      </c>
      <c r="B4" s="10" t="n">
        <v>1.188</v>
      </c>
      <c r="C4" s="10" t="n">
        <v>1.58</v>
      </c>
      <c r="D4" s="10" t="n">
        <v>1.242</v>
      </c>
      <c r="E4" s="10" t="n">
        <v>1.472</v>
      </c>
      <c r="F4" s="10" t="n">
        <v>1.662525736</v>
      </c>
      <c r="G4" s="10" t="n">
        <v>4.8</v>
      </c>
      <c r="H4" s="24" t="n">
        <f aca="false">1.985*300*LN(G4)/1000</f>
        <v>0.934110779117695</v>
      </c>
      <c r="I4" s="25" t="n">
        <v>1.839</v>
      </c>
      <c r="J4" s="0" t="n">
        <f aca="false">1.985*300*LN(I4*1000/0.101325)/1000/LN(10)</f>
        <v>2.5361541770689</v>
      </c>
    </row>
    <row r="5" customFormat="false" ht="15" hidden="false" customHeight="false" outlineLevel="0" collapsed="false">
      <c r="A5" s="26" t="s">
        <v>10</v>
      </c>
      <c r="B5" s="10" t="n">
        <v>0.87</v>
      </c>
      <c r="C5" s="10" t="n">
        <v>1.222</v>
      </c>
      <c r="D5" s="10" t="n">
        <v>0.956</v>
      </c>
      <c r="E5" s="10" t="n">
        <v>1.038</v>
      </c>
      <c r="F5" s="10" t="n">
        <v>1.447420336</v>
      </c>
      <c r="G5" s="10" t="n">
        <v>2.95</v>
      </c>
      <c r="H5" s="24" t="n">
        <f aca="false">1.985*300*LN(G5)/1000</f>
        <v>0.644214978944454</v>
      </c>
      <c r="I5" s="25" t="n">
        <v>0.687</v>
      </c>
      <c r="J5" s="0" t="n">
        <f aca="false">1.985*300*LN(I5*1000/0.101325)/1000/LN(10)</f>
        <v>2.28150349422659</v>
      </c>
    </row>
    <row r="6" customFormat="false" ht="13.8" hidden="false" customHeight="false" outlineLevel="0" collapsed="false">
      <c r="A6" s="27" t="s">
        <v>11</v>
      </c>
      <c r="B6" s="15" t="n">
        <v>0.124</v>
      </c>
      <c r="C6" s="15" t="n">
        <v>0.552</v>
      </c>
      <c r="D6" s="15" t="n">
        <v>0.066</v>
      </c>
      <c r="E6" s="15" t="n">
        <v>0.33</v>
      </c>
      <c r="F6" s="15"/>
      <c r="G6" s="28" t="n">
        <v>0.75</v>
      </c>
      <c r="H6" s="29" t="n">
        <f aca="false">1.985*300*LN(G6)/1000</f>
        <v>-0.171314674145036</v>
      </c>
      <c r="I6" s="22"/>
      <c r="J6" s="0" t="e">
        <f aca="false">1.985*300*LN(I6*1000/0.101325)/1000/LN(10)</f>
        <v>#VALUE!</v>
      </c>
    </row>
    <row r="8" customFormat="false" ht="13.8" hidden="false" customHeight="false" outlineLevel="0" collapsed="false">
      <c r="I8" s="0" t="s">
        <v>19</v>
      </c>
    </row>
    <row r="9" customFormat="false" ht="15" hidden="false" customHeight="false" outlineLevel="0" collapsed="false">
      <c r="F9" s="30" t="n">
        <v>315</v>
      </c>
      <c r="G9" s="30" t="n">
        <v>2.61</v>
      </c>
      <c r="H9" s="0" t="n">
        <f aca="false">1.985*300*LN(G9)/1000</f>
        <v>0.571293056804756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8984375" defaultRowHeight="13.8" zeroHeight="false" outlineLevelRow="0" outlineLevelCol="0"/>
  <sheetData>
    <row r="1" customFormat="false" ht="12.8" hidden="false" customHeight="false" outlineLevel="0" collapsed="false">
      <c r="A1" s="0" t="s">
        <v>20</v>
      </c>
    </row>
    <row r="2" customFormat="false" ht="13.8" hidden="false" customHeight="false" outlineLevel="0" collapsed="false">
      <c r="A2" s="31" t="s">
        <v>21</v>
      </c>
      <c r="B2" s="31" t="s">
        <v>22</v>
      </c>
      <c r="C2" s="31" t="s">
        <v>23</v>
      </c>
      <c r="F2" s="0" t="s">
        <v>24</v>
      </c>
      <c r="G2" s="0" t="s">
        <v>25</v>
      </c>
    </row>
    <row r="3" customFormat="false" ht="13.8" hidden="false" customHeight="false" outlineLevel="0" collapsed="false">
      <c r="A3" s="32" t="n">
        <v>250</v>
      </c>
      <c r="B3" s="32" t="n">
        <v>0.9908</v>
      </c>
      <c r="C3" s="32" t="n">
        <v>0.9913</v>
      </c>
      <c r="E3" s="32" t="n">
        <v>250</v>
      </c>
      <c r="F3" s="0" t="n">
        <f aca="false">-3.014732*10^(-10)*E3^4+4.13618032*10^(-7)*E3^3-2.148422*10^(-4)*E3^2+0.0494708537*E3-3.2343963445</f>
        <v>0.990831643</v>
      </c>
      <c r="G3" s="0" t="n">
        <f aca="false">F3</f>
        <v>0.990831643</v>
      </c>
    </row>
    <row r="4" customFormat="false" ht="13.8" hidden="false" customHeight="false" outlineLevel="0" collapsed="false">
      <c r="A4" s="32" t="n">
        <v>260</v>
      </c>
      <c r="B4" s="32" t="n">
        <v>0.9965</v>
      </c>
      <c r="C4" s="32" t="n">
        <v>0.997</v>
      </c>
      <c r="E4" s="32" t="n">
        <f aca="false">E3+5</f>
        <v>255</v>
      </c>
      <c r="F4" s="0" t="n">
        <f aca="false">-3.014732*10^(-10)*E4^4+4.13618032*10^(-7)*E4^3-2.148422*10^(-4)*E4^2+0.0494708537*E4-3.2343963445</f>
        <v>0.994208743033248</v>
      </c>
      <c r="G4" s="0" t="n">
        <f aca="false">F4</f>
        <v>0.994208743033248</v>
      </c>
    </row>
    <row r="5" customFormat="false" ht="13.8" hidden="false" customHeight="false" outlineLevel="0" collapsed="false">
      <c r="A5" s="32" t="n">
        <v>270</v>
      </c>
      <c r="B5" s="32" t="n">
        <v>1.001</v>
      </c>
      <c r="C5" s="32" t="n">
        <v>0.9995</v>
      </c>
      <c r="E5" s="32" t="n">
        <f aca="false">E4+5</f>
        <v>260</v>
      </c>
      <c r="F5" s="0" t="n">
        <f aca="false">-3.014732*10^(-10)*E5^4+4.13618032*10^(-7)*E5^3-2.148422*10^(-4)*E5^2+0.0494708537*E5-3.2343963445</f>
        <v>0.996783257500001</v>
      </c>
      <c r="G5" s="0" t="n">
        <f aca="false">F5</f>
        <v>0.996783257500001</v>
      </c>
    </row>
    <row r="6" customFormat="false" ht="13.8" hidden="false" customHeight="false" outlineLevel="0" collapsed="false">
      <c r="A6" s="32" t="n">
        <v>280</v>
      </c>
      <c r="B6" s="32" t="n">
        <v>0.9994</v>
      </c>
      <c r="C6" s="32" t="n">
        <v>0.9999</v>
      </c>
      <c r="E6" s="32" t="n">
        <f aca="false">E5+5</f>
        <v>265</v>
      </c>
      <c r="F6" s="0" t="n">
        <f aca="false">-3.014732*10^(-10)*E6^4+4.13618032*10^(-7)*E6^3-2.148422*10^(-4)*E6^2+0.0494708537*E6-3.2343963445</f>
        <v>0.998632511877251</v>
      </c>
      <c r="G6" s="0" t="n">
        <f aca="false">F6</f>
        <v>0.998632511877251</v>
      </c>
    </row>
    <row r="7" customFormat="false" ht="13.8" hidden="false" customHeight="false" outlineLevel="0" collapsed="false">
      <c r="A7" s="32" t="n">
        <v>290</v>
      </c>
      <c r="B7" s="32" t="n">
        <v>0.9993</v>
      </c>
      <c r="C7" s="32" t="n">
        <v>0.9988</v>
      </c>
      <c r="E7" s="32" t="n">
        <f aca="false">E6+5</f>
        <v>270</v>
      </c>
      <c r="F7" s="0" t="n">
        <f aca="false">-3.014732*10^(-10)*E7^4+4.13618032*10^(-7)*E7^3-2.148422*10^(-4)*E7^2+0.0494708537*E7-3.2343963445</f>
        <v>0.999829309544002</v>
      </c>
      <c r="G7" s="0" t="n">
        <f aca="false">F7</f>
        <v>0.999829309544002</v>
      </c>
    </row>
    <row r="8" customFormat="false" ht="13.8" hidden="false" customHeight="false" outlineLevel="0" collapsed="false">
      <c r="A8" s="32" t="n">
        <v>298</v>
      </c>
      <c r="B8" s="32" t="n">
        <v>0.9979</v>
      </c>
      <c r="C8" s="32" t="n">
        <v>0.9971</v>
      </c>
      <c r="E8" s="32" t="n">
        <f aca="false">E7+5</f>
        <v>275</v>
      </c>
      <c r="F8" s="0" t="n">
        <f aca="false">-3.014732*10^(-10)*E8^4+4.13618032*10^(-7)*E8^3-2.148422*10^(-4)*E8^2+0.0494708537*E8-3.2343963445</f>
        <v>1.00044193178125</v>
      </c>
      <c r="G8" s="0" t="n">
        <f aca="false">F8</f>
        <v>1.00044193178125</v>
      </c>
    </row>
    <row r="9" customFormat="false" ht="13.8" hidden="false" customHeight="false" outlineLevel="0" collapsed="false">
      <c r="A9" s="32" t="n">
        <v>300</v>
      </c>
      <c r="B9" s="32" t="n">
        <f aca="false">LOOKUP(A9,TIP4P_densityies!E3:E28,TIP4P_densityies!F3:F28)</f>
        <v>0.996815709500002</v>
      </c>
      <c r="C9" s="32" t="n">
        <v>0.9965</v>
      </c>
      <c r="E9" s="32" t="n">
        <f aca="false">E8+5</f>
        <v>280</v>
      </c>
      <c r="F9" s="0" t="n">
        <f aca="false">-3.014732*10^(-10)*E9^4+4.13618032*10^(-7)*E9^3-2.148422*10^(-4)*E9^2+0.0494708537*E9-3.2343963445</f>
        <v>1.000534137772</v>
      </c>
      <c r="G9" s="0" t="n">
        <f aca="false">F9</f>
        <v>1.000534137772</v>
      </c>
    </row>
    <row r="10" customFormat="false" ht="13.8" hidden="false" customHeight="false" outlineLevel="0" collapsed="false">
      <c r="A10" s="32" t="n">
        <v>315</v>
      </c>
      <c r="B10" s="32" t="n">
        <v>0.9913</v>
      </c>
      <c r="C10" s="32" t="n">
        <v>0.9915</v>
      </c>
      <c r="E10" s="32" t="n">
        <f aca="false">E9+5</f>
        <v>285</v>
      </c>
      <c r="F10" s="0" t="n">
        <f aca="false">-3.014732*10^(-10)*E10^4+4.13618032*10^(-7)*E10^3-2.148422*10^(-4)*E10^2+0.0494708537*E10-3.2343963445</f>
        <v>1.00016516460125</v>
      </c>
      <c r="G10" s="0" t="n">
        <f aca="false">F10</f>
        <v>1.00016516460125</v>
      </c>
    </row>
    <row r="11" customFormat="false" ht="13.8" hidden="false" customHeight="false" outlineLevel="0" collapsed="false">
      <c r="A11" s="32" t="n">
        <v>330</v>
      </c>
      <c r="B11" s="32" t="n">
        <v>0.9841</v>
      </c>
      <c r="C11" s="32" t="n">
        <v>0.9848</v>
      </c>
      <c r="E11" s="32" t="n">
        <f aca="false">E10+5</f>
        <v>290</v>
      </c>
      <c r="F11" s="0" t="n">
        <f aca="false">-3.014732*10^(-10)*E11^4+4.13618032*10^(-7)*E11^3-2.148422*10^(-4)*E11^2+0.0494708537*E11-3.2343963445</f>
        <v>0.999389727256001</v>
      </c>
      <c r="G11" s="0" t="n">
        <f aca="false">F11</f>
        <v>0.999389727256001</v>
      </c>
    </row>
    <row r="12" customFormat="false" ht="13.8" hidden="false" customHeight="false" outlineLevel="0" collapsed="false">
      <c r="A12" s="32" t="n">
        <v>340</v>
      </c>
      <c r="B12" s="32" t="n">
        <v>0.9776</v>
      </c>
      <c r="C12" s="32" t="n">
        <v>0.9795</v>
      </c>
      <c r="E12" s="32" t="n">
        <f aca="false">E11+5</f>
        <v>295</v>
      </c>
      <c r="F12" s="0" t="n">
        <f aca="false">-3.014732*10^(-10)*E12^4+4.13618032*10^(-7)*E12^3-2.148422*10^(-4)*E12^2+0.0494708537*E12-3.2343963445</f>
        <v>0.998258018625249</v>
      </c>
      <c r="G12" s="0" t="n">
        <f aca="false">F12</f>
        <v>0.998258018625249</v>
      </c>
    </row>
    <row r="13" customFormat="false" ht="13.8" hidden="false" customHeight="false" outlineLevel="0" collapsed="false">
      <c r="A13" s="32" t="n">
        <v>350</v>
      </c>
      <c r="B13" s="32" t="n">
        <v>0.9713</v>
      </c>
      <c r="C13" s="32" t="n">
        <v>0.9737</v>
      </c>
      <c r="E13" s="32" t="n">
        <f aca="false">E12+5</f>
        <v>300</v>
      </c>
      <c r="F13" s="0" t="n">
        <f aca="false">-3.014732*10^(-10)*E13^4+4.13618032*10^(-7)*E13^3-2.148422*10^(-4)*E13^2+0.0494708537*E13-3.2343963445</f>
        <v>0.996815709500002</v>
      </c>
      <c r="G13" s="0" t="n">
        <f aca="false">F13</f>
        <v>0.996815709500002</v>
      </c>
    </row>
    <row r="14" customFormat="false" ht="13.8" hidden="false" customHeight="false" outlineLevel="0" collapsed="false">
      <c r="A14" s="32" t="n">
        <v>360</v>
      </c>
      <c r="B14" s="32" t="n">
        <v>0.9668</v>
      </c>
      <c r="C14" s="32" t="n">
        <v>0.9674</v>
      </c>
      <c r="E14" s="32" t="n">
        <f aca="false">E13+5</f>
        <v>305</v>
      </c>
      <c r="F14" s="0" t="n">
        <f aca="false">-3.014732*10^(-10)*E14^4+4.13618032*10^(-7)*E14^3-2.148422*10^(-4)*E14^2+0.0494708537*E14-3.2343963445</f>
        <v>0.995103948573253</v>
      </c>
      <c r="G14" s="0" t="n">
        <f aca="false">F14</f>
        <v>0.995103948573253</v>
      </c>
    </row>
    <row r="15" customFormat="false" ht="13.8" hidden="false" customHeight="false" outlineLevel="0" collapsed="false">
      <c r="A15" s="32" t="n">
        <v>370</v>
      </c>
      <c r="B15" s="32" t="n">
        <v>0.9585</v>
      </c>
      <c r="C15" s="32" t="n">
        <v>0.9606</v>
      </c>
      <c r="E15" s="32" t="n">
        <f aca="false">E14+5</f>
        <v>310</v>
      </c>
      <c r="F15" s="0" t="n">
        <f aca="false">-3.014732*10^(-10)*E15^4+4.13618032*10^(-7)*E15^3-2.148422*10^(-4)*E15^2+0.0494708537*E15-3.2343963445</f>
        <v>0.993159362440002</v>
      </c>
      <c r="G15" s="0" t="n">
        <f aca="false">F15</f>
        <v>0.993159362440002</v>
      </c>
    </row>
    <row r="16" customFormat="false" ht="13.8" hidden="false" customHeight="false" outlineLevel="0" collapsed="false">
      <c r="E16" s="32" t="n">
        <f aca="false">E15+5</f>
        <v>315</v>
      </c>
      <c r="F16" s="0" t="n">
        <f aca="false">-3.014732*10^(-10)*E16^4+4.13618032*10^(-7)*E16^3-2.148422*10^(-4)*E16^2+0.0494708537*E16-3.2343963445</f>
        <v>0.991014055597251</v>
      </c>
      <c r="G16" s="0" t="n">
        <f aca="false">F16</f>
        <v>0.991014055597251</v>
      </c>
    </row>
    <row r="17" customFormat="false" ht="13.8" hidden="false" customHeight="false" outlineLevel="0" collapsed="false">
      <c r="E17" s="32" t="n">
        <f aca="false">E16+5</f>
        <v>320</v>
      </c>
      <c r="F17" s="0" t="n">
        <f aca="false">-3.014732*10^(-10)*E17^4+4.13618032*10^(-7)*E17^3-2.148422*10^(-4)*E17^2+0.0494708537*E17-3.2343963445</f>
        <v>0.988695610444</v>
      </c>
      <c r="G17" s="0" t="n">
        <f aca="false">F17</f>
        <v>0.988695610444</v>
      </c>
    </row>
    <row r="18" customFormat="false" ht="13.8" hidden="false" customHeight="false" outlineLevel="0" collapsed="false">
      <c r="E18" s="32" t="n">
        <f aca="false">E17+5</f>
        <v>325</v>
      </c>
      <c r="F18" s="0" t="n">
        <f aca="false">-3.014732*10^(-10)*E18^4+4.13618032*10^(-7)*E18^3-2.148422*10^(-4)*E18^2+0.0494708537*E18-3.2343963445</f>
        <v>0.986227087281252</v>
      </c>
      <c r="G18" s="0" t="n">
        <f aca="false">F18</f>
        <v>0.986227087281252</v>
      </c>
    </row>
    <row r="19" customFormat="false" ht="13.8" hidden="false" customHeight="false" outlineLevel="0" collapsed="false">
      <c r="E19" s="32" t="n">
        <f aca="false">E18+5</f>
        <v>330</v>
      </c>
      <c r="F19" s="0" t="n">
        <f aca="false">-3.014732*10^(-10)*E19^4+4.13618032*10^(-7)*E19^3-2.148422*10^(-4)*E19^2+0.0494708537*E19-3.2343963445</f>
        <v>0.983627024312</v>
      </c>
      <c r="G19" s="0" t="n">
        <f aca="false">F19</f>
        <v>0.983627024312</v>
      </c>
    </row>
    <row r="20" customFormat="false" ht="13.8" hidden="false" customHeight="false" outlineLevel="0" collapsed="false">
      <c r="E20" s="32" t="n">
        <f aca="false">E19+5</f>
        <v>335</v>
      </c>
      <c r="F20" s="0" t="n">
        <f aca="false">-3.014732*10^(-10)*E20^4+4.13618032*10^(-7)*E20^3-2.148422*10^(-4)*E20^2+0.0494708537*E20-3.2343963445</f>
        <v>0.98090943764125</v>
      </c>
      <c r="G20" s="0" t="n">
        <f aca="false">F20</f>
        <v>0.98090943764125</v>
      </c>
    </row>
    <row r="21" customFormat="false" ht="13.8" hidden="false" customHeight="false" outlineLevel="0" collapsed="false">
      <c r="E21" s="32" t="n">
        <f aca="false">E20+5</f>
        <v>340</v>
      </c>
      <c r="F21" s="0" t="n">
        <f aca="false">-3.014732*10^(-10)*E21^4+4.13618032*10^(-7)*E21^3-2.148422*10^(-4)*E21^2+0.0494708537*E21-3.2343963445</f>
        <v>0.978083821276</v>
      </c>
      <c r="G21" s="0" t="n">
        <f aca="false">F21</f>
        <v>0.978083821276</v>
      </c>
    </row>
    <row r="22" customFormat="false" ht="13.8" hidden="false" customHeight="false" outlineLevel="0" collapsed="false">
      <c r="E22" s="32" t="n">
        <f aca="false">E21+5</f>
        <v>345</v>
      </c>
      <c r="F22" s="0" t="n">
        <f aca="false">-3.014732*10^(-10)*E22^4+4.13618032*10^(-7)*E22^3-2.148422*10^(-4)*E22^2+0.0494708537*E22-3.2343963445</f>
        <v>0.975155147125248</v>
      </c>
      <c r="G22" s="0" t="n">
        <f aca="false">F22</f>
        <v>0.975155147125248</v>
      </c>
    </row>
    <row r="23" customFormat="false" ht="13.8" hidden="false" customHeight="false" outlineLevel="0" collapsed="false">
      <c r="E23" s="32" t="n">
        <f aca="false">E22+5</f>
        <v>350</v>
      </c>
      <c r="F23" s="0" t="n">
        <f aca="false">-3.014732*10^(-10)*E23^4+4.13618032*10^(-7)*E23^3-2.148422*10^(-4)*E23^2+0.0494708537*E23-3.2343963445</f>
        <v>0.972123864999999</v>
      </c>
      <c r="G23" s="0" t="n">
        <f aca="false">F23</f>
        <v>0.972123864999999</v>
      </c>
    </row>
    <row r="24" customFormat="false" ht="13.8" hidden="false" customHeight="false" outlineLevel="0" collapsed="false">
      <c r="E24" s="32" t="n">
        <f aca="false">E23+5</f>
        <v>355</v>
      </c>
      <c r="F24" s="0" t="n">
        <f aca="false">-3.014732*10^(-10)*E24^4+4.13618032*10^(-7)*E24^3-2.148422*10^(-4)*E24^2+0.0494708537*E24-3.2343963445</f>
        <v>0.968985902613249</v>
      </c>
      <c r="G24" s="0" t="n">
        <f aca="false">F24</f>
        <v>0.968985902613249</v>
      </c>
    </row>
    <row r="25" customFormat="false" ht="13.8" hidden="false" customHeight="false" outlineLevel="0" collapsed="false">
      <c r="E25" s="32" t="n">
        <f aca="false">E24+5</f>
        <v>360</v>
      </c>
      <c r="F25" s="0" t="n">
        <f aca="false">-3.014732*10^(-10)*E25^4+4.13618032*10^(-7)*E25^3-2.148422*10^(-4)*E25^2+0.0494708537*E25-3.2343963445</f>
        <v>0.965732665580001</v>
      </c>
      <c r="G25" s="0" t="n">
        <f aca="false">F25</f>
        <v>0.965732665580001</v>
      </c>
    </row>
    <row r="26" customFormat="false" ht="13.8" hidden="false" customHeight="false" outlineLevel="0" collapsed="false">
      <c r="E26" s="32" t="n">
        <f aca="false">E25+5</f>
        <v>365</v>
      </c>
      <c r="F26" s="0" t="n">
        <f aca="false">-3.014732*10^(-10)*E26^4+4.13618032*10^(-7)*E26^3-2.148422*10^(-4)*E26^2+0.0494708537*E26-3.2343963445</f>
        <v>0.962351037417248</v>
      </c>
      <c r="G26" s="0" t="n">
        <f aca="false">F26</f>
        <v>0.962351037417248</v>
      </c>
    </row>
    <row r="27" customFormat="false" ht="13.8" hidden="false" customHeight="false" outlineLevel="0" collapsed="false">
      <c r="E27" s="32" t="n">
        <f aca="false">E26+5</f>
        <v>370</v>
      </c>
      <c r="F27" s="0" t="n">
        <f aca="false">-3.014732*10^(-10)*E27^4+4.13618032*10^(-7)*E27^3-2.148422*10^(-4)*E27^2+0.0494708537*E27-3.2343963445</f>
        <v>0.958823379544003</v>
      </c>
      <c r="G27" s="0" t="n">
        <f aca="false">F27</f>
        <v>0.958823379544003</v>
      </c>
    </row>
    <row r="28" customFormat="false" ht="13.8" hidden="false" customHeight="false" outlineLevel="0" collapsed="false">
      <c r="E28" s="32" t="n">
        <f aca="false">E27+5</f>
        <v>375</v>
      </c>
      <c r="F28" s="33" t="n">
        <f aca="false">-3.014732*10^(-10)*E28^4+4.13618032*10^(-7)*E28^3-2.148422*10^(-4)*E28^2+0.0494708537*E28-3.2343963445</f>
        <v>0.955127531281248</v>
      </c>
      <c r="G28" s="33" t="n">
        <f aca="false">(B15-B14)/(A15-A14)*(E28-E27)+F27</f>
        <v>0.954673379544003</v>
      </c>
    </row>
    <row r="30" customFormat="false" ht="13.8" hidden="false" customHeight="false" outlineLevel="0" collapsed="false">
      <c r="F30" s="0" t="n">
        <f aca="false">-3.014732*10^(-10)*E30^4+4.13618032*10^(-7)*E30^3-2.148422*10^(-4)*E30^2+0.0494708537*E30-3.2343963445</f>
        <v>-3.2343963445</v>
      </c>
      <c r="G30" s="0" t="e">
        <f aca="false">(B17-B16)/(A17-A16)*(F30-F29)+F29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0.7421875" defaultRowHeight="13.8" zeroHeight="false" outlineLevelRow="0" outlineLevelCol="0"/>
  <cols>
    <col collapsed="false" customWidth="true" hidden="false" outlineLevel="0" max="1" min="1" style="0" width="23.48"/>
    <col collapsed="false" customWidth="true" hidden="false" outlineLevel="0" max="5" min="5" style="34" width="10.65"/>
    <col collapsed="false" customWidth="true" hidden="false" outlineLevel="0" max="10" min="10" style="0" width="11.16"/>
    <col collapsed="false" customWidth="true" hidden="false" outlineLevel="0" max="15" min="15" style="0" width="11.16"/>
  </cols>
  <sheetData>
    <row r="1" customFormat="false" ht="13.8" hidden="false" customHeight="false" outlineLevel="0" collapsed="false">
      <c r="A1" s="0" t="s">
        <v>26</v>
      </c>
      <c r="B1" s="0" t="n">
        <v>996.57</v>
      </c>
    </row>
    <row r="2" customFormat="false" ht="13.8" hidden="false" customHeight="false" outlineLevel="0" collapsed="false">
      <c r="A2" s="0" t="s">
        <v>27</v>
      </c>
      <c r="B2" s="0" t="n">
        <v>1</v>
      </c>
    </row>
    <row r="3" customFormat="false" ht="13.8" hidden="false" customHeight="false" outlineLevel="0" collapsed="false">
      <c r="A3" s="0" t="s">
        <v>28</v>
      </c>
      <c r="B3" s="0" t="n">
        <f aca="false">8.3144621*10^(-5)</f>
        <v>8.3144621E-005</v>
      </c>
    </row>
    <row r="4" customFormat="false" ht="13.8" hidden="false" customHeight="false" outlineLevel="0" collapsed="false">
      <c r="A4" s="0" t="s">
        <v>29</v>
      </c>
      <c r="B4" s="0" t="n">
        <f aca="false">1.9858775*10^(-3)</f>
        <v>0.0019858775</v>
      </c>
    </row>
    <row r="5" customFormat="false" ht="13.8" hidden="false" customHeight="false" outlineLevel="0" collapsed="false">
      <c r="A5" s="0" t="s">
        <v>30</v>
      </c>
      <c r="B5" s="0" t="n">
        <v>0.01801528</v>
      </c>
    </row>
    <row r="6" customFormat="false" ht="13.8" hidden="false" customHeight="false" outlineLevel="0" collapsed="false">
      <c r="E6" s="0"/>
      <c r="F6" s="34"/>
    </row>
    <row r="7" customFormat="false" ht="13.8" hidden="false" customHeight="false" outlineLevel="0" collapsed="false">
      <c r="A7" s="35" t="s">
        <v>31</v>
      </c>
      <c r="B7" s="35"/>
      <c r="E7" s="0"/>
      <c r="F7" s="34"/>
      <c r="O7" s="0" t="s">
        <v>32</v>
      </c>
      <c r="S7" s="0" t="s">
        <v>32</v>
      </c>
    </row>
    <row r="8" customFormat="false" ht="13.8" hidden="false" customHeight="false" outlineLevel="0" collapsed="false">
      <c r="A8" s="36" t="s">
        <v>33</v>
      </c>
      <c r="B8" s="36" t="s">
        <v>34</v>
      </c>
      <c r="C8" s="36" t="s">
        <v>35</v>
      </c>
      <c r="D8" s="36" t="s">
        <v>36</v>
      </c>
      <c r="E8" s="36" t="s">
        <v>37</v>
      </c>
      <c r="F8" s="37" t="s">
        <v>38</v>
      </c>
      <c r="G8" s="36" t="s">
        <v>39</v>
      </c>
      <c r="H8" s="36" t="s">
        <v>40</v>
      </c>
      <c r="I8" s="36"/>
      <c r="J8" s="36"/>
      <c r="K8" s="36" t="s">
        <v>39</v>
      </c>
      <c r="L8" s="36" t="s">
        <v>40</v>
      </c>
      <c r="M8" s="36"/>
      <c r="O8" s="36" t="s">
        <v>37</v>
      </c>
      <c r="P8" s="37" t="s">
        <v>38</v>
      </c>
      <c r="Q8" s="36" t="s">
        <v>39</v>
      </c>
      <c r="S8" s="36" t="s">
        <v>37</v>
      </c>
      <c r="T8" s="37" t="s">
        <v>38</v>
      </c>
      <c r="U8" s="36" t="s">
        <v>39</v>
      </c>
    </row>
    <row r="9" customFormat="false" ht="15" hidden="false" customHeight="false" outlineLevel="0" collapsed="false">
      <c r="A9" s="30" t="n">
        <v>275</v>
      </c>
      <c r="B9" s="30" t="n">
        <f aca="false">IF(A9&lt;270, "ERROR", IF(A9&gt;370,"ERROR",(-3.014732*10^(-10)*A9^4+4.13618032*10^(-7)*A9^3-2.148422*10^(-4)*A9^2+0.0494708537*A9-3.2343963445)*1000))</f>
        <v>1000.44193178125</v>
      </c>
      <c r="C9" s="30" t="n">
        <v>16.57</v>
      </c>
      <c r="D9" s="30" t="n">
        <v>0.214</v>
      </c>
      <c r="E9" s="38" t="n">
        <f aca="false">C9*$B$5*10000</f>
        <v>2985.131896</v>
      </c>
      <c r="F9" s="0" t="n">
        <f aca="false">E9/(B9*$B$3*A9)</f>
        <v>130.498279797152</v>
      </c>
      <c r="G9" s="39" t="n">
        <f aca="false">1.9858775*10^(-3)*A9*LN(F9)</f>
        <v>2.66032918465973</v>
      </c>
      <c r="H9" s="39" t="n">
        <f aca="false">MAX(ABS(G9-Q9),ABS(G9-U9))</f>
        <v>0.00709898174864998</v>
      </c>
      <c r="I9" s="39"/>
      <c r="J9" s="39"/>
      <c r="K9" s="39" t="n">
        <v>2.66032918465973</v>
      </c>
      <c r="L9" s="39" t="n">
        <v>0.00709898174864998</v>
      </c>
      <c r="M9" s="39"/>
      <c r="O9" s="38" t="n">
        <f aca="false">(C9+D9)*$B$5*10000</f>
        <v>3023.6845952</v>
      </c>
      <c r="P9" s="0" t="n">
        <f aca="false">O9/(B9*$B$3*A9)</f>
        <v>132.183652873591</v>
      </c>
      <c r="Q9" s="39" t="n">
        <f aca="false">1.9858775*10^(-3)*A9*LN(P9)</f>
        <v>2.66733706944499</v>
      </c>
      <c r="S9" s="38" t="n">
        <f aca="false">(C9-D9)*$B$5*10000</f>
        <v>2946.5791968</v>
      </c>
      <c r="T9" s="0" t="n">
        <f aca="false">S9/(B9*$B$3*A9)</f>
        <v>128.812906720714</v>
      </c>
      <c r="U9" s="39" t="n">
        <f aca="false">1.9858775*10^(-3)*A9*LN(T9)</f>
        <v>2.65323020291108</v>
      </c>
    </row>
    <row r="10" customFormat="false" ht="15" hidden="false" customHeight="false" outlineLevel="0" collapsed="false">
      <c r="A10" s="30" t="n">
        <v>295</v>
      </c>
      <c r="B10" s="30" t="n">
        <f aca="false">IF(A10&lt;270, "ERROR", IF(A10&gt;370,"ERROR",(-3.014732*10^(-10)*A10^4+4.13618032*10^(-7)*A10^3-2.148422*10^(-4)*A10^2+0.0494708537*A10-3.2343963445)*1000))</f>
        <v>998.258018625249</v>
      </c>
      <c r="C10" s="30" t="n">
        <v>17.427</v>
      </c>
      <c r="D10" s="30" t="n">
        <v>0.139</v>
      </c>
      <c r="E10" s="38" t="n">
        <f aca="false">C10*$B$5*10000</f>
        <v>3139.5228456</v>
      </c>
      <c r="F10" s="0" t="n">
        <f aca="false">E10/(B10*$B$3*A10)</f>
        <v>128.22262579289</v>
      </c>
      <c r="G10" s="0" t="n">
        <f aca="false">1.9858775*10^(-3)*A10*LN(F10)</f>
        <v>2.84350166517089</v>
      </c>
      <c r="H10" s="39" t="n">
        <f aca="false">MAX(ABS(G10-Q10),ABS(G10-U10))</f>
        <v>0.00469142111859933</v>
      </c>
      <c r="I10" s="39"/>
      <c r="J10" s="39"/>
      <c r="K10" s="39" t="n">
        <v>2.84350166517089</v>
      </c>
      <c r="L10" s="39" t="n">
        <v>0.00469142111859933</v>
      </c>
      <c r="M10" s="39"/>
      <c r="O10" s="38" t="n">
        <f aca="false">(C10+D10)*$B$5*10000</f>
        <v>3164.5640848</v>
      </c>
      <c r="P10" s="0" t="n">
        <f aca="false">O10/(B10*$B$3*A10)</f>
        <v>129.245345996322</v>
      </c>
      <c r="Q10" s="39" t="n">
        <f aca="false">1.9858775*10^(-3)*A10*LN(P10)</f>
        <v>2.84815581515396</v>
      </c>
      <c r="S10" s="38" t="n">
        <f aca="false">(C10-D10)*$B$5*10000</f>
        <v>3114.4816064</v>
      </c>
      <c r="T10" s="0" t="n">
        <f aca="false">S10/(B10*$B$3*A10)</f>
        <v>127.199905589458</v>
      </c>
      <c r="U10" s="39" t="n">
        <f aca="false">1.9858775*10^(-3)*A10*LN(T10)</f>
        <v>2.83881024405229</v>
      </c>
    </row>
    <row r="11" customFormat="false" ht="15" hidden="false" customHeight="false" outlineLevel="0" collapsed="false">
      <c r="A11" s="30" t="n">
        <v>315</v>
      </c>
      <c r="B11" s="30" t="n">
        <f aca="false">IF(A11&lt;270, "ERROR", IF(A11&gt;370,"ERROR",(-3.014732*10^(-10)*A11^4+4.13618032*10^(-7)*A11^3-2.148422*10^(-4)*A11^2+0.0494708537*A11-3.2343963445)*1000))</f>
        <v>991.014055597251</v>
      </c>
      <c r="C11" s="30" t="n">
        <v>16.562</v>
      </c>
      <c r="D11" s="30" t="n">
        <v>0.121</v>
      </c>
      <c r="E11" s="38" t="n">
        <f aca="false">C11*$B$5*10000</f>
        <v>2983.6906736</v>
      </c>
      <c r="F11" s="0" t="n">
        <f aca="false">E11/(B11*$B$3*A11)</f>
        <v>114.955371913059</v>
      </c>
      <c r="G11" s="0" t="n">
        <f aca="false">1.9858775*10^(-3)*A11*LN(F11)</f>
        <v>2.9679561900609</v>
      </c>
      <c r="H11" s="39" t="n">
        <f aca="false">MAX(ABS(G11-Q11),ABS(G11-U11))</f>
        <v>0.00458698058143403</v>
      </c>
      <c r="I11" s="39"/>
      <c r="J11" s="39"/>
      <c r="K11" s="39" t="n">
        <v>2.9679561900609</v>
      </c>
      <c r="L11" s="39" t="n">
        <v>0.00458698058143403</v>
      </c>
      <c r="M11" s="39"/>
      <c r="O11" s="38" t="n">
        <f aca="false">(C11+D11)*$B$5*10000</f>
        <v>3005.4891624</v>
      </c>
      <c r="P11" s="0" t="n">
        <f aca="false">O11/(B11*$B$3*A11)</f>
        <v>115.795222172779</v>
      </c>
      <c r="Q11" s="39" t="n">
        <f aca="false">1.9858775*10^(-3)*A11*LN(P11)</f>
        <v>2.97250978038396</v>
      </c>
      <c r="S11" s="38" t="n">
        <f aca="false">(C11-D11)*$B$5*10000</f>
        <v>2961.8921848</v>
      </c>
      <c r="T11" s="0" t="n">
        <f aca="false">S11/(B11*$B$3*A11)</f>
        <v>114.115521653339</v>
      </c>
      <c r="U11" s="39" t="n">
        <f aca="false">1.9858775*10^(-3)*A11*LN(T11)</f>
        <v>2.96336920947947</v>
      </c>
    </row>
    <row r="12" customFormat="false" ht="15" hidden="false" customHeight="false" outlineLevel="0" collapsed="false">
      <c r="A12" s="30" t="n">
        <v>335</v>
      </c>
      <c r="B12" s="30" t="n">
        <f aca="false">IF(A12&lt;270, "ERROR", IF(A12&gt;370,"ERROR",(-3.014732*10^(-10)*A12^4+4.13618032*10^(-7)*A12^3-2.148422*10^(-4)*A12^2+0.0494708537*A12-3.2343963445)*1000))</f>
        <v>980.909437641251</v>
      </c>
      <c r="C12" s="30" t="n">
        <v>15.55</v>
      </c>
      <c r="D12" s="30" t="n">
        <v>0.087</v>
      </c>
      <c r="E12" s="38" t="n">
        <f aca="false">C12*$B$5*10000</f>
        <v>2801.37604</v>
      </c>
      <c r="F12" s="0" t="n">
        <f aca="false">E12/(B12*$B$3*A12)</f>
        <v>102.532968655303</v>
      </c>
      <c r="G12" s="0" t="n">
        <f aca="false">1.9858775*10^(-3)*A12*LN(F12)</f>
        <v>3.08031796683532</v>
      </c>
      <c r="H12" s="39" t="n">
        <f aca="false">MAX(ABS(G12-Q12),ABS(G12-U12))</f>
        <v>0.00373253484437575</v>
      </c>
      <c r="I12" s="39"/>
      <c r="J12" s="39"/>
      <c r="K12" s="39" t="n">
        <v>3.08031796683532</v>
      </c>
      <c r="L12" s="39" t="n">
        <v>0.00373253484437575</v>
      </c>
      <c r="M12" s="39"/>
      <c r="O12" s="38" t="n">
        <f aca="false">(C12+D12)*$B$5*10000</f>
        <v>2817.0493336</v>
      </c>
      <c r="P12" s="0" t="n">
        <f aca="false">O12/(B12*$B$3*A12)</f>
        <v>103.10662577897</v>
      </c>
      <c r="Q12" s="39" t="n">
        <f aca="false">1.9858775*10^(-3)*A12*LN(P12)</f>
        <v>3.08402967683466</v>
      </c>
      <c r="S12" s="38" t="n">
        <f aca="false">(C12-D12)*$B$5*10000</f>
        <v>2785.7027464</v>
      </c>
      <c r="T12" s="0" t="n">
        <f aca="false">S12/(B12*$B$3*A12)</f>
        <v>101.959311531637</v>
      </c>
      <c r="U12" s="39" t="n">
        <f aca="false">1.9858775*10^(-3)*A12*LN(T12)</f>
        <v>3.07658543199094</v>
      </c>
    </row>
    <row r="13" customFormat="false" ht="15" hidden="false" customHeight="false" outlineLevel="0" collapsed="false">
      <c r="A13" s="30" t="n">
        <v>355</v>
      </c>
      <c r="B13" s="30" t="n">
        <f aca="false">IF(A13&lt;270, "ERROR", IF(A13&gt;370,"ERROR",(-3.014732*10^(-10)*A13^4+4.13618032*10^(-7)*A13^3-2.148422*10^(-4)*A13^2+0.0494708537*A13-3.2343963445)*1000))</f>
        <v>968.985902613249</v>
      </c>
      <c r="C13" s="30" t="n">
        <v>13.89</v>
      </c>
      <c r="D13" s="30" t="n">
        <v>0.056</v>
      </c>
      <c r="E13" s="38" t="n">
        <f aca="false">C13*$B$5*10000</f>
        <v>2502.322392</v>
      </c>
      <c r="F13" s="0" t="n">
        <f aca="false">E13/(B13*$B$3*A13)</f>
        <v>87.4909822721675</v>
      </c>
      <c r="G13" s="0" t="n">
        <f aca="false">1.9858775*10^(-3)*A13*LN(F13)</f>
        <v>3.15237237861752</v>
      </c>
      <c r="H13" s="39" t="n">
        <f aca="false">MAX(ABS(G13-Q13),ABS(G13-U13))</f>
        <v>0.00284802325728251</v>
      </c>
      <c r="I13" s="39"/>
      <c r="J13" s="39"/>
      <c r="K13" s="39" t="n">
        <v>3.15237237861752</v>
      </c>
      <c r="L13" s="39" t="n">
        <v>0.00284802325728251</v>
      </c>
      <c r="M13" s="39"/>
      <c r="O13" s="38" t="n">
        <f aca="false">(C13+D13)*$B$5*10000</f>
        <v>2512.4109488</v>
      </c>
      <c r="P13" s="0" t="n">
        <f aca="false">O13/(B13*$B$3*A13)</f>
        <v>87.8437176938551</v>
      </c>
      <c r="Q13" s="39" t="n">
        <f aca="false">1.9858775*10^(-3)*A13*LN(P13)</f>
        <v>3.15520894263255</v>
      </c>
      <c r="S13" s="38" t="n">
        <f aca="false">(C13-D13)*$B$5*10000</f>
        <v>2492.2338352</v>
      </c>
      <c r="T13" s="0" t="n">
        <f aca="false">S13/(B13*$B$3*A13)</f>
        <v>87.1382468504798</v>
      </c>
      <c r="U13" s="39" t="n">
        <f aca="false">1.9858775*10^(-3)*A13*LN(T13)</f>
        <v>3.14952435536024</v>
      </c>
    </row>
    <row r="14" customFormat="false" ht="15" hidden="false" customHeight="false" outlineLevel="0" collapsed="false">
      <c r="A14" s="30" t="n">
        <v>375</v>
      </c>
      <c r="B14" s="30" t="n">
        <f aca="false">IF(A14&lt;270, "ERROR", IF(A14&gt;375,"ERROR",(-3.014732*10^(-10)*A14^4+4.13618032*10^(-7)*A14^3-2.148422*10^(-4)*A14^2+0.0494708537*A14-3.2343963445)*1000))</f>
        <v>955.127531281248</v>
      </c>
      <c r="C14" s="30" t="n">
        <v>11.697</v>
      </c>
      <c r="D14" s="30" t="n">
        <v>0.052</v>
      </c>
      <c r="E14" s="38" t="n">
        <f aca="false">C14*$B$5*10000</f>
        <v>2107.2473016</v>
      </c>
      <c r="F14" s="0" t="n">
        <f aca="false">E14/(B14*$B$3*A14)</f>
        <v>70.7601454576755</v>
      </c>
      <c r="G14" s="0" t="n">
        <f aca="false">1.9858775*10^(-3)*A14*LN(F14)</f>
        <v>3.17191497869087</v>
      </c>
      <c r="H14" s="39" t="n">
        <f aca="false">MAX(ABS(G14-Q14),ABS(G14-U14))</f>
        <v>0.00331802547438542</v>
      </c>
      <c r="I14" s="39"/>
      <c r="J14" s="39"/>
      <c r="K14" s="39" t="n">
        <v>3.17191497869087</v>
      </c>
      <c r="L14" s="39" t="n">
        <v>0.00331802547438542</v>
      </c>
      <c r="M14" s="39"/>
      <c r="O14" s="38" t="n">
        <f aca="false">(C14+D14)*$B$5*10000</f>
        <v>2116.6152472</v>
      </c>
      <c r="P14" s="0" t="n">
        <f aca="false">O14/(B14*$B$3*A14)</f>
        <v>71.0747156520671</v>
      </c>
      <c r="Q14" s="39" t="n">
        <f aca="false">1.9858775*10^(-3)*A14*LN(P14)</f>
        <v>3.17521828626952</v>
      </c>
      <c r="S14" s="38" t="n">
        <f aca="false">(C14-D14)*$B$5*10000</f>
        <v>2097.879356</v>
      </c>
      <c r="T14" s="0" t="n">
        <f aca="false">S14/(B14*$B$3*A14)</f>
        <v>70.4455752632838</v>
      </c>
      <c r="U14" s="39" t="n">
        <f aca="false">1.9858775*10^(-3)*A14*LN(T14)</f>
        <v>3.16859695321648</v>
      </c>
    </row>
    <row r="15" customFormat="false" ht="15" hidden="false" customHeight="false" outlineLevel="0" collapsed="false">
      <c r="A15" s="30" t="n">
        <v>395</v>
      </c>
      <c r="B15" s="30" t="str">
        <f aca="false">IF(A15&lt;270, "ERROR", IF(A15&gt;375,"ERROR",(-3.014732*10^(-10)*A15^4+4.13618032*10^(-7)*A15^3-2.148422*10^(-4)*A15^2+0.0494708537*A15-3.2343963445)*1000))</f>
        <v>ERROR</v>
      </c>
      <c r="C15" s="30" t="n">
        <v>9.984</v>
      </c>
      <c r="D15" s="30" t="n">
        <v>0.033</v>
      </c>
      <c r="E15" s="38" t="n">
        <f aca="false">C15*$B$5*10000</f>
        <v>1798.6455552</v>
      </c>
      <c r="F15" s="0" t="e">
        <f aca="false">E15/(B15*$B$3*A15)</f>
        <v>#VALUE!</v>
      </c>
      <c r="G15" s="0" t="e">
        <f aca="false">1.9858775*10^(-3)*A15*LN(F15)</f>
        <v>#VALUE!</v>
      </c>
      <c r="H15" s="39" t="e">
        <f aca="false">MAX(ABS(G15-Q15),ABS(G15-U15))</f>
        <v>#VALUE!</v>
      </c>
      <c r="I15" s="39"/>
      <c r="J15" s="39"/>
      <c r="K15" s="39" t="e">
        <f aca="false">#VALUE!</f>
        <v>#VALUE!</v>
      </c>
      <c r="L15" s="39" t="e">
        <f aca="false">#VALUE!</f>
        <v>#VALUE!</v>
      </c>
      <c r="M15" s="39"/>
      <c r="O15" s="38" t="n">
        <f aca="false">(C15+D15)*$B$5*10000</f>
        <v>1804.5905976</v>
      </c>
      <c r="P15" s="0" t="e">
        <f aca="false">O15/(B15*$B$3*A15)</f>
        <v>#VALUE!</v>
      </c>
      <c r="Q15" s="39" t="e">
        <f aca="false">1.9858775*10^(-3)*A15*LN(P15)</f>
        <v>#VALUE!</v>
      </c>
      <c r="S15" s="38" t="n">
        <f aca="false">(C15-D15)*$B$5*10000</f>
        <v>1792.7005128</v>
      </c>
      <c r="T15" s="0" t="e">
        <f aca="false">S15/(B15*$B$3*A15)</f>
        <v>#VALUE!</v>
      </c>
      <c r="U15" s="39" t="e">
        <f aca="false">1.9858775*10^(-3)*A15*LN(T15)</f>
        <v>#VALUE!</v>
      </c>
    </row>
    <row r="16" customFormat="false" ht="13.8" hidden="false" customHeight="false" outlineLevel="0" collapsed="false">
      <c r="E16" s="0"/>
      <c r="F16" s="34"/>
    </row>
    <row r="17" customFormat="false" ht="13.8" hidden="false" customHeight="false" outlineLevel="0" collapsed="false">
      <c r="A17" s="35" t="s">
        <v>41</v>
      </c>
      <c r="B17" s="35"/>
      <c r="E17" s="0"/>
      <c r="F17" s="34"/>
      <c r="O17" s="0" t="s">
        <v>32</v>
      </c>
      <c r="S17" s="0" t="s">
        <v>32</v>
      </c>
    </row>
    <row r="18" customFormat="false" ht="13.8" hidden="false" customHeight="false" outlineLevel="0" collapsed="false">
      <c r="A18" s="36" t="s">
        <v>33</v>
      </c>
      <c r="B18" s="36" t="s">
        <v>34</v>
      </c>
      <c r="C18" s="36" t="s">
        <v>35</v>
      </c>
      <c r="D18" s="36" t="s">
        <v>36</v>
      </c>
      <c r="E18" s="36" t="s">
        <v>37</v>
      </c>
      <c r="F18" s="37" t="s">
        <v>38</v>
      </c>
      <c r="G18" s="36" t="s">
        <v>39</v>
      </c>
      <c r="H18" s="36" t="s">
        <v>40</v>
      </c>
      <c r="I18" s="36"/>
      <c r="J18" s="36"/>
      <c r="K18" s="36" t="s">
        <v>39</v>
      </c>
      <c r="L18" s="36" t="s">
        <v>40</v>
      </c>
      <c r="M18" s="36"/>
      <c r="O18" s="36" t="s">
        <v>37</v>
      </c>
      <c r="P18" s="37" t="s">
        <v>38</v>
      </c>
      <c r="Q18" s="36" t="s">
        <v>39</v>
      </c>
      <c r="S18" s="36" t="s">
        <v>37</v>
      </c>
      <c r="T18" s="37" t="s">
        <v>38</v>
      </c>
      <c r="U18" s="36" t="s">
        <v>39</v>
      </c>
    </row>
    <row r="19" customFormat="false" ht="15" hidden="false" customHeight="false" outlineLevel="0" collapsed="false">
      <c r="A19" s="30" t="n">
        <v>275</v>
      </c>
      <c r="B19" s="30" t="n">
        <f aca="false">IF(A19&lt;270, "ERROR", IF(A19&gt;370,"ERROR",(-3.014732*10^(-10)*A19^4+4.13618032*10^(-7)*A19^3-2.148422*10^(-4)*A19^2+0.0494708537*A19-3.2343963445)*1000))</f>
        <v>1000.44193178125</v>
      </c>
      <c r="C19" s="30" t="n">
        <v>14.923</v>
      </c>
      <c r="D19" s="30" t="n">
        <v>0.269</v>
      </c>
      <c r="E19" s="38" t="n">
        <f aca="false">C19*$B$5*10000</f>
        <v>2688.4202344</v>
      </c>
      <c r="F19" s="0" t="n">
        <f aca="false">E19/(B19*$B$3*A19)</f>
        <v>117.527207568673</v>
      </c>
      <c r="G19" s="0" t="n">
        <f aca="false">1.9858775*10^(-3)*A19*LN(F19)</f>
        <v>2.60315616715157</v>
      </c>
      <c r="H19" s="39" t="n">
        <f aca="false">MAX(ABS(G19-Q19),ABS(G19-U19))</f>
        <v>0.00993402568207902</v>
      </c>
      <c r="I19" s="39"/>
      <c r="J19" s="39"/>
      <c r="K19" s="39" t="n">
        <v>2.60315616715157</v>
      </c>
      <c r="L19" s="39" t="n">
        <v>0.00993402568207902</v>
      </c>
      <c r="M19" s="39"/>
      <c r="O19" s="38" t="n">
        <f aca="false">(C19+D19)*$B$5*10000</f>
        <v>2736.8813376</v>
      </c>
      <c r="P19" s="0" t="n">
        <f aca="false">O19/(B19*$B$3*A19)</f>
        <v>119.645737276906</v>
      </c>
      <c r="Q19" s="39" t="n">
        <f aca="false">1.9858775*10^(-3)*A19*LN(P19)</f>
        <v>2.61291271341449</v>
      </c>
      <c r="S19" s="38" t="n">
        <f aca="false">(C19-D19)*$B$5*10000</f>
        <v>2639.9591312</v>
      </c>
      <c r="T19" s="0" t="n">
        <f aca="false">S19/(B19*$B$3*A19)</f>
        <v>115.408677860439</v>
      </c>
      <c r="U19" s="39" t="n">
        <f aca="false">1.9858775*10^(-3)*A19*LN(T19)</f>
        <v>2.59322214146949</v>
      </c>
    </row>
    <row r="20" customFormat="false" ht="15" hidden="false" customHeight="false" outlineLevel="0" collapsed="false">
      <c r="A20" s="30" t="n">
        <v>295</v>
      </c>
      <c r="B20" s="30" t="n">
        <f aca="false">IF(A20&lt;270, "ERROR", IF(A20&gt;370,"ERROR",(-3.014732*10^(-10)*A20^4+4.13618032*10^(-7)*A20^3-2.148422*10^(-4)*A20^2+0.0494708537*A20-3.2343963445)*1000))</f>
        <v>998.258018625249</v>
      </c>
      <c r="C20" s="30" t="n">
        <v>16.795</v>
      </c>
      <c r="D20" s="30" t="n">
        <v>0.189</v>
      </c>
      <c r="E20" s="38" t="n">
        <f aca="false">C20*$B$5*10000</f>
        <v>3025.666276</v>
      </c>
      <c r="F20" s="0" t="n">
        <f aca="false">E20/(B20*$B$3*A20)</f>
        <v>123.572559831961</v>
      </c>
      <c r="G20" s="0" t="n">
        <f aca="false">1.9858775*10^(-3)*A20*LN(F20)</f>
        <v>2.82186125250388</v>
      </c>
      <c r="H20" s="39" t="n">
        <f aca="false">MAX(ABS(G20-Q20),ABS(G20-U20))</f>
        <v>0.00662996807095784</v>
      </c>
      <c r="I20" s="39"/>
      <c r="J20" s="39"/>
      <c r="K20" s="39" t="n">
        <v>2.82186125250388</v>
      </c>
      <c r="L20" s="39" t="n">
        <v>0.00662996807095784</v>
      </c>
      <c r="M20" s="39"/>
      <c r="O20" s="38" t="n">
        <f aca="false">(C20+D20)*$B$5*10000</f>
        <v>3059.7151552</v>
      </c>
      <c r="P20" s="0" t="n">
        <f aca="false">O20/(B20*$B$3*A20)</f>
        <v>124.963165000657</v>
      </c>
      <c r="Q20" s="39" t="n">
        <f aca="false">1.9858775*10^(-3)*A20*LN(P20)</f>
        <v>2.82841702712527</v>
      </c>
      <c r="S20" s="38" t="n">
        <f aca="false">(C20-D20)*$B$5*10000</f>
        <v>2991.6173968</v>
      </c>
      <c r="T20" s="0" t="n">
        <f aca="false">S20/(B20*$B$3*A20)</f>
        <v>122.181954663266</v>
      </c>
      <c r="U20" s="39" t="n">
        <f aca="false">1.9858775*10^(-3)*A20*LN(T20)</f>
        <v>2.81523128443292</v>
      </c>
    </row>
    <row r="21" customFormat="false" ht="15" hidden="false" customHeight="false" outlineLevel="0" collapsed="false">
      <c r="A21" s="30" t="n">
        <v>315</v>
      </c>
      <c r="B21" s="30" t="n">
        <f aca="false">IF(A21&lt;270, "ERROR", IF(A21&gt;370,"ERROR",(-3.014732*10^(-10)*A21^4+4.13618032*10^(-7)*A21^3-2.148422*10^(-4)*A21^2+0.0494708537*A21-3.2343963445)*1000))</f>
        <v>991.014055597251</v>
      </c>
      <c r="C21" s="30" t="n">
        <v>16.668</v>
      </c>
      <c r="D21" s="30" t="n">
        <v>0.164</v>
      </c>
      <c r="E21" s="38" t="n">
        <f aca="false">C21*$B$5*10000</f>
        <v>3002.7868704</v>
      </c>
      <c r="F21" s="0" t="n">
        <f aca="false">E21/(B21*$B$3*A21)</f>
        <v>115.691108504218</v>
      </c>
      <c r="G21" s="0" t="n">
        <f aca="false">1.9858775*10^(-3)*A21*LN(F21)</f>
        <v>2.97194708230473</v>
      </c>
      <c r="H21" s="39" t="n">
        <f aca="false">MAX(ABS(G21-Q21),ABS(G21-U21))</f>
        <v>0.00618541345203338</v>
      </c>
      <c r="I21" s="39"/>
      <c r="J21" s="39"/>
      <c r="K21" s="39" t="n">
        <v>2.97194708230473</v>
      </c>
      <c r="L21" s="39" t="n">
        <v>0.00618541345203338</v>
      </c>
      <c r="M21" s="39"/>
      <c r="O21" s="38" t="n">
        <f aca="false">(C21+D21)*$B$5*10000</f>
        <v>3032.3319296</v>
      </c>
      <c r="P21" s="0" t="n">
        <f aca="false">O21/(B21*$B$3*A21)</f>
        <v>116.829417947145</v>
      </c>
      <c r="Q21" s="39" t="n">
        <f aca="false">1.9858775*10^(-3)*A21*LN(P21)</f>
        <v>2.97807193312427</v>
      </c>
      <c r="S21" s="38" t="n">
        <f aca="false">(C21-D21)*$B$5*10000</f>
        <v>2973.2418112</v>
      </c>
      <c r="T21" s="0" t="n">
        <f aca="false">S21/(B21*$B$3*A21)</f>
        <v>114.552799061292</v>
      </c>
      <c r="U21" s="39" t="n">
        <f aca="false">1.9858775*10^(-3)*A21*LN(T21)</f>
        <v>2.9657616688527</v>
      </c>
    </row>
    <row r="22" customFormat="false" ht="15" hidden="false" customHeight="false" outlineLevel="0" collapsed="false">
      <c r="A22" s="30" t="n">
        <v>335</v>
      </c>
      <c r="B22" s="30" t="n">
        <f aca="false">IF(A22&lt;270, "ERROR", IF(A22&gt;370,"ERROR",(-3.014732*10^(-10)*A22^4+4.13618032*10^(-7)*A22^3-2.148422*10^(-4)*A22^2+0.0494708537*A22-3.2343963445)*1000))</f>
        <v>980.909437641251</v>
      </c>
      <c r="C22" s="30" t="n">
        <v>16.352</v>
      </c>
      <c r="D22" s="30" t="n">
        <v>0.129</v>
      </c>
      <c r="E22" s="38" t="n">
        <f aca="false">C22*$B$5*10000</f>
        <v>2945.8585856</v>
      </c>
      <c r="F22" s="0" t="n">
        <f aca="false">E22/(B22*$B$3*A22)</f>
        <v>107.821164209101</v>
      </c>
      <c r="G22" s="0" t="n">
        <f aca="false">1.9858775*10^(-3)*A22*LN(F22)</f>
        <v>3.11377406048361</v>
      </c>
      <c r="H22" s="39" t="n">
        <f aca="false">MAX(ABS(G22-Q22),ABS(G22-U22))</f>
        <v>0.00526908026304085</v>
      </c>
      <c r="I22" s="39"/>
      <c r="J22" s="39"/>
      <c r="K22" s="39" t="n">
        <v>3.11377406048361</v>
      </c>
      <c r="L22" s="39" t="n">
        <v>0.00526908026304085</v>
      </c>
      <c r="M22" s="39"/>
      <c r="O22" s="38" t="n">
        <f aca="false">(C22+D22)*$B$5*10000</f>
        <v>2969.0982968</v>
      </c>
      <c r="P22" s="0" t="n">
        <f aca="false">O22/(B22*$B$3*A22)</f>
        <v>108.671759254537</v>
      </c>
      <c r="Q22" s="39" t="n">
        <f aca="false">1.9858775*10^(-3)*A22*LN(P22)</f>
        <v>3.11900173616122</v>
      </c>
      <c r="S22" s="38" t="n">
        <f aca="false">(C22-D22)*$B$5*10000</f>
        <v>2922.6188744</v>
      </c>
      <c r="T22" s="0" t="n">
        <f aca="false">S22/(B22*$B$3*A22)</f>
        <v>106.970569163665</v>
      </c>
      <c r="U22" s="39" t="n">
        <f aca="false">1.9858775*10^(-3)*A22*LN(T22)</f>
        <v>3.10850498022057</v>
      </c>
    </row>
    <row r="23" customFormat="false" ht="15" hidden="false" customHeight="false" outlineLevel="0" collapsed="false">
      <c r="A23" s="30" t="n">
        <v>355</v>
      </c>
      <c r="B23" s="30" t="n">
        <f aca="false">IF(A23&lt;270, "ERROR", IF(A23&gt;370,"ERROR",(-3.014732*10^(-10)*A23^4+4.13618032*10^(-7)*A23^3-2.148422*10^(-4)*A23^2+0.0494708537*A23-3.2343963445)*1000))</f>
        <v>968.985902613249</v>
      </c>
      <c r="C23" s="30" t="n">
        <v>14.955</v>
      </c>
      <c r="D23" s="30" t="n">
        <v>0.086</v>
      </c>
      <c r="E23" s="38" t="n">
        <f aca="false">C23*$B$5*10000</f>
        <v>2694.185124</v>
      </c>
      <c r="F23" s="0" t="n">
        <f aca="false">E23/(B23*$B$3*A23)</f>
        <v>94.1992541310485</v>
      </c>
      <c r="G23" s="0" t="n">
        <f aca="false">1.9858775*10^(-3)*A23*LN(F23)</f>
        <v>3.20445433960529</v>
      </c>
      <c r="H23" s="39" t="n">
        <f aca="false">MAX(ABS(G23-Q23),ABS(G23-U23))</f>
        <v>0.00406578648872902</v>
      </c>
      <c r="I23" s="39"/>
      <c r="J23" s="39"/>
      <c r="K23" s="39" t="n">
        <v>3.20445433960529</v>
      </c>
      <c r="L23" s="39" t="n">
        <v>0.00406578648872902</v>
      </c>
      <c r="M23" s="39"/>
      <c r="O23" s="38" t="n">
        <f aca="false">(C23+D23)*$B$5*10000</f>
        <v>2709.6782648</v>
      </c>
      <c r="P23" s="0" t="n">
        <f aca="false">O23/(B23*$B$3*A23)</f>
        <v>94.7409549572117</v>
      </c>
      <c r="Q23" s="39" t="n">
        <f aca="false">1.9858775*10^(-3)*A23*LN(P23)</f>
        <v>3.2084968123482</v>
      </c>
      <c r="S23" s="38" t="n">
        <f aca="false">(C23-D23)*$B$5*10000</f>
        <v>2678.6919832</v>
      </c>
      <c r="T23" s="0" t="n">
        <f aca="false">S23/(B23*$B$3*A23)</f>
        <v>93.6575533048853</v>
      </c>
      <c r="U23" s="39" t="n">
        <f aca="false">1.9858775*10^(-3)*A23*LN(T23)</f>
        <v>3.20038855311656</v>
      </c>
    </row>
    <row r="24" customFormat="false" ht="15" hidden="false" customHeight="false" outlineLevel="0" collapsed="false">
      <c r="A24" s="30" t="n">
        <v>375</v>
      </c>
      <c r="B24" s="30" t="n">
        <f aca="false">IF(A24&lt;270, "ERROR", IF(A24&gt;375,"ERROR",(-3.014732*10^(-10)*A24^4+4.13618032*10^(-7)*A24^3-2.148422*10^(-4)*A24^2+0.0494708537*A24-3.2343963445)*1000))</f>
        <v>955.127531281248</v>
      </c>
      <c r="C24" s="30" t="n">
        <v>12.742</v>
      </c>
      <c r="D24" s="30" t="n">
        <v>0.073</v>
      </c>
      <c r="E24" s="38" t="n">
        <f aca="false">C24*$B$5*10000</f>
        <v>2295.5069776</v>
      </c>
      <c r="F24" s="0" t="n">
        <f aca="false">E24/(B24*$B$3*A24)</f>
        <v>77.0817964795846</v>
      </c>
      <c r="G24" s="0" t="n">
        <f aca="false">1.9858775*10^(-3)*A24*LN(F24)</f>
        <v>3.23564021760063</v>
      </c>
      <c r="H24" s="39" t="n">
        <f aca="false">MAX(ABS(G24-Q24),ABS(G24-U24))</f>
        <v>0.00427874118402238</v>
      </c>
      <c r="I24" s="39"/>
      <c r="J24" s="39"/>
      <c r="K24" s="39" t="n">
        <v>3.23564021760063</v>
      </c>
      <c r="L24" s="39" t="n">
        <v>0.00427874118402238</v>
      </c>
      <c r="M24" s="39"/>
      <c r="O24" s="38" t="n">
        <f aca="false">(C24+D24)*$B$5*10000</f>
        <v>2308.658132</v>
      </c>
      <c r="P24" s="0" t="n">
        <f aca="false">O24/(B24*$B$3*A24)</f>
        <v>77.5234046370959</v>
      </c>
      <c r="Q24" s="39" t="n">
        <f aca="false">1.9858775*10^(-3)*A24*LN(P24)</f>
        <v>3.23989451539848</v>
      </c>
      <c r="S24" s="38" t="n">
        <f aca="false">(C24-D24)*$B$5*10000</f>
        <v>2282.3558232</v>
      </c>
      <c r="T24" s="0" t="n">
        <f aca="false">S24/(B24*$B$3*A24)</f>
        <v>76.6401883220732</v>
      </c>
      <c r="U24" s="39" t="n">
        <f aca="false">1.9858775*10^(-3)*A24*LN(T24)</f>
        <v>3.23136147641661</v>
      </c>
    </row>
    <row r="25" customFormat="false" ht="15" hidden="false" customHeight="false" outlineLevel="0" collapsed="false">
      <c r="A25" s="30" t="n">
        <v>395</v>
      </c>
      <c r="B25" s="30" t="str">
        <f aca="false">IF(A25&lt;270, "ERROR", IF(A25&gt;375,"ERROR",(-3.014732*10^(-10)*A25^4+4.13618032*10^(-7)*A25^3-2.148422*10^(-4)*A25^2+0.0494708537*A25-3.2343963445)*1000))</f>
        <v>ERROR</v>
      </c>
      <c r="C25" s="30" t="n">
        <v>10.966</v>
      </c>
      <c r="D25" s="30" t="n">
        <v>0.049</v>
      </c>
      <c r="E25" s="38" t="n">
        <f aca="false">C25*$B$5*10000</f>
        <v>1975.5556048</v>
      </c>
      <c r="F25" s="0" t="e">
        <f aca="false">E25/(B25*$B$3*A25)</f>
        <v>#VALUE!</v>
      </c>
      <c r="G25" s="0" t="e">
        <f aca="false">1.9858775*10^(-3)*A25*LN(F25)</f>
        <v>#VALUE!</v>
      </c>
      <c r="H25" s="39" t="e">
        <f aca="false">MAX(ABS(G25-Q25),ABS(G25-U25))</f>
        <v>#VALUE!</v>
      </c>
      <c r="I25" s="39"/>
      <c r="J25" s="39"/>
      <c r="K25" s="39" t="e">
        <f aca="false">#VALUE!</f>
        <v>#VALUE!</v>
      </c>
      <c r="L25" s="39" t="e">
        <f aca="false">#VALUE!</f>
        <v>#VALUE!</v>
      </c>
      <c r="M25" s="39"/>
      <c r="O25" s="38" t="n">
        <f aca="false">(C25+D25)*$B$5*10000</f>
        <v>1984.383092</v>
      </c>
      <c r="P25" s="0" t="e">
        <f aca="false">O25/(B25*$B$3*A25)</f>
        <v>#VALUE!</v>
      </c>
      <c r="Q25" s="39" t="e">
        <f aca="false">1.9858775*10^(-3)*A25*LN(P25)</f>
        <v>#VALUE!</v>
      </c>
      <c r="S25" s="38" t="n">
        <f aca="false">(C25-D25)*$B$5*10000</f>
        <v>1966.7281176</v>
      </c>
      <c r="T25" s="0" t="e">
        <f aca="false">S25/(B25*$B$3*A25)</f>
        <v>#VALUE!</v>
      </c>
      <c r="U25" s="39" t="e">
        <f aca="false">1.9858775*10^(-3)*A25*LN(T25)</f>
        <v>#VALUE!</v>
      </c>
    </row>
    <row r="26" customFormat="false" ht="13.8" hidden="false" customHeight="false" outlineLevel="0" collapsed="false">
      <c r="E26" s="0"/>
      <c r="F26" s="34"/>
    </row>
    <row r="27" customFormat="false" ht="13.8" hidden="false" customHeight="false" outlineLevel="0" collapsed="false">
      <c r="A27" s="35" t="s">
        <v>42</v>
      </c>
      <c r="B27" s="35"/>
      <c r="E27" s="0"/>
      <c r="F27" s="34"/>
      <c r="O27" s="0" t="s">
        <v>32</v>
      </c>
      <c r="S27" s="0" t="s">
        <v>32</v>
      </c>
    </row>
    <row r="28" customFormat="false" ht="13.8" hidden="false" customHeight="false" outlineLevel="0" collapsed="false">
      <c r="A28" s="36" t="s">
        <v>33</v>
      </c>
      <c r="B28" s="36" t="s">
        <v>34</v>
      </c>
      <c r="C28" s="36" t="s">
        <v>35</v>
      </c>
      <c r="D28" s="36" t="s">
        <v>36</v>
      </c>
      <c r="E28" s="36" t="s">
        <v>37</v>
      </c>
      <c r="F28" s="37" t="s">
        <v>38</v>
      </c>
      <c r="G28" s="36" t="s">
        <v>39</v>
      </c>
      <c r="H28" s="36" t="s">
        <v>40</v>
      </c>
      <c r="I28" s="36"/>
      <c r="J28" s="36"/>
      <c r="K28" s="36" t="s">
        <v>39</v>
      </c>
      <c r="L28" s="36" t="s">
        <v>40</v>
      </c>
      <c r="M28" s="36"/>
      <c r="O28" s="36" t="s">
        <v>37</v>
      </c>
      <c r="P28" s="37" t="s">
        <v>38</v>
      </c>
      <c r="Q28" s="36" t="s">
        <v>39</v>
      </c>
      <c r="S28" s="36" t="s">
        <v>37</v>
      </c>
      <c r="T28" s="37" t="s">
        <v>38</v>
      </c>
      <c r="U28" s="36" t="s">
        <v>39</v>
      </c>
    </row>
    <row r="29" customFormat="false" ht="15" hidden="false" customHeight="false" outlineLevel="0" collapsed="false">
      <c r="A29" s="30" t="n">
        <v>275</v>
      </c>
      <c r="B29" s="30" t="n">
        <f aca="false">IF(A29&lt;270, "ERROR", IF(A29&gt;370,"ERROR",(-3.014732*10^(-10)*A29^4+4.13618032*10^(-7)*A29^3-2.148422*10^(-4)*A29^2+0.0494708537*A29-3.2343963445)*1000))</f>
        <v>1000.44193178125</v>
      </c>
      <c r="C29" s="30" t="n">
        <v>3.784</v>
      </c>
      <c r="D29" s="30" t="n">
        <v>0.227</v>
      </c>
      <c r="E29" s="38" t="n">
        <f aca="false">C29*$B$5*10000</f>
        <v>681.6981952</v>
      </c>
      <c r="F29" s="0" t="n">
        <f aca="false">E29/(B29*$B$3*A29)</f>
        <v>29.8011762674969</v>
      </c>
      <c r="G29" s="0" t="n">
        <f aca="false">1.9858775*10^(-3)*A29*LN(F29)</f>
        <v>1.85381796252715</v>
      </c>
      <c r="H29" s="39" t="n">
        <f aca="false">MAX(ABS(G29-Q29),ABS(G29-U29))</f>
        <v>0.0337850259648351</v>
      </c>
      <c r="I29" s="39"/>
      <c r="J29" s="39"/>
      <c r="K29" s="39" t="n">
        <v>1.85381796252715</v>
      </c>
      <c r="L29" s="39" t="n">
        <v>0.0337850259648351</v>
      </c>
      <c r="M29" s="39"/>
      <c r="O29" s="38" t="n">
        <f aca="false">(C29+D29)*$B$5*10000</f>
        <v>722.5928808</v>
      </c>
      <c r="P29" s="0" t="n">
        <f aca="false">O29/(B29*$B$3*A29)</f>
        <v>31.5889318205418</v>
      </c>
      <c r="Q29" s="39" t="n">
        <f aca="false">1.9858775*10^(-3)*A29*LN(P29)</f>
        <v>1.88563411760626</v>
      </c>
      <c r="S29" s="38" t="n">
        <f aca="false">(C29-D29)*$B$5*10000</f>
        <v>640.8035096</v>
      </c>
      <c r="T29" s="0" t="n">
        <f aca="false">S29/(B29*$B$3*A29)</f>
        <v>28.0134207144521</v>
      </c>
      <c r="U29" s="39" t="n">
        <f aca="false">1.9858775*10^(-3)*A29*LN(T29)</f>
        <v>1.82003293656232</v>
      </c>
    </row>
    <row r="30" customFormat="false" ht="15" hidden="false" customHeight="false" outlineLevel="0" collapsed="false">
      <c r="A30" s="30" t="n">
        <v>295</v>
      </c>
      <c r="B30" s="30" t="n">
        <f aca="false">IF(A30&lt;270, "ERROR", IF(A30&gt;370,"ERROR",(-3.014732*10^(-10)*A30^4+4.13618032*10^(-7)*A30^3-2.148422*10^(-4)*A30^2+0.0494708537*A30-3.2343963445)*1000))</f>
        <v>998.258018625249</v>
      </c>
      <c r="C30" s="30" t="n">
        <v>5.303</v>
      </c>
      <c r="D30" s="30" t="n">
        <v>0.198</v>
      </c>
      <c r="E30" s="38" t="n">
        <f aca="false">C30*$B$5*10000</f>
        <v>955.3502984</v>
      </c>
      <c r="F30" s="0" t="n">
        <f aca="false">E30/(B30*$B$3*A30)</f>
        <v>39.0178794158315</v>
      </c>
      <c r="G30" s="0" t="n">
        <f aca="false">1.9858775*10^(-3)*A30*LN(F30)</f>
        <v>2.14650698163336</v>
      </c>
      <c r="H30" s="39" t="n">
        <f aca="false">MAX(ABS(G30-Q30),ABS(G30-U30))</f>
        <v>0.0222922945663693</v>
      </c>
      <c r="I30" s="39"/>
      <c r="J30" s="39"/>
      <c r="K30" s="39" t="n">
        <v>2.14650698163336</v>
      </c>
      <c r="L30" s="39" t="n">
        <v>0.0222922945663693</v>
      </c>
      <c r="M30" s="39"/>
      <c r="O30" s="38" t="n">
        <f aca="false">(C30+D30)*$B$5*10000</f>
        <v>991.0205528</v>
      </c>
      <c r="P30" s="0" t="n">
        <f aca="false">O30/(B30*$B$3*A30)</f>
        <v>40.4747038782744</v>
      </c>
      <c r="Q30" s="39" t="n">
        <f aca="false">1.9858775*10^(-3)*A30*LN(P30)</f>
        <v>2.16798200820117</v>
      </c>
      <c r="S30" s="38" t="n">
        <f aca="false">(C30-D30)*$B$5*10000</f>
        <v>919.680044</v>
      </c>
      <c r="T30" s="0" t="n">
        <f aca="false">S30/(B30*$B$3*A30)</f>
        <v>37.5610549533886</v>
      </c>
      <c r="U30" s="39" t="n">
        <f aca="false">1.9858775*10^(-3)*A30*LN(T30)</f>
        <v>2.12421468706699</v>
      </c>
    </row>
    <row r="31" customFormat="false" ht="15" hidden="false" customHeight="false" outlineLevel="0" collapsed="false">
      <c r="A31" s="30" t="n">
        <v>315</v>
      </c>
      <c r="B31" s="30" t="n">
        <f aca="false">IF(A31&lt;270, "ERROR", IF(A31&gt;370,"ERROR",(-3.014732*10^(-10)*A31^4+4.13618032*10^(-7)*A31^3-2.148422*10^(-4)*A31^2+0.0494708537*A31-3.2343963445)*1000))</f>
        <v>991.014055597251</v>
      </c>
      <c r="C31" s="30" t="n">
        <v>6.214</v>
      </c>
      <c r="D31" s="30" t="n">
        <v>0.171</v>
      </c>
      <c r="E31" s="38" t="n">
        <f aca="false">C31*$B$5*10000</f>
        <v>1119.4694992</v>
      </c>
      <c r="F31" s="0" t="n">
        <f aca="false">E31/(B31*$B$3*A31)</f>
        <v>43.1308224289185</v>
      </c>
      <c r="G31" s="0" t="n">
        <f aca="false">1.9858775*10^(-3)*A31*LN(F31)</f>
        <v>2.35472432224612</v>
      </c>
      <c r="H31" s="39" t="n">
        <f aca="false">MAX(ABS(G31-Q31),ABS(G31-U31))</f>
        <v>0.0174555327378485</v>
      </c>
      <c r="I31" s="39"/>
      <c r="J31" s="39"/>
      <c r="K31" s="39" t="n">
        <v>2.35472432224612</v>
      </c>
      <c r="L31" s="39" t="n">
        <v>0.0174555327378485</v>
      </c>
      <c r="M31" s="39"/>
      <c r="O31" s="38" t="n">
        <f aca="false">(C31+D31)*$B$5*10000</f>
        <v>1150.275628</v>
      </c>
      <c r="P31" s="0" t="n">
        <f aca="false">O31/(B31*$B$3*A31)</f>
        <v>44.3177182505061</v>
      </c>
      <c r="Q31" s="39" t="n">
        <f aca="false">1.9858775*10^(-3)*A31*LN(P31)</f>
        <v>2.37170596533502</v>
      </c>
      <c r="S31" s="38" t="n">
        <f aca="false">(C31-D31)*$B$5*10000</f>
        <v>1088.6633704</v>
      </c>
      <c r="T31" s="0" t="n">
        <f aca="false">S31/(B31*$B$3*A31)</f>
        <v>41.943926607331</v>
      </c>
      <c r="U31" s="39" t="n">
        <f aca="false">1.9858775*10^(-3)*A31*LN(T31)</f>
        <v>2.33726878950827</v>
      </c>
    </row>
    <row r="32" customFormat="false" ht="15" hidden="false" customHeight="false" outlineLevel="0" collapsed="false">
      <c r="A32" s="30" t="n">
        <v>335</v>
      </c>
      <c r="B32" s="30" t="n">
        <f aca="false">IF(A32&lt;270, "ERROR", IF(A32&gt;370,"ERROR",(-3.014732*10^(-10)*A32^4+4.13618032*10^(-7)*A32^3-2.148422*10^(-4)*A32^2+0.0494708537*A32-3.2343963445)*1000))</f>
        <v>980.909437641251</v>
      </c>
      <c r="C32" s="30" t="n">
        <v>7.283</v>
      </c>
      <c r="D32" s="30" t="n">
        <v>0.178</v>
      </c>
      <c r="E32" s="38" t="n">
        <f aca="false">C32*$B$5*10000</f>
        <v>1312.0528424</v>
      </c>
      <c r="F32" s="0" t="n">
        <f aca="false">E32/(B32*$B$3*A32)</f>
        <v>48.0223543869179</v>
      </c>
      <c r="G32" s="0" t="n">
        <f aca="false">1.9858775*10^(-3)*A32*LN(F32)</f>
        <v>2.5756996346947</v>
      </c>
      <c r="H32" s="39" t="n">
        <f aca="false">MAX(ABS(G32-Q32),ABS(G32-U32))</f>
        <v>0.0164614841876571</v>
      </c>
      <c r="I32" s="39"/>
      <c r="J32" s="39"/>
      <c r="K32" s="39" t="n">
        <v>2.5756996346947</v>
      </c>
      <c r="L32" s="39" t="n">
        <v>0.0164614841876571</v>
      </c>
      <c r="M32" s="39"/>
      <c r="O32" s="38" t="n">
        <f aca="false">(C32+D32)*$B$5*10000</f>
        <v>1344.1200408</v>
      </c>
      <c r="P32" s="0" t="n">
        <f aca="false">O32/(B32*$B$3*A32)</f>
        <v>49.1960436744192</v>
      </c>
      <c r="Q32" s="39" t="n">
        <f aca="false">1.9858775*10^(-3)*A32*LN(P32)</f>
        <v>2.59176361041008</v>
      </c>
      <c r="S32" s="38" t="n">
        <f aca="false">(C32-D32)*$B$5*10000</f>
        <v>1279.985644</v>
      </c>
      <c r="T32" s="0" t="n">
        <f aca="false">S32/(B32*$B$3*A32)</f>
        <v>46.8486650994167</v>
      </c>
      <c r="U32" s="39" t="n">
        <f aca="false">1.9858775*10^(-3)*A32*LN(T32)</f>
        <v>2.55923815050704</v>
      </c>
    </row>
    <row r="33" customFormat="false" ht="15" hidden="false" customHeight="false" outlineLevel="0" collapsed="false">
      <c r="A33" s="30" t="n">
        <v>355</v>
      </c>
      <c r="B33" s="30" t="n">
        <f aca="false">IF(A33&lt;270, "ERROR", IF(A33&gt;370,"ERROR",(-3.014732*10^(-10)*A33^4+4.13618032*10^(-7)*A33^3-2.148422*10^(-4)*A33^2+0.0494708537*A33-3.2343963445)*1000))</f>
        <v>968.985902613249</v>
      </c>
      <c r="C33" s="30" t="n">
        <v>7.463</v>
      </c>
      <c r="D33" s="30" t="n">
        <v>0.129</v>
      </c>
      <c r="E33" s="38" t="n">
        <f aca="false">C33*$B$5*10000</f>
        <v>1344.4803464</v>
      </c>
      <c r="F33" s="0" t="n">
        <f aca="false">E33/(B33*$B$3*A33)</f>
        <v>47.0082937866944</v>
      </c>
      <c r="G33" s="0" t="n">
        <f aca="false">1.9858775*10^(-3)*A33*LN(F33)</f>
        <v>2.71442652378505</v>
      </c>
      <c r="H33" s="39" t="n">
        <f aca="false">MAX(ABS(G33-Q33),ABS(G33-U33))</f>
        <v>0.0122924328190259</v>
      </c>
      <c r="I33" s="39"/>
      <c r="J33" s="39"/>
      <c r="K33" s="39" t="n">
        <v>2.71442652378505</v>
      </c>
      <c r="L33" s="39" t="n">
        <v>0.0122924328190259</v>
      </c>
      <c r="M33" s="39"/>
      <c r="O33" s="38" t="n">
        <f aca="false">(C33+D33)*$B$5*10000</f>
        <v>1367.7200576</v>
      </c>
      <c r="P33" s="0" t="n">
        <f aca="false">O33/(B33*$B$3*A33)</f>
        <v>47.8208450259392</v>
      </c>
      <c r="Q33" s="39" t="n">
        <f aca="false">1.9858775*10^(-3)*A33*LN(P33)</f>
        <v>2.72650828876855</v>
      </c>
      <c r="S33" s="38" t="n">
        <f aca="false">(C33-D33)*$B$5*10000</f>
        <v>1321.2406352</v>
      </c>
      <c r="T33" s="0" t="n">
        <f aca="false">S33/(B33*$B$3*A33)</f>
        <v>46.1957425474497</v>
      </c>
      <c r="U33" s="39" t="n">
        <f aca="false">1.9858775*10^(-3)*A33*LN(T33)</f>
        <v>2.70213409096602</v>
      </c>
    </row>
    <row r="34" customFormat="false" ht="15" hidden="false" customHeight="false" outlineLevel="0" collapsed="false">
      <c r="A34" s="30" t="n">
        <v>375</v>
      </c>
      <c r="B34" s="30" t="n">
        <f aca="false">IF(A34&lt;270, "ERROR", IF(A34&gt;375,"ERROR",(-3.014732*10^(-10)*A34^4+4.13618032*10^(-7)*A34^3-2.148422*10^(-4)*A34^2+0.0494708537*A34-3.2343963445)*1000))</f>
        <v>955.127531281248</v>
      </c>
      <c r="C34" s="30" t="n">
        <v>6.951</v>
      </c>
      <c r="D34" s="30" t="n">
        <v>0.102</v>
      </c>
      <c r="E34" s="38" t="n">
        <f aca="false">C34*$B$5*10000</f>
        <v>1252.2421128</v>
      </c>
      <c r="F34" s="0" t="n">
        <f aca="false">E34/(B34*$B$3*A34)</f>
        <v>42.0495657926222</v>
      </c>
      <c r="G34" s="0" t="n">
        <f aca="false">1.9858775*10^(-3)*A34*LN(F34)</f>
        <v>2.78433608434494</v>
      </c>
      <c r="H34" s="39" t="n">
        <f aca="false">MAX(ABS(G34-Q34),ABS(G34-U34))</f>
        <v>0.0110088692294976</v>
      </c>
      <c r="I34" s="39"/>
      <c r="J34" s="39"/>
      <c r="K34" s="39" t="n">
        <v>2.78433608434494</v>
      </c>
      <c r="L34" s="39" t="n">
        <v>0.0110088692294976</v>
      </c>
      <c r="M34" s="39"/>
      <c r="O34" s="38" t="n">
        <f aca="false">(C34+D34)*$B$5*10000</f>
        <v>1270.6176984</v>
      </c>
      <c r="P34" s="0" t="n">
        <f aca="false">O34/(B34*$B$3*A34)</f>
        <v>42.6666073277751</v>
      </c>
      <c r="Q34" s="39" t="n">
        <f aca="false">1.9858775*10^(-3)*A34*LN(P34)</f>
        <v>2.7951845787285</v>
      </c>
      <c r="S34" s="38" t="n">
        <f aca="false">(C34-D34)*$B$5*10000</f>
        <v>1233.8665272</v>
      </c>
      <c r="T34" s="0" t="n">
        <f aca="false">S34/(B34*$B$3*A34)</f>
        <v>41.4325242574694</v>
      </c>
      <c r="U34" s="39" t="n">
        <f aca="false">1.9858775*10^(-3)*A34*LN(T34)</f>
        <v>2.77332721511544</v>
      </c>
    </row>
    <row r="35" customFormat="false" ht="15" hidden="false" customHeight="false" outlineLevel="0" collapsed="false">
      <c r="A35" s="30" t="n">
        <v>395</v>
      </c>
      <c r="B35" s="30" t="str">
        <f aca="false">IF(A35&lt;270, "ERROR", IF(A35&gt;375,"ERROR",(-3.014732*10^(-10)*A35^4+4.13618032*10^(-7)*A35^3-2.148422*10^(-4)*A35^2+0.0494708537*A35-3.2343963445)*1000))</f>
        <v>ERROR</v>
      </c>
      <c r="C35" s="30" t="n">
        <v>6.426</v>
      </c>
      <c r="D35" s="30" t="n">
        <v>0.072</v>
      </c>
      <c r="E35" s="38" t="n">
        <f aca="false">C35*$B$5*10000</f>
        <v>1157.6618928</v>
      </c>
      <c r="F35" s="0" t="e">
        <f aca="false">E35/(B35*$B$3*A35)</f>
        <v>#VALUE!</v>
      </c>
      <c r="G35" s="0" t="e">
        <f aca="false">1.9858775*10^(-3)*A35*LN(F35)</f>
        <v>#VALUE!</v>
      </c>
      <c r="H35" s="39" t="e">
        <f aca="false">MAX(ABS(G35-Q35),ABS(G35-U35))</f>
        <v>#VALUE!</v>
      </c>
      <c r="I35" s="39"/>
      <c r="J35" s="39"/>
      <c r="K35" s="39" t="e">
        <f aca="false">#VALUE!</f>
        <v>#VALUE!</v>
      </c>
      <c r="L35" s="39" t="e">
        <f aca="false">#VALUE!</f>
        <v>#VALUE!</v>
      </c>
      <c r="M35" s="39"/>
      <c r="O35" s="38" t="n">
        <f aca="false">(C35+D35)*$B$5*10000</f>
        <v>1170.6328944</v>
      </c>
      <c r="P35" s="0" t="e">
        <f aca="false">O35/(B35*$B$3*A35)</f>
        <v>#VALUE!</v>
      </c>
      <c r="Q35" s="39" t="e">
        <f aca="false">1.9858775*10^(-3)*A35*LN(P35)</f>
        <v>#VALUE!</v>
      </c>
      <c r="S35" s="38" t="n">
        <f aca="false">(C35-D35)*$B$5*10000</f>
        <v>1144.6908912</v>
      </c>
      <c r="T35" s="0" t="e">
        <f aca="false">S35/(B35*$B$3*A35)</f>
        <v>#VALUE!</v>
      </c>
      <c r="U35" s="39" t="e">
        <f aca="false">1.9858775*10^(-3)*A35*LN(T35)</f>
        <v>#VALUE!</v>
      </c>
    </row>
    <row r="36" customFormat="false" ht="13.8" hidden="false" customHeight="false" outlineLevel="0" collapsed="false">
      <c r="E36" s="0"/>
      <c r="F36" s="34"/>
    </row>
    <row r="37" customFormat="false" ht="13.8" hidden="false" customHeight="false" outlineLevel="0" collapsed="false">
      <c r="A37" s="35" t="s">
        <v>43</v>
      </c>
      <c r="B37" s="35"/>
      <c r="E37" s="0"/>
      <c r="F37" s="34"/>
      <c r="O37" s="0" t="s">
        <v>32</v>
      </c>
      <c r="S37" s="0" t="s">
        <v>32</v>
      </c>
    </row>
    <row r="38" customFormat="false" ht="13.8" hidden="false" customHeight="false" outlineLevel="0" collapsed="false">
      <c r="A38" s="36" t="s">
        <v>33</v>
      </c>
      <c r="B38" s="36" t="s">
        <v>34</v>
      </c>
      <c r="C38" s="36" t="s">
        <v>35</v>
      </c>
      <c r="D38" s="36" t="s">
        <v>36</v>
      </c>
      <c r="E38" s="36" t="s">
        <v>37</v>
      </c>
      <c r="F38" s="37" t="s">
        <v>38</v>
      </c>
      <c r="G38" s="36" t="s">
        <v>39</v>
      </c>
      <c r="H38" s="36" t="s">
        <v>40</v>
      </c>
      <c r="I38" s="36"/>
      <c r="J38" s="36"/>
      <c r="K38" s="36" t="s">
        <v>39</v>
      </c>
      <c r="L38" s="36" t="s">
        <v>40</v>
      </c>
      <c r="M38" s="36"/>
      <c r="O38" s="36" t="s">
        <v>37</v>
      </c>
      <c r="P38" s="37" t="s">
        <v>38</v>
      </c>
      <c r="Q38" s="36" t="s">
        <v>39</v>
      </c>
      <c r="S38" s="36" t="s">
        <v>37</v>
      </c>
      <c r="T38" s="37" t="s">
        <v>38</v>
      </c>
      <c r="U38" s="36" t="s">
        <v>39</v>
      </c>
    </row>
    <row r="39" customFormat="false" ht="15" hidden="false" customHeight="false" outlineLevel="0" collapsed="false">
      <c r="A39" s="30" t="n">
        <v>275</v>
      </c>
      <c r="B39" s="30" t="n">
        <f aca="false">IF(A39&lt;270, "ERROR", IF(A39&gt;370,"ERROR",(-3.014732*10^(-10)*A39^4+4.13618032*10^(-7)*A39^3-2.148422*10^(-4)*A39^2+0.0494708537*A39-3.2343963445)*1000))</f>
        <v>1000.44193178125</v>
      </c>
      <c r="C39" s="30" t="n">
        <v>2.346</v>
      </c>
      <c r="D39" s="30" t="n">
        <v>0.246</v>
      </c>
      <c r="E39" s="38" t="n">
        <f aca="false">C39*$B$5*10000</f>
        <v>422.6384688</v>
      </c>
      <c r="F39" s="0" t="n">
        <f aca="false">E39/(B39*$B$3*A39)</f>
        <v>18.4760992398382</v>
      </c>
      <c r="G39" s="0" t="n">
        <f aca="false">1.9858775*10^(-3)*A39*LN(F39)</f>
        <v>1.59273619109853</v>
      </c>
      <c r="H39" s="39" t="n">
        <f aca="false">MAX(ABS(G39-Q39),ABS(G39-U39))</f>
        <v>0.0604957098520766</v>
      </c>
      <c r="I39" s="39"/>
      <c r="J39" s="39"/>
      <c r="K39" s="39" t="n">
        <v>1.59273619109853</v>
      </c>
      <c r="L39" s="39" t="n">
        <v>0.0604957098520766</v>
      </c>
      <c r="M39" s="39"/>
      <c r="O39" s="38" t="n">
        <f aca="false">(C39+D39)*$B$5*10000</f>
        <v>466.9560576</v>
      </c>
      <c r="P39" s="0" t="n">
        <f aca="false">O39/(B39*$B$3*A39)</f>
        <v>20.4134907202305</v>
      </c>
      <c r="Q39" s="39" t="n">
        <f aca="false">1.9858775*10^(-3)*A39*LN(P39)</f>
        <v>1.64719383298097</v>
      </c>
      <c r="S39" s="38" t="n">
        <f aca="false">(C39-D39)*$B$5*10000</f>
        <v>378.32088</v>
      </c>
      <c r="T39" s="0" t="n">
        <f aca="false">S39/(B39*$B$3*A39)</f>
        <v>16.538707759446</v>
      </c>
      <c r="U39" s="39" t="n">
        <f aca="false">1.9858775*10^(-3)*A39*LN(T39)</f>
        <v>1.53224048124645</v>
      </c>
    </row>
    <row r="40" customFormat="false" ht="15" hidden="false" customHeight="false" outlineLevel="0" collapsed="false">
      <c r="A40" s="30" t="n">
        <v>295</v>
      </c>
      <c r="B40" s="30" t="n">
        <f aca="false">IF(A40&lt;270, "ERROR", IF(A40&gt;370,"ERROR",(-3.014732*10^(-10)*A40^4+4.13618032*10^(-7)*A40^3-2.148422*10^(-4)*A40^2+0.0494708537*A40-3.2343963445)*1000))</f>
        <v>998.258018625249</v>
      </c>
      <c r="C40" s="30" t="n">
        <v>3.527</v>
      </c>
      <c r="D40" s="30" t="n">
        <v>0.225</v>
      </c>
      <c r="E40" s="38" t="n">
        <f aca="false">C40*$B$5*10000</f>
        <v>635.3989256</v>
      </c>
      <c r="F40" s="0" t="n">
        <f aca="false">E40/(B40*$B$3*A40)</f>
        <v>25.9506054496771</v>
      </c>
      <c r="G40" s="0" t="n">
        <f aca="false">1.9858775*10^(-3)*A40*LN(F40)</f>
        <v>1.90758925918306</v>
      </c>
      <c r="H40" s="39" t="n">
        <f aca="false">MAX(ABS(G40-Q40),ABS(G40-U40))</f>
        <v>0.0386177615043428</v>
      </c>
      <c r="I40" s="39"/>
      <c r="J40" s="39"/>
      <c r="K40" s="39" t="n">
        <v>1.90758925918306</v>
      </c>
      <c r="L40" s="39" t="n">
        <v>0.0386177615043428</v>
      </c>
      <c r="M40" s="39"/>
      <c r="O40" s="38" t="n">
        <f aca="false">(C40+D40)*$B$5*10000</f>
        <v>675.9333056</v>
      </c>
      <c r="P40" s="0" t="n">
        <f aca="false">O40/(B40*$B$3*A40)</f>
        <v>27.6060877933622</v>
      </c>
      <c r="Q40" s="39" t="n">
        <f aca="false">1.9858775*10^(-3)*A40*LN(P40)</f>
        <v>1.94381803362639</v>
      </c>
      <c r="S40" s="38" t="n">
        <f aca="false">(C40-D40)*$B$5*10000</f>
        <v>594.8645456</v>
      </c>
      <c r="T40" s="0" t="n">
        <f aca="false">S40/(B40*$B$3*A40)</f>
        <v>24.295123105992</v>
      </c>
      <c r="U40" s="39" t="n">
        <f aca="false">1.9858775*10^(-3)*A40*LN(T40)</f>
        <v>1.86897149767872</v>
      </c>
    </row>
    <row r="41" customFormat="false" ht="15" hidden="false" customHeight="false" outlineLevel="0" collapsed="false">
      <c r="A41" s="30" t="n">
        <v>315</v>
      </c>
      <c r="B41" s="30" t="n">
        <f aca="false">IF(A41&lt;270, "ERROR", IF(A41&gt;370,"ERROR",(-3.014732*10^(-10)*A41^4+4.13618032*10^(-7)*A41^3-2.148422*10^(-4)*A41^2+0.0494708537*A41-3.2343963445)*1000))</f>
        <v>991.014055597251</v>
      </c>
      <c r="C41" s="30" t="n">
        <v>4.419</v>
      </c>
      <c r="D41" s="30" t="n">
        <v>0.196</v>
      </c>
      <c r="E41" s="38" t="n">
        <f aca="false">C41*$B$5*10000</f>
        <v>796.0952232</v>
      </c>
      <c r="F41" s="0" t="n">
        <f aca="false">E41/(B41*$B$3*A41)</f>
        <v>30.6718867578679</v>
      </c>
      <c r="G41" s="0" t="n">
        <f aca="false">1.9858775*10^(-3)*A41*LN(F41)</f>
        <v>2.14147923496148</v>
      </c>
      <c r="H41" s="39" t="n">
        <f aca="false">MAX(ABS(G41-Q41),ABS(G41-U41))</f>
        <v>0.0283797976624101</v>
      </c>
      <c r="I41" s="39"/>
      <c r="J41" s="39"/>
      <c r="K41" s="39" t="n">
        <v>2.14147923496148</v>
      </c>
      <c r="L41" s="39" t="n">
        <v>0.0283797976624101</v>
      </c>
      <c r="M41" s="39"/>
      <c r="O41" s="38" t="n">
        <f aca="false">(C41+D41)*$B$5*10000</f>
        <v>831.405172</v>
      </c>
      <c r="P41" s="0" t="n">
        <f aca="false">O41/(B41*$B$3*A41)</f>
        <v>32.0323053603893</v>
      </c>
      <c r="Q41" s="39" t="n">
        <f aca="false">1.9858775*10^(-3)*A41*LN(P41)</f>
        <v>2.16862719153366</v>
      </c>
      <c r="S41" s="38" t="n">
        <f aca="false">(C41-D41)*$B$5*10000</f>
        <v>760.7852744</v>
      </c>
      <c r="T41" s="0" t="n">
        <f aca="false">S41/(B41*$B$3*A41)</f>
        <v>29.3114681553465</v>
      </c>
      <c r="U41" s="39" t="n">
        <f aca="false">1.9858775*10^(-3)*A41*LN(T41)</f>
        <v>2.11309943729907</v>
      </c>
    </row>
    <row r="42" customFormat="false" ht="15" hidden="false" customHeight="false" outlineLevel="0" collapsed="false">
      <c r="A42" s="30" t="n">
        <v>335</v>
      </c>
      <c r="B42" s="30" t="n">
        <f aca="false">IF(A42&lt;270, "ERROR", IF(A42&gt;370,"ERROR",(-3.014732*10^(-10)*A42^4+4.13618032*10^(-7)*A42^3-2.148422*10^(-4)*A42^2+0.0494708537*A42-3.2343963445)*1000))</f>
        <v>980.909437641251</v>
      </c>
      <c r="C42" s="30" t="n">
        <v>5.589</v>
      </c>
      <c r="D42" s="30" t="n">
        <v>0.22</v>
      </c>
      <c r="E42" s="38" t="n">
        <f aca="false">C42*$B$5*10000</f>
        <v>1006.8739992</v>
      </c>
      <c r="F42" s="0" t="n">
        <f aca="false">E42/(B42*$B$3*A42)</f>
        <v>36.8525248755299</v>
      </c>
      <c r="G42" s="0" t="n">
        <f aca="false">1.9858775*10^(-3)*A42*LN(F42)</f>
        <v>2.39957467640352</v>
      </c>
      <c r="H42" s="39" t="n">
        <f aca="false">MAX(ABS(G42-Q42),ABS(G42-U42))</f>
        <v>0.0267163425700656</v>
      </c>
      <c r="I42" s="39"/>
      <c r="J42" s="39"/>
      <c r="K42" s="39" t="n">
        <v>2.39957467640352</v>
      </c>
      <c r="L42" s="39" t="n">
        <v>0.0267163425700656</v>
      </c>
      <c r="M42" s="39"/>
      <c r="O42" s="38" t="n">
        <f aca="false">(C42+D42)*$B$5*10000</f>
        <v>1046.5076152</v>
      </c>
      <c r="P42" s="0" t="n">
        <f aca="false">O42/(B42*$B$3*A42)</f>
        <v>38.3031520848011</v>
      </c>
      <c r="Q42" s="39" t="n">
        <f aca="false">1.9858775*10^(-3)*A42*LN(P42)</f>
        <v>2.4252594195742</v>
      </c>
      <c r="S42" s="38" t="n">
        <f aca="false">(C42-D42)*$B$5*10000</f>
        <v>967.2403832</v>
      </c>
      <c r="T42" s="0" t="n">
        <f aca="false">S42/(B42*$B$3*A42)</f>
        <v>35.4018976662587</v>
      </c>
      <c r="U42" s="39" t="n">
        <f aca="false">1.9858775*10^(-3)*A42*LN(T42)</f>
        <v>2.37285833383345</v>
      </c>
    </row>
    <row r="43" customFormat="false" ht="15" hidden="false" customHeight="false" outlineLevel="0" collapsed="false">
      <c r="A43" s="30" t="n">
        <v>355</v>
      </c>
      <c r="B43" s="30" t="n">
        <f aca="false">IF(A43&lt;270, "ERROR", IF(A43&gt;370,"ERROR",(-3.014732*10^(-10)*A43^4+4.13618032*10^(-7)*A43^3-2.148422*10^(-4)*A43^2+0.0494708537*A43-3.2343963445)*1000))</f>
        <v>968.985902613249</v>
      </c>
      <c r="C43" s="30" t="n">
        <v>5.955</v>
      </c>
      <c r="D43" s="30" t="n">
        <v>0.157</v>
      </c>
      <c r="E43" s="38" t="n">
        <f aca="false">C43*$B$5*10000</f>
        <v>1072.809924</v>
      </c>
      <c r="F43" s="0" t="n">
        <f aca="false">E43/(B43*$B$3*A43)</f>
        <v>37.5096327883915</v>
      </c>
      <c r="G43" s="0" t="n">
        <f aca="false">1.9858775*10^(-3)*A43*LN(F43)</f>
        <v>2.55529254415208</v>
      </c>
      <c r="H43" s="39" t="n">
        <f aca="false">MAX(ABS(G43-Q43),ABS(G43-U43))</f>
        <v>0.0188359511156455</v>
      </c>
      <c r="I43" s="39"/>
      <c r="J43" s="39"/>
      <c r="K43" s="39" t="n">
        <v>2.55529254415208</v>
      </c>
      <c r="L43" s="39" t="n">
        <v>0.0188359511156455</v>
      </c>
      <c r="M43" s="39"/>
      <c r="O43" s="38" t="n">
        <f aca="false">(C43+D43)*$B$5*10000</f>
        <v>1101.0939136</v>
      </c>
      <c r="P43" s="0" t="n">
        <f aca="false">O43/(B43*$B$3*A43)</f>
        <v>38.49855173848</v>
      </c>
      <c r="Q43" s="39" t="n">
        <f aca="false">1.9858775*10^(-3)*A43*LN(P43)</f>
        <v>2.57363830175406</v>
      </c>
      <c r="S43" s="38" t="n">
        <f aca="false">(C43-D43)*$B$5*10000</f>
        <v>1044.5259344</v>
      </c>
      <c r="T43" s="0" t="n">
        <f aca="false">S43/(B43*$B$3*A43)</f>
        <v>36.5207138383029</v>
      </c>
      <c r="U43" s="39" t="n">
        <f aca="false">1.9858775*10^(-3)*A43*LN(T43)</f>
        <v>2.53645659303643</v>
      </c>
    </row>
    <row r="44" customFormat="false" ht="15" hidden="false" customHeight="false" outlineLevel="0" collapsed="false">
      <c r="A44" s="30" t="n">
        <v>375</v>
      </c>
      <c r="B44" s="30" t="n">
        <f aca="false">IF(A44&lt;270, "ERROR", IF(A44&gt;375,"ERROR",(-3.014732*10^(-10)*A44^4+4.13618032*10^(-7)*A44^3-2.148422*10^(-4)*A44^2+0.0494708537*A44-3.2343963445)*1000))</f>
        <v>955.127531281248</v>
      </c>
      <c r="C44" s="30" t="n">
        <v>5.732</v>
      </c>
      <c r="D44" s="30" t="n">
        <v>0.13</v>
      </c>
      <c r="E44" s="38" t="n">
        <f aca="false">C44*$B$5*10000</f>
        <v>1032.6358496</v>
      </c>
      <c r="F44" s="0" t="n">
        <f aca="false">E44/(B44*$B$3*A44)</f>
        <v>34.6753145048641</v>
      </c>
      <c r="G44" s="0" t="n">
        <f aca="false">1.9858775*10^(-3)*A44*LN(F44)</f>
        <v>2.64074148432321</v>
      </c>
      <c r="H44" s="39" t="n">
        <f aca="false">MAX(ABS(G44-Q44),ABS(G44-U44))</f>
        <v>0.0170841316275574</v>
      </c>
      <c r="I44" s="39"/>
      <c r="J44" s="39"/>
      <c r="K44" s="39" t="n">
        <v>2.64074148432321</v>
      </c>
      <c r="L44" s="39" t="n">
        <v>0.0170841316275574</v>
      </c>
      <c r="M44" s="39"/>
      <c r="O44" s="38" t="n">
        <f aca="false">(C44+D44)*$B$5*10000</f>
        <v>1056.0557136</v>
      </c>
      <c r="P44" s="0" t="n">
        <f aca="false">O44/(B44*$B$3*A44)</f>
        <v>35.4617399908433</v>
      </c>
      <c r="Q44" s="39" t="n">
        <f aca="false">1.9858775*10^(-3)*A44*LN(P44)</f>
        <v>2.65744246511096</v>
      </c>
      <c r="S44" s="38" t="n">
        <f aca="false">(C44-D44)*$B$5*10000</f>
        <v>1009.2159856</v>
      </c>
      <c r="T44" s="0" t="n">
        <f aca="false">S44/(B44*$B$3*A44)</f>
        <v>33.888889018885</v>
      </c>
      <c r="U44" s="39" t="n">
        <f aca="false">1.9858775*10^(-3)*A44*LN(T44)</f>
        <v>2.62365735269565</v>
      </c>
    </row>
    <row r="45" customFormat="false" ht="15" hidden="false" customHeight="false" outlineLevel="0" collapsed="false">
      <c r="A45" s="30" t="n">
        <v>395</v>
      </c>
      <c r="B45" s="30" t="str">
        <f aca="false">IF(A45&lt;270, "ERROR", IF(A45&gt;375,"ERROR",(-3.014732*10^(-10)*A45^4+4.13618032*10^(-7)*A45^3-2.148422*10^(-4)*A45^2+0.0494708537*A45-3.2343963445)*1000))</f>
        <v>ERROR</v>
      </c>
      <c r="C45" s="30" t="n">
        <v>5.41</v>
      </c>
      <c r="D45" s="30" t="n">
        <v>0.087</v>
      </c>
      <c r="E45" s="38" t="n">
        <f aca="false">C45*$B$5*10000</f>
        <v>974.626648</v>
      </c>
      <c r="F45" s="0" t="e">
        <f aca="false">E45/(B45*$B$3*A45)</f>
        <v>#VALUE!</v>
      </c>
      <c r="G45" s="0" t="e">
        <f aca="false">1.9858775*10^(-3)*A45*LN(F45)</f>
        <v>#VALUE!</v>
      </c>
      <c r="H45" s="39" t="e">
        <f aca="false">MAX(ABS(G45-Q45),ABS(G45-U45))</f>
        <v>#VALUE!</v>
      </c>
      <c r="I45" s="39"/>
      <c r="J45" s="39"/>
      <c r="K45" s="39" t="e">
        <f aca="false">#VALUE!</f>
        <v>#VALUE!</v>
      </c>
      <c r="L45" s="39" t="e">
        <f aca="false">#VALUE!</f>
        <v>#VALUE!</v>
      </c>
      <c r="M45" s="39"/>
      <c r="O45" s="38" t="n">
        <f aca="false">(C45+D45)*$B$5*10000</f>
        <v>990.2999416</v>
      </c>
      <c r="P45" s="0" t="e">
        <f aca="false">O45/(B45*$B$3*A45)</f>
        <v>#VALUE!</v>
      </c>
      <c r="Q45" s="39" t="e">
        <f aca="false">1.9858775*10^(-3)*A45*LN(P45)</f>
        <v>#VALUE!</v>
      </c>
      <c r="S45" s="38" t="n">
        <f aca="false">(C45-D45)*$B$5*10000</f>
        <v>958.9533544</v>
      </c>
      <c r="T45" s="0" t="e">
        <f aca="false">S45/(B45*$B$3*A45)</f>
        <v>#VALUE!</v>
      </c>
      <c r="U45" s="39" t="e">
        <f aca="false">1.9858775*10^(-3)*A45*LN(T45)</f>
        <v>#VALUE!</v>
      </c>
    </row>
    <row r="46" customFormat="false" ht="13.8" hidden="false" customHeight="false" outlineLevel="0" collapsed="false">
      <c r="E46" s="0"/>
      <c r="F46" s="34"/>
    </row>
    <row r="47" customFormat="false" ht="13.8" hidden="false" customHeight="false" outlineLevel="0" collapsed="false">
      <c r="A47" s="35" t="s">
        <v>44</v>
      </c>
      <c r="B47" s="35"/>
      <c r="E47" s="0"/>
      <c r="F47" s="34"/>
      <c r="O47" s="0" t="s">
        <v>32</v>
      </c>
      <c r="S47" s="0" t="s">
        <v>32</v>
      </c>
    </row>
    <row r="48" customFormat="false" ht="13.8" hidden="false" customHeight="false" outlineLevel="0" collapsed="false">
      <c r="A48" s="36" t="s">
        <v>33</v>
      </c>
      <c r="B48" s="36" t="s">
        <v>34</v>
      </c>
      <c r="C48" s="36" t="s">
        <v>35</v>
      </c>
      <c r="D48" s="36" t="s">
        <v>36</v>
      </c>
      <c r="E48" s="36" t="s">
        <v>37</v>
      </c>
      <c r="F48" s="37" t="s">
        <v>38</v>
      </c>
      <c r="G48" s="36" t="s">
        <v>39</v>
      </c>
      <c r="H48" s="36" t="s">
        <v>40</v>
      </c>
      <c r="I48" s="36"/>
      <c r="J48" s="36"/>
      <c r="K48" s="36" t="s">
        <v>39</v>
      </c>
      <c r="L48" s="36" t="s">
        <v>40</v>
      </c>
      <c r="M48" s="36"/>
      <c r="O48" s="36" t="s">
        <v>37</v>
      </c>
      <c r="P48" s="37" t="s">
        <v>38</v>
      </c>
      <c r="Q48" s="36" t="s">
        <v>39</v>
      </c>
      <c r="S48" s="36" t="s">
        <v>37</v>
      </c>
      <c r="T48" s="37" t="s">
        <v>38</v>
      </c>
      <c r="U48" s="36" t="s">
        <v>39</v>
      </c>
    </row>
    <row r="49" customFormat="false" ht="15" hidden="false" customHeight="false" outlineLevel="0" collapsed="false">
      <c r="A49" s="30" t="n">
        <v>275</v>
      </c>
      <c r="B49" s="30" t="n">
        <f aca="false">IF(A49&lt;270, "ERROR", IF(A49&gt;370,"ERROR",(-3.014732*10^(-10)*A49^4+4.13618032*10^(-7)*A49^3-2.148422*10^(-4)*A49^2+0.0494708537*A49-3.2343963445)*1000))</f>
        <v>1000.44193178125</v>
      </c>
      <c r="C49" s="30" t="n">
        <v>1.135</v>
      </c>
      <c r="D49" s="30" t="n">
        <v>0.142</v>
      </c>
      <c r="E49" s="38" t="n">
        <f aca="false">C49*$B$5*10000</f>
        <v>204.473428</v>
      </c>
      <c r="F49" s="0" t="n">
        <f aca="false">E49/(B49*$B$3*A49)</f>
        <v>8.93877776522437</v>
      </c>
      <c r="G49" s="0" t="n">
        <f aca="false">1.9858775*10^(-3)*A49*LN(F49)</f>
        <v>1.19621255080663</v>
      </c>
      <c r="H49" s="39" t="n">
        <f aca="false">MAX(ABS(G49-Q49),ABS(G49-U49))</f>
        <v>0.072992413175933</v>
      </c>
      <c r="I49" s="39"/>
      <c r="J49" s="39"/>
      <c r="K49" s="39" t="n">
        <v>1.19621255080663</v>
      </c>
      <c r="L49" s="39" t="n">
        <v>0.072992413175933</v>
      </c>
      <c r="M49" s="39"/>
      <c r="O49" s="38" t="n">
        <f aca="false">(C49+D49)*$B$5*10000</f>
        <v>230.0551256</v>
      </c>
      <c r="P49" s="0" t="n">
        <f aca="false">O49/(B49*$B$3*A49)</f>
        <v>10.0571094327679</v>
      </c>
      <c r="Q49" s="39" t="n">
        <f aca="false">1.9858775*10^(-3)*A49*LN(P49)</f>
        <v>1.26058924749175</v>
      </c>
      <c r="S49" s="38" t="n">
        <f aca="false">(C49-D49)*$B$5*10000</f>
        <v>178.8917304</v>
      </c>
      <c r="T49" s="0" t="n">
        <f aca="false">S49/(B49*$B$3*A49)</f>
        <v>7.82044609768088</v>
      </c>
      <c r="U49" s="39" t="n">
        <f aca="false">1.9858775*10^(-3)*A49*LN(T49)</f>
        <v>1.1232201376307</v>
      </c>
    </row>
    <row r="50" customFormat="false" ht="15" hidden="false" customHeight="false" outlineLevel="0" collapsed="false">
      <c r="A50" s="30" t="n">
        <v>295</v>
      </c>
      <c r="B50" s="30" t="n">
        <f aca="false">IF(A50&lt;270, "ERROR", IF(A50&gt;370,"ERROR",(-3.014732*10^(-10)*A50^4+4.13618032*10^(-7)*A50^3-2.148422*10^(-4)*A50^2+0.0494708537*A50-3.2343963445)*1000))</f>
        <v>998.258018625249</v>
      </c>
      <c r="C50" s="30" t="n">
        <v>1.839</v>
      </c>
      <c r="D50" s="30" t="n">
        <v>0.137</v>
      </c>
      <c r="E50" s="38" t="n">
        <f aca="false">C50*$B$5*10000</f>
        <v>331.3009992</v>
      </c>
      <c r="F50" s="0" t="n">
        <f aca="false">E50/(B50*$B$3*A50)</f>
        <v>13.5308090223862</v>
      </c>
      <c r="G50" s="0" t="n">
        <f aca="false">1.9858775*10^(-3)*A50*LN(F50)</f>
        <v>1.52607918869354</v>
      </c>
      <c r="H50" s="39" t="n">
        <f aca="false">MAX(ABS(G50-Q50),ABS(G50-U50))</f>
        <v>0.0453540364470797</v>
      </c>
      <c r="I50" s="39"/>
      <c r="J50" s="39"/>
      <c r="K50" s="39" t="n">
        <v>1.52607918869354</v>
      </c>
      <c r="L50" s="39" t="n">
        <v>0.0453540364470797</v>
      </c>
      <c r="M50" s="39"/>
      <c r="O50" s="38" t="n">
        <f aca="false">(C50+D50)*$B$5*10000</f>
        <v>355.9819328</v>
      </c>
      <c r="P50" s="0" t="n">
        <f aca="false">O50/(B50*$B$3*A50)</f>
        <v>14.5388138272078</v>
      </c>
      <c r="Q50" s="39" t="n">
        <f aca="false">1.9858775*10^(-3)*A50*LN(P50)</f>
        <v>1.56817290634353</v>
      </c>
      <c r="S50" s="38" t="n">
        <f aca="false">(C50-D50)*$B$5*10000</f>
        <v>306.6200656</v>
      </c>
      <c r="T50" s="0" t="n">
        <f aca="false">S50/(B50*$B$3*A50)</f>
        <v>12.5228042175646</v>
      </c>
      <c r="U50" s="39" t="n">
        <f aca="false">1.9858775*10^(-3)*A50*LN(T50)</f>
        <v>1.48072515224646</v>
      </c>
    </row>
    <row r="51" customFormat="false" ht="15" hidden="false" customHeight="false" outlineLevel="0" collapsed="false">
      <c r="A51" s="30" t="n">
        <v>315</v>
      </c>
      <c r="B51" s="30" t="n">
        <f aca="false">IF(A51&lt;270, "ERROR", IF(A51&gt;370,"ERROR",(-3.014732*10^(-10)*A51^4+4.13618032*10^(-7)*A51^3-2.148422*10^(-4)*A51^2+0.0494708537*A51-3.2343963445)*1000))</f>
        <v>991.014055597251</v>
      </c>
      <c r="C51" s="30" t="n">
        <v>2.61</v>
      </c>
      <c r="D51" s="30" t="n">
        <v>0.131</v>
      </c>
      <c r="E51" s="38" t="n">
        <f aca="false">C51*$B$5*10000</f>
        <v>470.198808</v>
      </c>
      <c r="F51" s="0" t="n">
        <f aca="false">E51/(B51*$B$3*A51)</f>
        <v>18.1157783294943</v>
      </c>
      <c r="G51" s="0" t="n">
        <f aca="false">1.9858775*10^(-3)*A51*LN(F51)</f>
        <v>1.81208687841956</v>
      </c>
      <c r="H51" s="39" t="n">
        <f aca="false">MAX(ABS(G51-Q51),ABS(G51-U51))</f>
        <v>0.0322127501451688</v>
      </c>
      <c r="I51" s="39"/>
      <c r="J51" s="39"/>
      <c r="K51" s="39" t="n">
        <v>1.81208687841956</v>
      </c>
      <c r="L51" s="39" t="n">
        <v>0.0322127501451688</v>
      </c>
      <c r="M51" s="39"/>
      <c r="O51" s="38" t="n">
        <f aca="false">(C51+D51)*$B$5*10000</f>
        <v>493.7988248</v>
      </c>
      <c r="P51" s="0" t="n">
        <f aca="false">O51/(B51*$B$3*A51)</f>
        <v>19.0250377015876</v>
      </c>
      <c r="Q51" s="39" t="n">
        <f aca="false">1.9858775*10^(-3)*A51*LN(P51)</f>
        <v>1.84272175501242</v>
      </c>
      <c r="S51" s="38" t="n">
        <f aca="false">(C51-D51)*$B$5*10000</f>
        <v>446.5987912</v>
      </c>
      <c r="T51" s="0" t="n">
        <f aca="false">S51/(B51*$B$3*A51)</f>
        <v>17.2065189574009</v>
      </c>
      <c r="U51" s="39" t="n">
        <f aca="false">1.9858775*10^(-3)*A51*LN(T51)</f>
        <v>1.77987412827439</v>
      </c>
    </row>
    <row r="52" customFormat="false" ht="15" hidden="false" customHeight="false" outlineLevel="0" collapsed="false">
      <c r="A52" s="30" t="n">
        <v>335</v>
      </c>
      <c r="B52" s="30" t="n">
        <f aca="false">IF(A52&lt;270, "ERROR", IF(A52&gt;370,"ERROR",(-3.014732*10^(-10)*A52^4+4.13618032*10^(-7)*A52^3-2.148422*10^(-4)*A52^2+0.0494708537*A52-3.2343963445)*1000))</f>
        <v>980.909437641251</v>
      </c>
      <c r="C52" s="30" t="n">
        <v>3.597</v>
      </c>
      <c r="D52" s="30" t="n">
        <v>0.164</v>
      </c>
      <c r="E52" s="38" t="n">
        <f aca="false">C52*$B$5*10000</f>
        <v>648.0096216</v>
      </c>
      <c r="F52" s="0" t="n">
        <f aca="false">E52/(B52*$B$3*A52)</f>
        <v>23.7177548715837</v>
      </c>
      <c r="G52" s="0" t="n">
        <f aca="false">1.9858775*10^(-3)*A52*LN(F52)</f>
        <v>2.10639050121503</v>
      </c>
      <c r="H52" s="39" t="n">
        <f aca="false">MAX(ABS(G52-Q52),ABS(G52-U52))</f>
        <v>0.0310452087181745</v>
      </c>
      <c r="I52" s="39"/>
      <c r="J52" s="39"/>
      <c r="K52" s="39" t="n">
        <v>2.10639050121503</v>
      </c>
      <c r="L52" s="39" t="n">
        <v>0.0310452087181745</v>
      </c>
      <c r="M52" s="39"/>
      <c r="O52" s="38" t="n">
        <f aca="false">(C52+D52)*$B$5*10000</f>
        <v>677.5546808</v>
      </c>
      <c r="P52" s="0" t="n">
        <f aca="false">O52/(B52*$B$3*A52)</f>
        <v>24.7991315184949</v>
      </c>
      <c r="Q52" s="39" t="n">
        <f aca="false">1.9858775*10^(-3)*A52*LN(P52)</f>
        <v>2.13605132815656</v>
      </c>
      <c r="S52" s="38" t="n">
        <f aca="false">(C52-D52)*$B$5*10000</f>
        <v>618.4645624</v>
      </c>
      <c r="T52" s="0" t="n">
        <f aca="false">S52/(B52*$B$3*A52)</f>
        <v>22.6363782246724</v>
      </c>
      <c r="U52" s="39" t="n">
        <f aca="false">1.9858775*10^(-3)*A52*LN(T52)</f>
        <v>2.07534529249686</v>
      </c>
    </row>
    <row r="53" customFormat="false" ht="15" hidden="false" customHeight="false" outlineLevel="0" collapsed="false">
      <c r="A53" s="30" t="n">
        <v>355</v>
      </c>
      <c r="B53" s="30" t="n">
        <f aca="false">IF(A53&lt;270, "ERROR", IF(A53&gt;370,"ERROR",(-3.014732*10^(-10)*A53^4+4.13618032*10^(-7)*A53^3-2.148422*10^(-4)*A53^2+0.0494708537*A53-3.2343963445)*1000))</f>
        <v>968.985902613249</v>
      </c>
      <c r="C53" s="30" t="n">
        <v>4.052</v>
      </c>
      <c r="D53" s="30" t="n">
        <v>0.121</v>
      </c>
      <c r="E53" s="38" t="n">
        <f aca="false">C53*$B$5*10000</f>
        <v>729.9791456</v>
      </c>
      <c r="F53" s="0" t="n">
        <f aca="false">E53/(B53*$B$3*A53)</f>
        <v>25.5229272978274</v>
      </c>
      <c r="G53" s="0" t="n">
        <f aca="false">1.9858775*10^(-3)*A53*LN(F53)</f>
        <v>2.28385820254097</v>
      </c>
      <c r="H53" s="39" t="n">
        <f aca="false">MAX(ABS(G53-Q53),ABS(G53-U53))</f>
        <v>0.0213728927654082</v>
      </c>
      <c r="I53" s="39"/>
      <c r="J53" s="39"/>
      <c r="K53" s="39" t="n">
        <v>2.28385820254097</v>
      </c>
      <c r="L53" s="39" t="n">
        <v>0.0213728927654082</v>
      </c>
      <c r="M53" s="39"/>
      <c r="O53" s="38" t="n">
        <f aca="false">(C53+D53)*$B$5*10000</f>
        <v>751.7776344</v>
      </c>
      <c r="P53" s="0" t="n">
        <f aca="false">O53/(B53*$B$3*A53)</f>
        <v>26.2850877625453</v>
      </c>
      <c r="Q53" s="39" t="n">
        <f aca="false">1.9858775*10^(-3)*A53*LN(P53)</f>
        <v>2.30460215940867</v>
      </c>
      <c r="S53" s="38" t="n">
        <f aca="false">(C53-D53)*$B$5*10000</f>
        <v>708.1806568</v>
      </c>
      <c r="T53" s="0" t="n">
        <f aca="false">S53/(B53*$B$3*A53)</f>
        <v>24.7607668331094</v>
      </c>
      <c r="U53" s="39" t="n">
        <f aca="false">1.9858775*10^(-3)*A53*LN(T53)</f>
        <v>2.26248530977556</v>
      </c>
    </row>
    <row r="54" customFormat="false" ht="15" hidden="false" customHeight="false" outlineLevel="0" collapsed="false">
      <c r="A54" s="30" t="n">
        <v>375</v>
      </c>
      <c r="B54" s="30" t="n">
        <f aca="false">IF(A54&lt;270, "ERROR", IF(A54&gt;375,"ERROR",(-3.014732*10^(-10)*A54^4+4.13618032*10^(-7)*A54^3-2.148422*10^(-4)*A54^2+0.0494708537*A54-3.2343963445)*1000))</f>
        <v>955.127531281248</v>
      </c>
      <c r="C54" s="30" t="n">
        <v>4.105</v>
      </c>
      <c r="D54" s="30" t="n">
        <v>0.106</v>
      </c>
      <c r="E54" s="38" t="n">
        <f aca="false">C54*$B$5*10000</f>
        <v>739.527244</v>
      </c>
      <c r="F54" s="0" t="n">
        <f aca="false">E54/(B54*$B$3*A54)</f>
        <v>24.8328970764946</v>
      </c>
      <c r="G54" s="0" t="n">
        <f aca="false">1.9858775*10^(-3)*A54*LN(F54)</f>
        <v>2.39211550419125</v>
      </c>
      <c r="H54" s="39" t="n">
        <f aca="false">MAX(ABS(G54-Q54),ABS(G54-U54))</f>
        <v>0.0194825105714131</v>
      </c>
      <c r="I54" s="39"/>
      <c r="J54" s="39"/>
      <c r="K54" s="39" t="n">
        <v>2.39211550419125</v>
      </c>
      <c r="L54" s="39" t="n">
        <v>0.0194825105714131</v>
      </c>
      <c r="M54" s="39"/>
      <c r="O54" s="38" t="n">
        <f aca="false">(C54+D54)*$B$5*10000</f>
        <v>758.6234408</v>
      </c>
      <c r="P54" s="0" t="n">
        <f aca="false">O54/(B54*$B$3*A54)</f>
        <v>25.4741363189084</v>
      </c>
      <c r="Q54" s="39" t="n">
        <f aca="false">1.9858775*10^(-3)*A54*LN(P54)</f>
        <v>2.41110129211556</v>
      </c>
      <c r="S54" s="38" t="n">
        <f aca="false">(C54-D54)*$B$5*10000</f>
        <v>720.4310472</v>
      </c>
      <c r="T54" s="0" t="n">
        <f aca="false">S54/(B54*$B$3*A54)</f>
        <v>24.1916578340809</v>
      </c>
      <c r="U54" s="39" t="n">
        <f aca="false">1.9858775*10^(-3)*A54*LN(T54)</f>
        <v>2.37263299361984</v>
      </c>
    </row>
    <row r="55" customFormat="false" ht="15" hidden="false" customHeight="false" outlineLevel="0" collapsed="false">
      <c r="A55" s="30" t="n">
        <v>395</v>
      </c>
      <c r="B55" s="30" t="str">
        <f aca="false">IF(A55&lt;270, "ERROR", IF(A55&gt;375,"ERROR",(-3.014732*10^(-10)*A55^4+4.13618032*10^(-7)*A55^3-2.148422*10^(-4)*A55^2+0.0494708537*A55-3.2343963445)*1000))</f>
        <v>ERROR</v>
      </c>
      <c r="C55" s="30" t="n">
        <v>3.969</v>
      </c>
      <c r="D55" s="30" t="n">
        <v>0.07</v>
      </c>
      <c r="E55" s="38" t="n">
        <f aca="false">C55*$B$5*10000</f>
        <v>715.0264632</v>
      </c>
      <c r="F55" s="0" t="e">
        <f aca="false">E55/(B55*$B$3*A55)</f>
        <v>#VALUE!</v>
      </c>
      <c r="G55" s="0" t="e">
        <f aca="false">1.9858775*10^(-3)*A55*LN(F55)</f>
        <v>#VALUE!</v>
      </c>
      <c r="H55" s="39" t="e">
        <f aca="false">MAX(ABS(G55-Q55),ABS(G55-U55))</f>
        <v>#VALUE!</v>
      </c>
      <c r="I55" s="39"/>
      <c r="J55" s="39"/>
      <c r="K55" s="39" t="e">
        <f aca="false">#VALUE!</f>
        <v>#VALUE!</v>
      </c>
      <c r="L55" s="39" t="e">
        <f aca="false">#VALUE!</f>
        <v>#VALUE!</v>
      </c>
      <c r="M55" s="39"/>
      <c r="O55" s="38" t="n">
        <f aca="false">(C55+D55)*$B$5*10000</f>
        <v>727.6371592</v>
      </c>
      <c r="P55" s="0" t="e">
        <f aca="false">O55/(B55*$B$3*A55)</f>
        <v>#VALUE!</v>
      </c>
      <c r="Q55" s="39" t="e">
        <f aca="false">1.9858775*10^(-3)*A55*LN(P55)</f>
        <v>#VALUE!</v>
      </c>
      <c r="S55" s="38" t="n">
        <f aca="false">(C55-D55)*$B$5*10000</f>
        <v>702.4157672</v>
      </c>
      <c r="T55" s="0" t="e">
        <f aca="false">S55/(B55*$B$3*A55)</f>
        <v>#VALUE!</v>
      </c>
      <c r="U55" s="39" t="e">
        <f aca="false">1.9858775*10^(-3)*A55*LN(T55)</f>
        <v>#VALUE!</v>
      </c>
    </row>
    <row r="56" customFormat="false" ht="13.8" hidden="false" customHeight="false" outlineLevel="0" collapsed="false">
      <c r="E56" s="0"/>
      <c r="F56" s="34"/>
    </row>
    <row r="57" customFormat="false" ht="13.8" hidden="false" customHeight="false" outlineLevel="0" collapsed="false">
      <c r="A57" s="35" t="s">
        <v>45</v>
      </c>
      <c r="B57" s="35"/>
      <c r="E57" s="0"/>
      <c r="F57" s="34"/>
      <c r="O57" s="0" t="s">
        <v>32</v>
      </c>
      <c r="S57" s="0" t="s">
        <v>32</v>
      </c>
    </row>
    <row r="58" customFormat="false" ht="13.8" hidden="false" customHeight="false" outlineLevel="0" collapsed="false">
      <c r="A58" s="36" t="s">
        <v>33</v>
      </c>
      <c r="B58" s="36" t="s">
        <v>34</v>
      </c>
      <c r="C58" s="36" t="s">
        <v>35</v>
      </c>
      <c r="D58" s="40" t="s">
        <v>36</v>
      </c>
      <c r="E58" s="36" t="s">
        <v>37</v>
      </c>
      <c r="F58" s="37" t="s">
        <v>38</v>
      </c>
      <c r="G58" s="36" t="s">
        <v>39</v>
      </c>
      <c r="H58" s="36" t="s">
        <v>40</v>
      </c>
      <c r="I58" s="36"/>
      <c r="J58" s="36"/>
      <c r="K58" s="36" t="s">
        <v>39</v>
      </c>
      <c r="L58" s="36" t="s">
        <v>40</v>
      </c>
      <c r="M58" s="36"/>
      <c r="O58" s="36" t="s">
        <v>37</v>
      </c>
      <c r="P58" s="37" t="s">
        <v>38</v>
      </c>
      <c r="Q58" s="36" t="s">
        <v>39</v>
      </c>
      <c r="S58" s="36" t="s">
        <v>37</v>
      </c>
      <c r="T58" s="37" t="s">
        <v>38</v>
      </c>
      <c r="U58" s="36" t="s">
        <v>39</v>
      </c>
    </row>
    <row r="59" customFormat="false" ht="15" hidden="false" customHeight="false" outlineLevel="0" collapsed="false">
      <c r="A59" s="30" t="n">
        <v>275</v>
      </c>
      <c r="B59" s="30" t="n">
        <f aca="false">IF(A59&lt;270, "ERROR", IF(A59&gt;370,"ERROR",(-3.014732*10^(-10)*A59^4+4.13618032*10^(-7)*A59^3-2.148422*10^(-4)*A59^2+0.0494708537*A59-3.2343963445)*1000))</f>
        <v>1000.44193178125</v>
      </c>
      <c r="C59" s="30" t="n">
        <v>0.379</v>
      </c>
      <c r="D59" s="30" t="n">
        <v>0.057</v>
      </c>
      <c r="E59" s="38" t="n">
        <f aca="false">C59*$B$5*10000</f>
        <v>68.2779112</v>
      </c>
      <c r="F59" s="0" t="n">
        <f aca="false">E59/(B59*$B$3*A59)</f>
        <v>2.98484297182382</v>
      </c>
      <c r="G59" s="0" t="n">
        <f aca="false">1.9858775*10^(-3)*A59*LN(F59)</f>
        <v>0.597203931481529</v>
      </c>
      <c r="H59" s="39" t="n">
        <f aca="false">MAX(ABS(G59-Q59),ABS(G59-U59))</f>
        <v>0.0890085812609701</v>
      </c>
      <c r="I59" s="39"/>
      <c r="J59" s="39"/>
      <c r="K59" s="39" t="n">
        <v>0.597203931481529</v>
      </c>
      <c r="L59" s="39" t="n">
        <v>0.0890085812609701</v>
      </c>
      <c r="M59" s="39"/>
      <c r="O59" s="38" t="n">
        <f aca="false">(C59+D59)*$B$5*10000</f>
        <v>78.5466208</v>
      </c>
      <c r="P59" s="0" t="n">
        <f aca="false">O59/(B59*$B$3*A59)</f>
        <v>3.43375075386593</v>
      </c>
      <c r="Q59" s="39" t="n">
        <f aca="false">1.9858775*10^(-3)*A59*LN(P59)</f>
        <v>0.673718124458673</v>
      </c>
      <c r="S59" s="38" t="n">
        <f aca="false">(C59-D59)*$B$5*10000</f>
        <v>58.0092016</v>
      </c>
      <c r="T59" s="0" t="n">
        <f aca="false">S59/(B59*$B$3*A59)</f>
        <v>2.53593518978172</v>
      </c>
      <c r="U59" s="39" t="n">
        <f aca="false">1.9858775*10^(-3)*A59*LN(T59)</f>
        <v>0.508195350220559</v>
      </c>
    </row>
    <row r="60" customFormat="false" ht="15" hidden="false" customHeight="false" outlineLevel="0" collapsed="false">
      <c r="A60" s="30" t="n">
        <v>295</v>
      </c>
      <c r="B60" s="30" t="n">
        <f aca="false">IF(A60&lt;270, "ERROR", IF(A60&gt;370,"ERROR",(-3.014732*10^(-10)*A60^4+4.13618032*10^(-7)*A60^3-2.148422*10^(-4)*A60^2+0.0494708537*A60-3.2343963445)*1000))</f>
        <v>998.258018625249</v>
      </c>
      <c r="C60" s="30" t="n">
        <v>0.687</v>
      </c>
      <c r="D60" s="30" t="n">
        <v>0.06</v>
      </c>
      <c r="E60" s="38" t="n">
        <f aca="false">C60*$B$5*10000</f>
        <v>123.7649736</v>
      </c>
      <c r="F60" s="0" t="n">
        <f aca="false">E60/(B60*$B$3*A60)</f>
        <v>5.05473942271851</v>
      </c>
      <c r="G60" s="0" t="n">
        <f aca="false">1.9858775*10^(-3)*A60*LN(F60)</f>
        <v>0.949242016432879</v>
      </c>
      <c r="H60" s="39" t="n">
        <f aca="false">MAX(ABS(G60-Q60),ABS(G60-U60))</f>
        <v>0.0535380394988259</v>
      </c>
      <c r="I60" s="39"/>
      <c r="J60" s="39"/>
      <c r="K60" s="39" t="n">
        <v>0.949242016432879</v>
      </c>
      <c r="L60" s="39" t="n">
        <v>0.0535380394988259</v>
      </c>
      <c r="M60" s="39"/>
      <c r="O60" s="38" t="n">
        <f aca="false">(C60+D60)*$B$5*10000</f>
        <v>134.5741416</v>
      </c>
      <c r="P60" s="0" t="n">
        <f aca="false">O60/(B60*$B$3*A60)</f>
        <v>5.49620138103454</v>
      </c>
      <c r="Q60" s="39" t="n">
        <f aca="false">1.9858775*10^(-3)*A60*LN(P60)</f>
        <v>0.998294408837192</v>
      </c>
      <c r="S60" s="38" t="n">
        <f aca="false">(C60-D60)*$B$5*10000</f>
        <v>112.9558056</v>
      </c>
      <c r="T60" s="0" t="n">
        <f aca="false">S60/(B60*$B$3*A60)</f>
        <v>4.61327746440248</v>
      </c>
      <c r="U60" s="39" t="n">
        <f aca="false">1.9858775*10^(-3)*A60*LN(T60)</f>
        <v>0.895703976934053</v>
      </c>
    </row>
    <row r="61" customFormat="false" ht="15" hidden="false" customHeight="false" outlineLevel="0" collapsed="false">
      <c r="A61" s="30" t="n">
        <v>315</v>
      </c>
      <c r="B61" s="30" t="n">
        <f aca="false">IF(A61&lt;270, "ERROR", IF(A61&gt;370,"ERROR",(-3.014732*10^(-10)*A61^4+4.13618032*10^(-7)*A61^3-2.148422*10^(-4)*A61^2+0.0494708537*A61-3.2343963445)*1000))</f>
        <v>991.014055597251</v>
      </c>
      <c r="C61" s="30" t="n">
        <v>1.138</v>
      </c>
      <c r="D61" s="30" t="n">
        <v>0.067</v>
      </c>
      <c r="E61" s="38" t="n">
        <f aca="false">C61*$B$5*10000</f>
        <v>205.0138864</v>
      </c>
      <c r="F61" s="0" t="n">
        <f aca="false">E61/(B61*$B$3*A61)</f>
        <v>7.89875698810899</v>
      </c>
      <c r="G61" s="0" t="n">
        <f aca="false">1.9858775*10^(-3)*A61*LN(F61)</f>
        <v>1.29283048457841</v>
      </c>
      <c r="H61" s="39" t="n">
        <f aca="false">MAX(ABS(G61-Q61),ABS(G61-U61))</f>
        <v>0.0379581746082698</v>
      </c>
      <c r="I61" s="39"/>
      <c r="J61" s="39"/>
      <c r="K61" s="39" t="n">
        <v>1.29283048457841</v>
      </c>
      <c r="L61" s="39" t="n">
        <v>0.0379581746082698</v>
      </c>
      <c r="M61" s="39"/>
      <c r="O61" s="38" t="n">
        <f aca="false">(C61+D61)*$B$5*10000</f>
        <v>217.084124</v>
      </c>
      <c r="P61" s="0" t="n">
        <f aca="false">O61/(B61*$B$3*A61)</f>
        <v>8.36379804101171</v>
      </c>
      <c r="Q61" s="39" t="n">
        <f aca="false">1.9858775*10^(-3)*A61*LN(P61)</f>
        <v>1.32861654888485</v>
      </c>
      <c r="S61" s="38" t="n">
        <f aca="false">(C61-D61)*$B$5*10000</f>
        <v>192.9436488</v>
      </c>
      <c r="T61" s="0" t="n">
        <f aca="false">S61/(B61*$B$3*A61)</f>
        <v>7.43371593520627</v>
      </c>
      <c r="U61" s="39" t="n">
        <f aca="false">1.9858775*10^(-3)*A61*LN(T61)</f>
        <v>1.25487230997014</v>
      </c>
    </row>
    <row r="62" customFormat="false" ht="15" hidden="false" customHeight="false" outlineLevel="0" collapsed="false">
      <c r="A62" s="30" t="n">
        <v>335</v>
      </c>
      <c r="B62" s="30" t="n">
        <f aca="false">IF(A62&lt;270, "ERROR", IF(A62&gt;370,"ERROR",(-3.014732*10^(-10)*A62^4+4.13618032*10^(-7)*A62^3-2.148422*10^(-4)*A62^2+0.0494708537*A62-3.2343963445)*1000))</f>
        <v>980.909437641251</v>
      </c>
      <c r="C62" s="30" t="n">
        <v>1.667</v>
      </c>
      <c r="D62" s="30" t="n">
        <v>0.089</v>
      </c>
      <c r="E62" s="38" t="n">
        <f aca="false">C62*$B$5*10000</f>
        <v>300.3147176</v>
      </c>
      <c r="F62" s="0" t="n">
        <f aca="false">E62/(B62*$B$3*A62)</f>
        <v>10.9917979902502</v>
      </c>
      <c r="G62" s="0" t="n">
        <f aca="false">1.9858775*10^(-3)*A62*LN(F62)</f>
        <v>1.59474906597012</v>
      </c>
      <c r="H62" s="39" t="n">
        <f aca="false">MAX(ABS(G62-Q62),ABS(G62-U62))</f>
        <v>0.0365015658624603</v>
      </c>
      <c r="I62" s="39"/>
      <c r="J62" s="39"/>
      <c r="K62" s="39" t="n">
        <v>1.59474906597012</v>
      </c>
      <c r="L62" s="39" t="n">
        <v>0.0365015658624603</v>
      </c>
      <c r="M62" s="39"/>
      <c r="O62" s="38" t="n">
        <f aca="false">(C62+D62)*$B$5*10000</f>
        <v>316.3483168</v>
      </c>
      <c r="P62" s="0" t="n">
        <f aca="false">O62/(B62*$B$3*A62)</f>
        <v>11.5786426340008</v>
      </c>
      <c r="Q62" s="39" t="n">
        <f aca="false">1.9858775*10^(-3)*A62*LN(P62)</f>
        <v>1.62935162829788</v>
      </c>
      <c r="S62" s="38" t="n">
        <f aca="false">(C62-D62)*$B$5*10000</f>
        <v>284.2811184</v>
      </c>
      <c r="T62" s="0" t="n">
        <f aca="false">S62/(B62*$B$3*A62)</f>
        <v>10.4049533464996</v>
      </c>
      <c r="U62" s="39" t="n">
        <f aca="false">1.9858775*10^(-3)*A62*LN(T62)</f>
        <v>1.55824750010766</v>
      </c>
    </row>
    <row r="63" customFormat="false" ht="15" hidden="false" customHeight="false" outlineLevel="0" collapsed="false">
      <c r="A63" s="30" t="n">
        <v>355</v>
      </c>
      <c r="B63" s="30" t="n">
        <f aca="false">IF(A63&lt;270, "ERROR", IF(A63&gt;370,"ERROR",(-3.014732*10^(-10)*A63^4+4.13618032*10^(-7)*A63^3-2.148422*10^(-4)*A63^2+0.0494708537*A63-3.2343963445)*1000))</f>
        <v>968.985902613249</v>
      </c>
      <c r="C63" s="30" t="n">
        <v>2.01</v>
      </c>
      <c r="D63" s="30" t="n">
        <v>0.069</v>
      </c>
      <c r="E63" s="38" t="n">
        <f aca="false">C63*$B$5*10000</f>
        <v>362.107128</v>
      </c>
      <c r="F63" s="0" t="n">
        <f aca="false">E63/(B63*$B$3*A63)</f>
        <v>12.6606820998601</v>
      </c>
      <c r="G63" s="0" t="n">
        <f aca="false">1.9858775*10^(-3)*A63*LN(F63)</f>
        <v>1.78960917395929</v>
      </c>
      <c r="H63" s="39" t="n">
        <f aca="false">MAX(ABS(G63-Q63),ABS(G63-U63))</f>
        <v>0.0246261784707986</v>
      </c>
      <c r="I63" s="39"/>
      <c r="J63" s="39"/>
      <c r="K63" s="39" t="n">
        <v>1.78960917395929</v>
      </c>
      <c r="L63" s="39" t="n">
        <v>0.0246261784707986</v>
      </c>
      <c r="M63" s="39"/>
      <c r="O63" s="38" t="n">
        <f aca="false">(C63+D63)*$B$5*10000</f>
        <v>374.5376712</v>
      </c>
      <c r="P63" s="0" t="n">
        <f aca="false">O63/(B63*$B$3*A63)</f>
        <v>13.0953025301538</v>
      </c>
      <c r="Q63" s="39" t="n">
        <f aca="false">1.9858775*10^(-3)*A63*LN(P63)</f>
        <v>1.81340408092277</v>
      </c>
      <c r="S63" s="38" t="n">
        <f aca="false">(C63-D63)*$B$5*10000</f>
        <v>349.6765848</v>
      </c>
      <c r="T63" s="0" t="n">
        <f aca="false">S63/(B63*$B$3*A63)</f>
        <v>12.2260616695664</v>
      </c>
      <c r="U63" s="39" t="n">
        <f aca="false">1.9858775*10^(-3)*A63*LN(T63)</f>
        <v>1.76498299548849</v>
      </c>
    </row>
    <row r="64" customFormat="false" ht="15" hidden="false" customHeight="false" outlineLevel="0" collapsed="false">
      <c r="A64" s="30" t="n">
        <v>375</v>
      </c>
      <c r="B64" s="30" t="n">
        <f aca="false">IF(A64&lt;270, "ERROR", IF(A64&gt;375,"ERROR",(-3.014732*10^(-10)*A64^4+4.13618032*10^(-7)*A64^3-2.148422*10^(-4)*A64^2+0.0494708537*A64-3.2343963445)*1000))</f>
        <v>955.127531281248</v>
      </c>
      <c r="C64" s="30" t="n">
        <v>2.19</v>
      </c>
      <c r="D64" s="30" t="n">
        <v>0.066</v>
      </c>
      <c r="E64" s="38" t="n">
        <f aca="false">C64*$B$5*10000</f>
        <v>394.534632</v>
      </c>
      <c r="F64" s="0" t="n">
        <f aca="false">E64/(B64*$B$3*A64)</f>
        <v>13.2482447253406</v>
      </c>
      <c r="G64" s="0" t="n">
        <f aca="false">1.9858775*10^(-3)*A64*LN(F64)</f>
        <v>1.92421481465356</v>
      </c>
      <c r="H64" s="39" t="n">
        <f aca="false">MAX(ABS(G64-Q64),ABS(G64-U64))</f>
        <v>0.0227882723164521</v>
      </c>
      <c r="I64" s="39"/>
      <c r="J64" s="39"/>
      <c r="K64" s="39" t="n">
        <v>1.92421481465356</v>
      </c>
      <c r="L64" s="39" t="n">
        <v>0.0227882723164521</v>
      </c>
      <c r="M64" s="39"/>
      <c r="O64" s="38" t="n">
        <f aca="false">(C64+D64)*$B$5*10000</f>
        <v>406.4247168</v>
      </c>
      <c r="P64" s="0" t="n">
        <f aca="false">O64/(B64*$B$3*A64)</f>
        <v>13.6475068951454</v>
      </c>
      <c r="Q64" s="39" t="n">
        <f aca="false">1.9858775*10^(-3)*A64*LN(P64)</f>
        <v>1.94632641114603</v>
      </c>
      <c r="S64" s="38" t="n">
        <f aca="false">(C64-D64)*$B$5*10000</f>
        <v>382.6445472</v>
      </c>
      <c r="T64" s="0" t="n">
        <f aca="false">S64/(B64*$B$3*A64)</f>
        <v>12.8489825555358</v>
      </c>
      <c r="U64" s="39" t="n">
        <f aca="false">1.9858775*10^(-3)*A64*LN(T64)</f>
        <v>1.90142654233711</v>
      </c>
    </row>
    <row r="65" customFormat="false" ht="15" hidden="false" customHeight="false" outlineLevel="0" collapsed="false">
      <c r="A65" s="30" t="n">
        <v>395</v>
      </c>
      <c r="B65" s="30" t="str">
        <f aca="false">IF(A65&lt;270, "ERROR", IF(A65&gt;375,"ERROR",(-3.014732*10^(-10)*A65^4+4.13618032*10^(-7)*A65^3-2.148422*10^(-4)*A65^2+0.0494708537*A65-3.2343963445)*1000))</f>
        <v>ERROR</v>
      </c>
      <c r="C65" s="30" t="n">
        <v>2.195</v>
      </c>
      <c r="D65" s="30" t="n">
        <v>0.044</v>
      </c>
      <c r="E65" s="38" t="n">
        <f aca="false">C65*$B$5*10000</f>
        <v>395.435396</v>
      </c>
      <c r="F65" s="0" t="e">
        <f aca="false">E65/(B65*$B$3*A65)</f>
        <v>#VALUE!</v>
      </c>
      <c r="G65" s="0" t="e">
        <f aca="false">1.9858775*10^(-3)*A65*LN(F65)</f>
        <v>#VALUE!</v>
      </c>
      <c r="H65" s="39" t="e">
        <f aca="false">MAX(ABS(G65-Q65),ABS(G65-U65))</f>
        <v>#VALUE!</v>
      </c>
      <c r="I65" s="39"/>
      <c r="J65" s="39"/>
      <c r="K65" s="39" t="e">
        <f aca="false">#VALUE!</f>
        <v>#VALUE!</v>
      </c>
      <c r="L65" s="39" t="e">
        <f aca="false">#VALUE!</f>
        <v>#VALUE!</v>
      </c>
      <c r="M65" s="39"/>
      <c r="O65" s="38" t="n">
        <f aca="false">(C65+D65)*$B$5*10000</f>
        <v>403.3621192</v>
      </c>
      <c r="P65" s="0" t="e">
        <f aca="false">O65/(B65*$B$3*A65)</f>
        <v>#VALUE!</v>
      </c>
      <c r="Q65" s="39" t="e">
        <f aca="false">1.9858775*10^(-3)*A65*LN(P65)</f>
        <v>#VALUE!</v>
      </c>
      <c r="S65" s="38" t="n">
        <f aca="false">(C65-D65)*$B$5*10000</f>
        <v>387.5086728</v>
      </c>
      <c r="T65" s="0" t="e">
        <f aca="false">S65/(B65*$B$3*A65)</f>
        <v>#VALUE!</v>
      </c>
      <c r="U65" s="39" t="e">
        <f aca="false">1.9858775*10^(-3)*A65*LN(T65)</f>
        <v>#VALUE!</v>
      </c>
    </row>
    <row r="66" customFormat="false" ht="13.8" hidden="false" customHeight="false" outlineLevel="0" collapsed="false">
      <c r="E66" s="0"/>
      <c r="F66" s="34"/>
    </row>
    <row r="67" customFormat="false" ht="13.8" hidden="false" customHeight="false" outlineLevel="0" collapsed="false">
      <c r="E67" s="0"/>
      <c r="F67" s="34"/>
    </row>
    <row r="68" customFormat="false" ht="13.8" hidden="false" customHeight="false" outlineLevel="0" collapsed="false">
      <c r="E68" s="0"/>
      <c r="F68" s="34"/>
    </row>
    <row r="69" customFormat="false" ht="13.8" hidden="false" customHeight="false" outlineLevel="0" collapsed="false">
      <c r="E69" s="0"/>
      <c r="F69" s="34"/>
    </row>
    <row r="70" customFormat="false" ht="13.8" hidden="false" customHeight="false" outlineLevel="0" collapsed="false">
      <c r="E70" s="0"/>
      <c r="F70" s="34"/>
    </row>
    <row r="71" customFormat="false" ht="13.8" hidden="false" customHeight="false" outlineLevel="0" collapsed="false">
      <c r="E71" s="0"/>
      <c r="F71" s="34"/>
    </row>
    <row r="72" customFormat="false" ht="13.8" hidden="false" customHeight="false" outlineLevel="0" collapsed="false">
      <c r="E72" s="0"/>
      <c r="F72" s="34"/>
    </row>
    <row r="73" customFormat="false" ht="13.8" hidden="false" customHeight="false" outlineLevel="0" collapsed="false">
      <c r="E73" s="0"/>
      <c r="F73" s="34"/>
    </row>
    <row r="74" customFormat="false" ht="13.8" hidden="false" customHeight="false" outlineLevel="0" collapsed="false">
      <c r="E74" s="0"/>
      <c r="F74" s="34"/>
    </row>
    <row r="75" customFormat="false" ht="13.8" hidden="false" customHeight="false" outlineLevel="0" collapsed="false">
      <c r="E75" s="0"/>
      <c r="F75" s="3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8.06"/>
    <col collapsed="false" customWidth="true" hidden="false" outlineLevel="0" max="2" min="2" style="0" width="17.78"/>
  </cols>
  <sheetData>
    <row r="1" customFormat="false" ht="15" hidden="false" customHeight="false" outlineLevel="0" collapsed="false">
      <c r="A1" s="0" t="s">
        <v>26</v>
      </c>
      <c r="B1" s="0" t="n">
        <v>996.57</v>
      </c>
    </row>
    <row r="2" customFormat="false" ht="15" hidden="false" customHeight="false" outlineLevel="0" collapsed="false">
      <c r="A2" s="0" t="s">
        <v>27</v>
      </c>
      <c r="B2" s="0" t="n">
        <v>1</v>
      </c>
    </row>
    <row r="3" customFormat="false" ht="15" hidden="false" customHeight="false" outlineLevel="0" collapsed="false">
      <c r="A3" s="0" t="s">
        <v>28</v>
      </c>
      <c r="B3" s="0" t="n">
        <f aca="false">8.3144621*10^(-5)</f>
        <v>8.3144621E-005</v>
      </c>
    </row>
    <row r="4" customFormat="false" ht="15" hidden="false" customHeight="false" outlineLevel="0" collapsed="false">
      <c r="A4" s="0" t="s">
        <v>29</v>
      </c>
      <c r="B4" s="0" t="n">
        <f aca="false">1.9858775*10^(-3)</f>
        <v>0.0019858775</v>
      </c>
    </row>
    <row r="5" customFormat="false" ht="15" hidden="false" customHeight="false" outlineLevel="0" collapsed="false">
      <c r="A5" s="0" t="s">
        <v>46</v>
      </c>
    </row>
    <row r="7" customFormat="false" ht="15" hidden="false" customHeight="false" outlineLevel="0" collapsed="false">
      <c r="A7" s="35" t="s">
        <v>31</v>
      </c>
    </row>
    <row r="8" customFormat="false" ht="15" hidden="false" customHeight="false" outlineLevel="0" collapsed="false">
      <c r="A8" s="0" t="s">
        <v>47</v>
      </c>
      <c r="B8" s="41" t="n">
        <v>0.00038</v>
      </c>
    </row>
    <row r="9" customFormat="false" ht="15" hidden="false" customHeight="false" outlineLevel="0" collapsed="false">
      <c r="A9" s="0" t="s">
        <v>48</v>
      </c>
      <c r="B9" s="41" t="n">
        <v>92</v>
      </c>
    </row>
    <row r="10" customFormat="false" ht="13.8" hidden="false" customHeight="false" outlineLevel="0" collapsed="false">
      <c r="A10" s="42" t="s">
        <v>49</v>
      </c>
      <c r="B10" s="42"/>
      <c r="C10" s="42" t="s">
        <v>50</v>
      </c>
      <c r="D10" s="42" t="s">
        <v>51</v>
      </c>
      <c r="E10" s="42" t="s">
        <v>52</v>
      </c>
      <c r="F10" s="42" t="s">
        <v>39</v>
      </c>
    </row>
    <row r="11" customFormat="false" ht="13.8" hidden="false" customHeight="false" outlineLevel="0" collapsed="false">
      <c r="A11" s="0" t="n">
        <v>275</v>
      </c>
      <c r="C11" s="0" t="n">
        <f aca="false">$B$8*EXP($B$9*(1/A11-1/298.15))</f>
        <v>0.000390000177899159</v>
      </c>
      <c r="D11" s="0" t="n">
        <f aca="false">1/(C11)</f>
        <v>2564.10139448338</v>
      </c>
      <c r="E11" s="0" t="n">
        <f aca="false">1/(C11*$B$1*$B$3*A11)</f>
        <v>112.527982799767</v>
      </c>
      <c r="F11" s="0" t="n">
        <f aca="false">$B$4*A11*LN(E11)</f>
        <v>2.57941761940925</v>
      </c>
    </row>
    <row r="12" customFormat="false" ht="13.8" hidden="false" customHeight="false" outlineLevel="0" collapsed="false">
      <c r="A12" s="0" t="n">
        <v>295</v>
      </c>
      <c r="C12" s="0" t="n">
        <f aca="false">$B$8*EXP($B$9*(1/A12-1/298.15))</f>
        <v>0.000381254124990188</v>
      </c>
      <c r="D12" s="0" t="n">
        <f aca="false">1/(C12)</f>
        <v>2622.9224405788</v>
      </c>
      <c r="E12" s="0" t="n">
        <f aca="false">1/(C12*$B$1*$B$3*A12)</f>
        <v>107.305372234376</v>
      </c>
      <c r="F12" s="0" t="n">
        <f aca="false">$B$4*A12*LN(E12)</f>
        <v>2.73917092188925</v>
      </c>
    </row>
    <row r="13" customFormat="false" ht="13.8" hidden="false" customHeight="false" outlineLevel="0" collapsed="false">
      <c r="A13" s="0" t="n">
        <v>315</v>
      </c>
      <c r="C13" s="0" t="n">
        <f aca="false">$B$8*EXP($B$9*(1/A13-1/298.15))</f>
        <v>0.000373779194038177</v>
      </c>
      <c r="D13" s="0" t="n">
        <f aca="false">1/(C13)</f>
        <v>2675.37630759047</v>
      </c>
      <c r="E13" s="0" t="n">
        <f aca="false">1/(C13*$B$1*$B$3*A13)</f>
        <v>102.502003838947</v>
      </c>
      <c r="F13" s="0" t="n">
        <f aca="false">$B$4*A13*LN(E13)</f>
        <v>2.89622944252251</v>
      </c>
    </row>
    <row r="14" customFormat="false" ht="13.8" hidden="false" customHeight="false" outlineLevel="0" collapsed="false">
      <c r="A14" s="0" t="n">
        <v>335</v>
      </c>
      <c r="C14" s="0" t="n">
        <f aca="false">$B$8*EXP($B$9*(1/A14-1/298.15))</f>
        <v>0.0003673182382112</v>
      </c>
      <c r="D14" s="0" t="n">
        <f aca="false">1/(C14)</f>
        <v>2722.43492419514</v>
      </c>
      <c r="E14" s="0" t="n">
        <f aca="false">1/(C14*$B$1*$B$3*A14)</f>
        <v>98.07780393886</v>
      </c>
      <c r="F14" s="0" t="n">
        <f aca="false">$B$4*A14*LN(E14)</f>
        <v>3.05076451691452</v>
      </c>
    </row>
    <row r="15" customFormat="false" ht="13.8" hidden="false" customHeight="false" outlineLevel="0" collapsed="false">
      <c r="A15" s="0" t="n">
        <v>355</v>
      </c>
      <c r="C15" s="0" t="n">
        <f aca="false">$B$8*EXP($B$9*(1/A15-1/298.15))</f>
        <v>0.000361678852507257</v>
      </c>
      <c r="D15" s="0" t="n">
        <f aca="false">1/(C15)</f>
        <v>2764.88379972378</v>
      </c>
      <c r="E15" s="0" t="n">
        <f aca="false">1/(C15*$B$1*$B$3*A15)</f>
        <v>93.9953920075249</v>
      </c>
      <c r="F15" s="0" t="n">
        <f aca="false">$B$4*A15*LN(E15)</f>
        <v>3.20292698368249</v>
      </c>
    </row>
    <row r="16" customFormat="false" ht="13.8" hidden="false" customHeight="false" outlineLevel="0" collapsed="false">
      <c r="A16" s="0" t="n">
        <v>375</v>
      </c>
      <c r="C16" s="0" t="n">
        <f aca="false">$B$8*EXP($B$9*(1/A16-1/298.15))</f>
        <v>0.00035671426175689</v>
      </c>
      <c r="D16" s="0" t="n">
        <f aca="false">1/(C16)</f>
        <v>2803.3642251218</v>
      </c>
      <c r="E16" s="0" t="n">
        <f aca="false">1/(C16*$B$1*$B$3*A16)</f>
        <v>90.2207206478283</v>
      </c>
      <c r="F16" s="0" t="n">
        <f aca="false">$B$4*A16*LN(E16)</f>
        <v>3.35285065680945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>
      <c r="A19" s="35" t="s">
        <v>53</v>
      </c>
      <c r="B19" s="35"/>
    </row>
    <row r="20" customFormat="false" ht="13.8" hidden="false" customHeight="false" outlineLevel="0" collapsed="false">
      <c r="A20" s="0" t="s">
        <v>47</v>
      </c>
      <c r="C20" s="41" t="n">
        <v>0.00045</v>
      </c>
    </row>
    <row r="21" customFormat="false" ht="13.8" hidden="false" customHeight="false" outlineLevel="0" collapsed="false">
      <c r="A21" s="0" t="s">
        <v>48</v>
      </c>
      <c r="C21" s="41" t="n">
        <v>450</v>
      </c>
    </row>
    <row r="22" customFormat="false" ht="13.8" hidden="false" customHeight="false" outlineLevel="0" collapsed="false">
      <c r="A22" s="42" t="s">
        <v>49</v>
      </c>
      <c r="B22" s="42"/>
      <c r="C22" s="42" t="s">
        <v>50</v>
      </c>
      <c r="D22" s="42" t="s">
        <v>51</v>
      </c>
      <c r="E22" s="42" t="s">
        <v>52</v>
      </c>
      <c r="F22" s="42" t="s">
        <v>39</v>
      </c>
    </row>
    <row r="23" customFormat="false" ht="13.8" hidden="false" customHeight="false" outlineLevel="0" collapsed="false">
      <c r="A23" s="0" t="n">
        <v>275</v>
      </c>
      <c r="C23" s="0" t="n">
        <f aca="false">$C$20*EXP($C$21*(1/A23-1/298.15))</f>
        <v>0.000510966394330607</v>
      </c>
      <c r="D23" s="0" t="n">
        <f aca="false">1/(C23)</f>
        <v>1957.07586858046</v>
      </c>
      <c r="E23" s="0" t="n">
        <f aca="false">1/(C23*$B$1*$B$3*A23)</f>
        <v>85.8881010521947</v>
      </c>
      <c r="F23" s="0" t="n">
        <f aca="false">$B$4*A23*LN(E23)</f>
        <v>2.43188067779385</v>
      </c>
    </row>
    <row r="24" customFormat="false" ht="13.8" hidden="false" customHeight="false" outlineLevel="0" collapsed="false">
      <c r="A24" s="0" t="n">
        <v>295</v>
      </c>
      <c r="C24" s="0" t="n">
        <f aca="false">$C$20*EXP($C$21*(1/A24-1/298.15))</f>
        <v>0.000457311105806054</v>
      </c>
      <c r="D24" s="0" t="n">
        <f aca="false">1/(C24)</f>
        <v>2186.6952000595</v>
      </c>
      <c r="E24" s="0" t="n">
        <f aca="false">1/(C24*$B$1*$B$3*A24)</f>
        <v>89.4590471968852</v>
      </c>
      <c r="F24" s="0" t="n">
        <f aca="false">$B$4*A24*LN(E24)</f>
        <v>2.63260904961091</v>
      </c>
    </row>
    <row r="25" customFormat="false" ht="13.8" hidden="false" customHeight="false" outlineLevel="0" collapsed="false">
      <c r="A25" s="0" t="n">
        <v>315</v>
      </c>
      <c r="C25" s="0" t="n">
        <f aca="false">$C$20*EXP($C$21*(1/A25-1/298.15))</f>
        <v>0.000415096745907105</v>
      </c>
      <c r="D25" s="0" t="n">
        <f aca="false">1/(C25)</f>
        <v>2409.07694377298</v>
      </c>
      <c r="E25" s="0" t="n">
        <f aca="false">1/(C25*$B$1*$B$3*A25)</f>
        <v>92.2992453204968</v>
      </c>
      <c r="F25" s="0" t="n">
        <f aca="false">$B$4*A25*LN(E25)</f>
        <v>2.83064263958123</v>
      </c>
    </row>
    <row r="26" customFormat="false" ht="13.8" hidden="false" customHeight="false" outlineLevel="0" collapsed="false">
      <c r="A26" s="0" t="n">
        <v>335</v>
      </c>
      <c r="C26" s="0" t="n">
        <f aca="false">$C$20*EXP($C$21*(1/A26-1/298.15))</f>
        <v>0.000381161728475972</v>
      </c>
      <c r="D26" s="0" t="n">
        <f aca="false">1/(C26)</f>
        <v>2623.55825701173</v>
      </c>
      <c r="E26" s="0" t="n">
        <f aca="false">1/(C26*$B$1*$B$3*A26)</f>
        <v>94.515696249175</v>
      </c>
      <c r="F26" s="0" t="n">
        <f aca="false">$B$4*A26*LN(E26)</f>
        <v>3.0261527833103</v>
      </c>
    </row>
    <row r="27" customFormat="false" ht="13.8" hidden="false" customHeight="false" outlineLevel="0" collapsed="false">
      <c r="A27" s="0" t="n">
        <v>355</v>
      </c>
      <c r="C27" s="0" t="n">
        <f aca="false">$C$20*EXP($C$21*(1/A27-1/298.15))</f>
        <v>0.000353380655793473</v>
      </c>
      <c r="D27" s="0" t="n">
        <f aca="false">1/(C27)</f>
        <v>2829.80967861589</v>
      </c>
      <c r="E27" s="0" t="n">
        <f aca="false">1/(C27*$B$1*$B$3*A27)</f>
        <v>96.2026216345012</v>
      </c>
      <c r="F27" s="0" t="n">
        <f aca="false">$B$4*A27*LN(E27)</f>
        <v>3.21929031941533</v>
      </c>
    </row>
    <row r="28" customFormat="false" ht="13.8" hidden="false" customHeight="false" outlineLevel="0" collapsed="false">
      <c r="A28" s="0" t="n">
        <v>375</v>
      </c>
      <c r="C28" s="0" t="n">
        <f aca="false">$C$20*EXP($C$21*(1/A28-1/298.15))</f>
        <v>0.000330279804345125</v>
      </c>
      <c r="D28" s="0" t="n">
        <f aca="false">1/(C28)</f>
        <v>3027.73583744482</v>
      </c>
      <c r="E28" s="0" t="n">
        <f aca="false">1/(C28*$B$1*$B$3*A28)</f>
        <v>97.4416762322988</v>
      </c>
      <c r="F28" s="0" t="n">
        <f aca="false">$B$4*A28*LN(E28)</f>
        <v>3.41018906187935</v>
      </c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>
      <c r="A32" s="35" t="s">
        <v>42</v>
      </c>
      <c r="B32" s="35"/>
    </row>
    <row r="33" customFormat="false" ht="13.8" hidden="false" customHeight="false" outlineLevel="0" collapsed="false">
      <c r="A33" s="0" t="s">
        <v>47</v>
      </c>
      <c r="C33" s="41" t="n">
        <v>0.0014</v>
      </c>
    </row>
    <row r="34" customFormat="false" ht="13.8" hidden="false" customHeight="false" outlineLevel="0" collapsed="false">
      <c r="A34" s="0" t="s">
        <v>48</v>
      </c>
      <c r="C34" s="41" t="n">
        <v>1500</v>
      </c>
    </row>
    <row r="35" customFormat="false" ht="13.8" hidden="false" customHeight="false" outlineLevel="0" collapsed="false">
      <c r="A35" s="42" t="s">
        <v>49</v>
      </c>
      <c r="B35" s="42"/>
      <c r="C35" s="42" t="s">
        <v>50</v>
      </c>
      <c r="D35" s="42" t="s">
        <v>51</v>
      </c>
      <c r="E35" s="42" t="s">
        <v>52</v>
      </c>
      <c r="F35" s="42" t="s">
        <v>39</v>
      </c>
    </row>
    <row r="36" customFormat="false" ht="13.8" hidden="false" customHeight="false" outlineLevel="0" collapsed="false">
      <c r="A36" s="0" t="n">
        <v>275</v>
      </c>
      <c r="C36" s="0" t="n">
        <f aca="false">$C$33*EXP($C$34*(1/A36-1/298.15))</f>
        <v>0.00213826133631977</v>
      </c>
      <c r="D36" s="0" t="n">
        <f aca="false">1/(C36)</f>
        <v>467.669682379018</v>
      </c>
      <c r="E36" s="0" t="n">
        <f aca="false">1/(C36*$B$1*$B$3*A36)</f>
        <v>20.5241204922483</v>
      </c>
      <c r="F36" s="0" t="n">
        <f aca="false">$B$4*A36*LN(E36)</f>
        <v>1.65014548885106</v>
      </c>
    </row>
    <row r="37" customFormat="false" ht="13.8" hidden="false" customHeight="false" outlineLevel="0" collapsed="false">
      <c r="A37" s="0" t="n">
        <v>295</v>
      </c>
      <c r="C37" s="0" t="n">
        <f aca="false">$C$33*EXP($C$34*(1/A37-1/298.15))</f>
        <v>0.00147726639175833</v>
      </c>
      <c r="D37" s="0" t="n">
        <f aca="false">1/(C37)</f>
        <v>676.925980025674</v>
      </c>
      <c r="E37" s="0" t="n">
        <f aca="false">1/(C37*$B$1*$B$3*A37)</f>
        <v>27.6934586924903</v>
      </c>
      <c r="F37" s="0" t="n">
        <f aca="false">$B$4*A37*LN(E37)</f>
        <v>1.9456692196541</v>
      </c>
    </row>
    <row r="38" customFormat="false" ht="13.8" hidden="false" customHeight="false" outlineLevel="0" collapsed="false">
      <c r="A38" s="0" t="n">
        <v>315</v>
      </c>
      <c r="C38" s="0" t="n">
        <f aca="false">$C$33*EXP($C$34*(1/A38-1/298.15))</f>
        <v>0.00106967230708262</v>
      </c>
      <c r="D38" s="0" t="n">
        <f aca="false">1/(C38)</f>
        <v>934.865746620442</v>
      </c>
      <c r="E38" s="0" t="n">
        <f aca="false">1/(C38*$B$1*$B$3*A38)</f>
        <v>35.8176201520198</v>
      </c>
      <c r="F38" s="0" t="n">
        <f aca="false">$B$4*A38*LN(E38)</f>
        <v>2.2384981686104</v>
      </c>
    </row>
    <row r="39" customFormat="false" ht="13.8" hidden="false" customHeight="false" outlineLevel="0" collapsed="false">
      <c r="A39" s="0" t="n">
        <v>335</v>
      </c>
      <c r="C39" s="0" t="n">
        <f aca="false">$C$33*EXP($C$34*(1/A39-1/298.15))</f>
        <v>0.000804977884106114</v>
      </c>
      <c r="D39" s="0" t="n">
        <f aca="false">1/(C39)</f>
        <v>1242.27015393156</v>
      </c>
      <c r="E39" s="0" t="n">
        <f aca="false">1/(C39*$B$1*$B$3*A39)</f>
        <v>44.7537340612162</v>
      </c>
      <c r="F39" s="0" t="n">
        <f aca="false">$B$4*A39*LN(E39)</f>
        <v>2.52880367132545</v>
      </c>
    </row>
    <row r="40" customFormat="false" ht="13.8" hidden="false" customHeight="false" outlineLevel="0" collapsed="false">
      <c r="A40" s="0" t="n">
        <v>355</v>
      </c>
      <c r="C40" s="0" t="n">
        <f aca="false">$C$33*EXP($C$34*(1/A40-1/298.15))</f>
        <v>0.000625502280797112</v>
      </c>
      <c r="D40" s="0" t="n">
        <f aca="false">1/(C40)</f>
        <v>1598.71519369305</v>
      </c>
      <c r="E40" s="0" t="n">
        <f aca="false">1/(C40*$B$1*$B$3*A40)</f>
        <v>54.3501543734233</v>
      </c>
      <c r="F40" s="0" t="n">
        <f aca="false">$B$4*A40*LN(E40)</f>
        <v>2.81673656641646</v>
      </c>
    </row>
    <row r="41" customFormat="false" ht="13.8" hidden="false" customHeight="false" outlineLevel="0" collapsed="false">
      <c r="A41" s="0" t="n">
        <v>375</v>
      </c>
      <c r="C41" s="0" t="n">
        <f aca="false">$C$33*EXP($C$34*(1/A41-1/298.15))</f>
        <v>0.00049929787602026</v>
      </c>
      <c r="D41" s="0" t="n">
        <f aca="false">1/(C41)</f>
        <v>2002.81244528952</v>
      </c>
      <c r="E41" s="0" t="n">
        <f aca="false">1/(C41*$B$1*$B$3*A41)</f>
        <v>64.456548498834</v>
      </c>
      <c r="F41" s="0" t="n">
        <f aca="false">$B$4*A41*LN(E41)</f>
        <v>3.10243066786645</v>
      </c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>
      <c r="A44" s="35" t="s">
        <v>43</v>
      </c>
      <c r="B44" s="35"/>
    </row>
    <row r="45" customFormat="false" ht="13.8" hidden="false" customHeight="false" outlineLevel="0" collapsed="false">
      <c r="A45" s="0" t="s">
        <v>47</v>
      </c>
      <c r="C45" s="41" t="n">
        <v>0.0025</v>
      </c>
    </row>
    <row r="46" customFormat="false" ht="13.8" hidden="false" customHeight="false" outlineLevel="0" collapsed="false">
      <c r="A46" s="0" t="s">
        <v>48</v>
      </c>
      <c r="C46" s="41" t="n">
        <v>1900</v>
      </c>
    </row>
    <row r="47" customFormat="false" ht="13.8" hidden="false" customHeight="false" outlineLevel="0" collapsed="false">
      <c r="A47" s="42" t="s">
        <v>49</v>
      </c>
      <c r="B47" s="42"/>
      <c r="C47" s="42" t="s">
        <v>50</v>
      </c>
      <c r="D47" s="42" t="s">
        <v>51</v>
      </c>
      <c r="E47" s="42" t="s">
        <v>52</v>
      </c>
      <c r="F47" s="42" t="s">
        <v>39</v>
      </c>
    </row>
    <row r="48" customFormat="false" ht="13.8" hidden="false" customHeight="false" outlineLevel="0" collapsed="false">
      <c r="A48" s="0" t="n">
        <v>275</v>
      </c>
      <c r="C48" s="0" t="n">
        <f aca="false">$C$45*EXP($C$46*(1/A48-1/298.15))</f>
        <v>0.00427485598914693</v>
      </c>
      <c r="D48" s="0" t="n">
        <f aca="false">1/(C48)</f>
        <v>233.926008861776</v>
      </c>
      <c r="E48" s="0" t="n">
        <f aca="false">1/(C48*$B$1*$B$3*A48)</f>
        <v>10.2660612245093</v>
      </c>
      <c r="F48" s="0" t="n">
        <f aca="false">$B$4*A48*LN(E48)</f>
        <v>1.27181938525308</v>
      </c>
    </row>
    <row r="49" customFormat="false" ht="13.8" hidden="false" customHeight="false" outlineLevel="0" collapsed="false">
      <c r="A49" s="0" t="n">
        <v>295</v>
      </c>
      <c r="C49" s="0" t="n">
        <f aca="false">$C$45*EXP($C$46*(1/A49-1/298.15))</f>
        <v>0.00267603834686467</v>
      </c>
      <c r="D49" s="0" t="n">
        <f aca="false">1/(C49)</f>
        <v>373.686722827284</v>
      </c>
      <c r="E49" s="0" t="n">
        <f aca="false">1/(C49*$B$1*$B$3*A49)</f>
        <v>15.2877539463871</v>
      </c>
      <c r="F49" s="0" t="n">
        <f aca="false">$B$4*A49*LN(E49)</f>
        <v>1.59759947215808</v>
      </c>
    </row>
    <row r="50" customFormat="false" ht="13.8" hidden="false" customHeight="false" outlineLevel="0" collapsed="false">
      <c r="A50" s="0" t="n">
        <v>315</v>
      </c>
      <c r="C50" s="0" t="n">
        <f aca="false">$C$45*EXP($C$46*(1/A50-1/298.15))</f>
        <v>0.00177785136654278</v>
      </c>
      <c r="D50" s="0" t="n">
        <f aca="false">1/(C50)</f>
        <v>562.476717018593</v>
      </c>
      <c r="E50" s="0" t="n">
        <f aca="false">1/(C50*$B$1*$B$3*A50)</f>
        <v>21.5502359214223</v>
      </c>
      <c r="F50" s="0" t="n">
        <f aca="false">$B$4*A50*LN(E50)</f>
        <v>1.92068477721634</v>
      </c>
    </row>
    <row r="51" customFormat="false" ht="13.8" hidden="false" customHeight="false" outlineLevel="0" collapsed="false">
      <c r="A51" s="0" t="n">
        <v>335</v>
      </c>
      <c r="C51" s="0" t="n">
        <f aca="false">$C$45*EXP($C$46*(1/A51-1/298.15))</f>
        <v>0.00124023551995109</v>
      </c>
      <c r="D51" s="0" t="n">
        <f aca="false">1/(C51)</f>
        <v>806.298468245316</v>
      </c>
      <c r="E51" s="0" t="n">
        <f aca="false">1/(C51*$B$1*$B$3*A51)</f>
        <v>29.0475200644682</v>
      </c>
      <c r="F51" s="0" t="n">
        <f aca="false">$B$4*A51*LN(E51)</f>
        <v>2.24124663603336</v>
      </c>
    </row>
    <row r="52" customFormat="false" ht="13.8" hidden="false" customHeight="false" outlineLevel="0" collapsed="false">
      <c r="A52" s="0" t="n">
        <v>355</v>
      </c>
      <c r="C52" s="0" t="n">
        <f aca="false">$C$45*EXP($C$46*(1/A52-1/298.15))</f>
        <v>0.000901020005495662</v>
      </c>
      <c r="D52" s="0" t="n">
        <f aca="false">1/(C52)</f>
        <v>1109.85327062731</v>
      </c>
      <c r="E52" s="0" t="n">
        <f aca="false">1/(C52*$B$1*$B$3*A52)</f>
        <v>37.7307332965928</v>
      </c>
      <c r="F52" s="0" t="n">
        <f aca="false">$B$4*A52*LN(E52)</f>
        <v>2.55943588722633</v>
      </c>
    </row>
    <row r="53" customFormat="false" ht="13.8" hidden="false" customHeight="false" outlineLevel="0" collapsed="false">
      <c r="A53" s="0" t="n">
        <v>375</v>
      </c>
      <c r="C53" s="0" t="n">
        <f aca="false">$C$45*EXP($C$46*(1/A53-1/298.15))</f>
        <v>0.000677277747951122</v>
      </c>
      <c r="D53" s="0" t="n">
        <f aca="false">1/(C53)</f>
        <v>1476.49912170475</v>
      </c>
      <c r="E53" s="0" t="n">
        <f aca="false">1/(C53*$B$1*$B$3*A53)</f>
        <v>47.5181974580202</v>
      </c>
      <c r="F53" s="0" t="n">
        <f aca="false">$B$4*A53*LN(E53)</f>
        <v>2.87538634477829</v>
      </c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>
      <c r="A56" s="35" t="s">
        <v>44</v>
      </c>
      <c r="B56" s="35"/>
    </row>
    <row r="57" customFormat="false" ht="13.8" hidden="false" customHeight="false" outlineLevel="0" collapsed="false">
      <c r="A57" s="0" t="s">
        <v>47</v>
      </c>
      <c r="C57" s="41" t="n">
        <v>0.0043</v>
      </c>
    </row>
    <row r="58" customFormat="false" ht="13.8" hidden="false" customHeight="false" outlineLevel="0" collapsed="false">
      <c r="A58" s="0" t="s">
        <v>48</v>
      </c>
      <c r="C58" s="41" t="n">
        <v>2200</v>
      </c>
    </row>
    <row r="59" customFormat="false" ht="13.8" hidden="false" customHeight="false" outlineLevel="0" collapsed="false">
      <c r="A59" s="42" t="s">
        <v>49</v>
      </c>
      <c r="B59" s="42"/>
      <c r="C59" s="42" t="s">
        <v>50</v>
      </c>
      <c r="D59" s="42" t="s">
        <v>51</v>
      </c>
      <c r="E59" s="42" t="s">
        <v>52</v>
      </c>
      <c r="F59" s="42" t="s">
        <v>39</v>
      </c>
    </row>
    <row r="60" customFormat="false" ht="13.8" hidden="false" customHeight="false" outlineLevel="0" collapsed="false">
      <c r="A60" s="0" t="n">
        <v>275</v>
      </c>
      <c r="C60" s="0" t="n">
        <f aca="false">$C$57*EXP($C$58*(1/A60-1/298.15))</f>
        <v>0.00800269905298317</v>
      </c>
      <c r="D60" s="0" t="n">
        <f aca="false">1/(C60)</f>
        <v>124.957841520634</v>
      </c>
      <c r="E60" s="0" t="n">
        <f aca="false">1/(C60*$B$1*$B$3*A60)</f>
        <v>5.48389149960392</v>
      </c>
      <c r="F60" s="0" t="n">
        <f aca="false">$B$4*A60*LN(E60)</f>
        <v>0.929388919579992</v>
      </c>
    </row>
    <row r="61" customFormat="false" ht="13.8" hidden="false" customHeight="false" outlineLevel="0" collapsed="false">
      <c r="A61" s="0" t="n">
        <v>295</v>
      </c>
      <c r="C61" s="0" t="n">
        <f aca="false">$C$57*EXP($C$58*(1/A61-1/298.15))</f>
        <v>0.00465250593432406</v>
      </c>
      <c r="D61" s="0" t="n">
        <f aca="false">1/(C61)</f>
        <v>214.937931109869</v>
      </c>
      <c r="E61" s="0" t="n">
        <f aca="false">1/(C61*$B$1*$B$3*A61)</f>
        <v>8.793243120045</v>
      </c>
      <c r="F61" s="0" t="n">
        <f aca="false">$B$4*A61*LN(E61)</f>
        <v>1.27359320898149</v>
      </c>
    </row>
    <row r="62" customFormat="false" ht="13.8" hidden="false" customHeight="false" outlineLevel="0" collapsed="false">
      <c r="A62" s="0" t="n">
        <v>315</v>
      </c>
      <c r="C62" s="0" t="n">
        <f aca="false">$C$57*EXP($C$58*(1/A62-1/298.15))</f>
        <v>0.00289766676837627</v>
      </c>
      <c r="D62" s="0" t="n">
        <f aca="false">1/(C62)</f>
        <v>345.105244990044</v>
      </c>
      <c r="E62" s="0" t="n">
        <f aca="false">1/(C62*$B$1*$B$3*A62)</f>
        <v>13.222057415418</v>
      </c>
      <c r="F62" s="0" t="n">
        <f aca="false">$B$4*A62*LN(E62)</f>
        <v>1.61510271653626</v>
      </c>
    </row>
    <row r="63" customFormat="false" ht="13.8" hidden="false" customHeight="false" outlineLevel="0" collapsed="false">
      <c r="A63" s="0" t="n">
        <v>335</v>
      </c>
      <c r="C63" s="0" t="n">
        <f aca="false">$C$57*EXP($C$58*(1/A63-1/298.15))</f>
        <v>0.00190969404909303</v>
      </c>
      <c r="D63" s="0" t="n">
        <f aca="false">1/(C63)</f>
        <v>523.644088682651</v>
      </c>
      <c r="E63" s="0" t="n">
        <f aca="false">1/(C63*$B$1*$B$3*A63)</f>
        <v>18.8646794849443</v>
      </c>
      <c r="F63" s="0" t="n">
        <f aca="false">$B$4*A63*LN(E63)</f>
        <v>1.95408877784978</v>
      </c>
    </row>
    <row r="64" customFormat="false" ht="13.8" hidden="false" customHeight="false" outlineLevel="0" collapsed="false">
      <c r="A64" s="0" t="n">
        <v>355</v>
      </c>
      <c r="C64" s="0" t="n">
        <f aca="false">$C$57*EXP($C$58*(1/A64-1/298.15))</f>
        <v>0.00131911619748817</v>
      </c>
      <c r="D64" s="0" t="n">
        <f aca="false">1/(C64)</f>
        <v>758.083330266262</v>
      </c>
      <c r="E64" s="0" t="n">
        <f aca="false">1/(C64*$B$1*$B$3*A64)</f>
        <v>25.7719112137248</v>
      </c>
      <c r="F64" s="0" t="n">
        <f aca="false">$B$4*A64*LN(E64)</f>
        <v>2.29070223153926</v>
      </c>
    </row>
    <row r="65" customFormat="false" ht="13.8" hidden="false" customHeight="false" outlineLevel="0" collapsed="false">
      <c r="A65" s="0" t="n">
        <v>375</v>
      </c>
      <c r="C65" s="0" t="n">
        <f aca="false">$C$57*EXP($C$58*(1/A65-1/298.15))</f>
        <v>0.000947854312882361</v>
      </c>
      <c r="D65" s="0" t="n">
        <f aca="false">1/(C65)</f>
        <v>1055.01445360212</v>
      </c>
      <c r="E65" s="0" t="n">
        <f aca="false">1/(C65*$B$1*$B$3*A65)</f>
        <v>33.953548898457</v>
      </c>
      <c r="F65" s="0" t="n">
        <f aca="false">$B$4*A65*LN(E65)</f>
        <v>2.62507689158772</v>
      </c>
    </row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>
      <c r="A68" s="35" t="s">
        <v>54</v>
      </c>
      <c r="B68" s="35"/>
    </row>
    <row r="69" customFormat="false" ht="13.8" hidden="false" customHeight="false" outlineLevel="0" collapsed="false">
      <c r="A69" s="0" t="s">
        <v>47</v>
      </c>
      <c r="C69" s="41" t="n">
        <v>0.0093</v>
      </c>
    </row>
    <row r="70" customFormat="false" ht="13.8" hidden="false" customHeight="false" outlineLevel="0" collapsed="false">
      <c r="A70" s="0" t="s">
        <v>48</v>
      </c>
      <c r="C70" s="41" t="n">
        <v>2600</v>
      </c>
    </row>
    <row r="71" customFormat="false" ht="13.8" hidden="false" customHeight="false" outlineLevel="0" collapsed="false">
      <c r="A71" s="42" t="s">
        <v>49</v>
      </c>
      <c r="B71" s="42"/>
      <c r="C71" s="42" t="s">
        <v>50</v>
      </c>
      <c r="D71" s="42" t="s">
        <v>51</v>
      </c>
      <c r="E71" s="42" t="s">
        <v>52</v>
      </c>
      <c r="F71" s="42" t="s">
        <v>39</v>
      </c>
    </row>
    <row r="72" customFormat="false" ht="13.8" hidden="false" customHeight="false" outlineLevel="0" collapsed="false">
      <c r="A72" s="0" t="n">
        <v>275</v>
      </c>
      <c r="C72" s="0" t="n">
        <f aca="false">$C$69*EXP($C$70*(1/A72-1/298.15))</f>
        <v>0.0193775876903959</v>
      </c>
      <c r="D72" s="0" t="n">
        <f aca="false">1/(C72)</f>
        <v>51.6060108191708</v>
      </c>
      <c r="E72" s="0" t="n">
        <f aca="false">1/(C72*$B$1*$B$3*A72)</f>
        <v>2.26477794923328</v>
      </c>
      <c r="F72" s="0" t="n">
        <f aca="false">$B$4*A72*LN(E72)/LN(10)</f>
        <v>0.193885286760568</v>
      </c>
    </row>
    <row r="73" customFormat="false" ht="13.8" hidden="false" customHeight="false" outlineLevel="0" collapsed="false">
      <c r="A73" s="0" t="n">
        <v>295</v>
      </c>
      <c r="C73" s="0" t="n">
        <f aca="false">$C$69*EXP($C$70*(1/A73-1/298.15))</f>
        <v>0.0102075841898896</v>
      </c>
      <c r="D73" s="0" t="n">
        <f aca="false">1/(C73)</f>
        <v>97.9663729827947</v>
      </c>
      <c r="E73" s="0" t="n">
        <f aca="false">1/(C73*$B$1*$B$3*A73)</f>
        <v>4.00786464621911</v>
      </c>
      <c r="F73" s="0" t="n">
        <f aca="false">$B$4*A73*LN(E73)/LN(10)</f>
        <v>0.3532068785452</v>
      </c>
    </row>
    <row r="74" customFormat="false" ht="13.8" hidden="false" customHeight="false" outlineLevel="0" collapsed="false">
      <c r="A74" s="0" t="n">
        <v>315</v>
      </c>
      <c r="C74" s="0" t="n">
        <f aca="false">$C$69*EXP($C$70*(1/A74-1/298.15))</f>
        <v>0.00583304944180589</v>
      </c>
      <c r="D74" s="0" t="n">
        <f aca="false">1/(C74)</f>
        <v>171.436914769302</v>
      </c>
      <c r="E74" s="0" t="n">
        <f aca="false">1/(C74*$B$1*$B$3*A74)</f>
        <v>6.56828246776497</v>
      </c>
      <c r="F74" s="0" t="n">
        <f aca="false">$B$4*A74*LN(E74)/LN(10)</f>
        <v>0.511358141443863</v>
      </c>
    </row>
    <row r="75" customFormat="false" ht="13.8" hidden="false" customHeight="false" outlineLevel="0" collapsed="false">
      <c r="A75" s="0" t="n">
        <v>335</v>
      </c>
      <c r="C75" s="0" t="n">
        <f aca="false">$C$69*EXP($C$70*(1/A75-1/298.15))</f>
        <v>0.00356358015071856</v>
      </c>
      <c r="D75" s="0" t="n">
        <f aca="false">1/(C75)</f>
        <v>280.61667135461</v>
      </c>
      <c r="E75" s="0" t="n">
        <f aca="false">1/(C75*$B$1*$B$3*A75)</f>
        <v>10.1094305801376</v>
      </c>
      <c r="F75" s="0" t="n">
        <f aca="false">$B$4*A75*LN(E75)/LN(10)</f>
        <v>0.668413485564571</v>
      </c>
    </row>
    <row r="76" customFormat="false" ht="13.8" hidden="false" customHeight="false" outlineLevel="0" collapsed="false">
      <c r="A76" s="0" t="n">
        <v>355</v>
      </c>
      <c r="C76" s="0" t="n">
        <f aca="false">$C$69*EXP($C$70*(1/A76-1/298.15))</f>
        <v>0.00230139470345929</v>
      </c>
      <c r="D76" s="0" t="n">
        <f aca="false">1/(C76)</f>
        <v>434.519119426526</v>
      </c>
      <c r="E76" s="0" t="n">
        <f aca="false">1/(C76*$B$1*$B$3*A76)</f>
        <v>14.7719752162247</v>
      </c>
      <c r="F76" s="0" t="n">
        <f aca="false">$B$4*A76*LN(E76)/LN(10)</f>
        <v>0.824438419286436</v>
      </c>
    </row>
    <row r="77" customFormat="false" ht="13.8" hidden="false" customHeight="false" outlineLevel="0" collapsed="false">
      <c r="A77" s="0" t="n">
        <v>375</v>
      </c>
      <c r="C77" s="0" t="n">
        <f aca="false">$C$69*EXP($C$70*(1/A77-1/298.15))</f>
        <v>0.00155722439617235</v>
      </c>
      <c r="D77" s="0" t="n">
        <f aca="false">1/(C77)</f>
        <v>642.168208036038</v>
      </c>
      <c r="E77" s="0" t="n">
        <f aca="false">1/(C77*$B$1*$B$3*A77)</f>
        <v>20.6669108448149</v>
      </c>
      <c r="F77" s="0" t="n">
        <f aca="false">$B$4*A77*LN(E77)/LN(10)</f>
        <v>0.97949105728389</v>
      </c>
    </row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0.7421875" defaultRowHeight="13.8" zeroHeight="false" outlineLevelRow="0" outlineLevelCol="0"/>
  <sheetData>
    <row r="1" customFormat="false" ht="13.8" hidden="false" customHeight="false" outlineLevel="0" collapsed="false">
      <c r="A1" s="0" t="s">
        <v>55</v>
      </c>
      <c r="B1" s="0" t="n">
        <v>0.101325</v>
      </c>
    </row>
    <row r="3" customFormat="false" ht="13.8" hidden="false" customHeight="false" outlineLevel="0" collapsed="false">
      <c r="A3" s="35" t="s">
        <v>41</v>
      </c>
    </row>
    <row r="4" customFormat="false" ht="13.8" hidden="false" customHeight="false" outlineLevel="0" collapsed="false">
      <c r="A4" s="36" t="s">
        <v>33</v>
      </c>
      <c r="B4" s="36" t="s">
        <v>56</v>
      </c>
      <c r="C4" s="36" t="s">
        <v>57</v>
      </c>
      <c r="D4" s="36" t="s">
        <v>58</v>
      </c>
      <c r="E4" s="36" t="s">
        <v>59</v>
      </c>
      <c r="F4" s="36" t="s">
        <v>60</v>
      </c>
      <c r="G4" s="36" t="s">
        <v>61</v>
      </c>
      <c r="H4" s="36"/>
      <c r="I4" s="36"/>
      <c r="K4" s="43"/>
      <c r="L4" s="43"/>
      <c r="M4" s="43"/>
    </row>
    <row r="5" customFormat="false" ht="13.8" hidden="false" customHeight="false" outlineLevel="0" collapsed="false">
      <c r="A5" s="44" t="n">
        <v>294.9</v>
      </c>
      <c r="B5" s="44" t="n">
        <v>2.371</v>
      </c>
      <c r="C5" s="44" t="n">
        <v>1.951</v>
      </c>
      <c r="D5" s="44" t="n">
        <v>0.9989</v>
      </c>
      <c r="E5" s="41" t="n">
        <v>2.396</v>
      </c>
      <c r="F5" s="44" t="n">
        <v>2.508</v>
      </c>
      <c r="G5" s="0" t="n">
        <f aca="false">IF(F5="", "", IF(F5=0, "", EXP(F5)))</f>
        <v>12.2803447938511</v>
      </c>
      <c r="K5" s="45"/>
      <c r="L5" s="45"/>
      <c r="M5" s="45"/>
    </row>
    <row r="6" customFormat="false" ht="13.8" hidden="false" customHeight="false" outlineLevel="0" collapsed="false">
      <c r="A6" s="44" t="n">
        <v>337.4</v>
      </c>
      <c r="B6" s="44" t="n">
        <v>2.084</v>
      </c>
      <c r="C6" s="44" t="n">
        <v>1.552</v>
      </c>
      <c r="D6" s="44" t="n">
        <v>0.9881</v>
      </c>
      <c r="E6" s="44" t="n">
        <v>2.079</v>
      </c>
      <c r="F6" s="44" t="n">
        <v>2.595</v>
      </c>
      <c r="G6" s="0" t="n">
        <f aca="false">IF(F6="", "", IF(F6=0, "", EXP(F6)))</f>
        <v>13.3965873614078</v>
      </c>
      <c r="K6" s="45"/>
      <c r="L6" s="45"/>
      <c r="M6" s="45"/>
    </row>
    <row r="7" customFormat="false" ht="13.8" hidden="false" customHeight="false" outlineLevel="0" collapsed="false">
      <c r="A7" s="44" t="n">
        <v>361</v>
      </c>
      <c r="B7" s="44" t="n">
        <v>2.244</v>
      </c>
      <c r="C7" s="44" t="n">
        <v>1.777</v>
      </c>
      <c r="D7" s="44" t="n">
        <v>0.9703</v>
      </c>
      <c r="E7" s="44" t="n">
        <v>2.199</v>
      </c>
      <c r="F7" s="44" t="n">
        <v>2.516</v>
      </c>
      <c r="G7" s="0" t="n">
        <f aca="false">IF(F7="", "", IF(F7=0, "", EXP(F7)))</f>
        <v>12.3789815732573</v>
      </c>
      <c r="K7" s="45"/>
      <c r="L7" s="45"/>
      <c r="M7" s="45"/>
    </row>
    <row r="8" customFormat="false" ht="13.8" hidden="false" customHeight="false" outlineLevel="0" collapsed="false">
      <c r="A8" s="44" t="n">
        <v>388.9</v>
      </c>
      <c r="B8" s="44" t="n">
        <v>2.238</v>
      </c>
      <c r="C8" s="44" t="n">
        <v>1.86</v>
      </c>
      <c r="D8" s="44" t="n">
        <v>0.9198</v>
      </c>
      <c r="E8" s="44" t="n">
        <v>2.081</v>
      </c>
      <c r="F8" s="44" t="n">
        <v>2.415</v>
      </c>
      <c r="G8" s="0" t="n">
        <f aca="false">IF(F8="", "", IF(F8=0, "", EXP(F8)))</f>
        <v>11.1897703575527</v>
      </c>
      <c r="K8" s="45"/>
      <c r="L8" s="45"/>
      <c r="M8" s="45"/>
    </row>
    <row r="9" customFormat="false" ht="13.8" hidden="false" customHeight="false" outlineLevel="0" collapsed="false">
      <c r="A9" s="44" t="n">
        <v>427.7</v>
      </c>
      <c r="B9" s="44" t="n">
        <v>2.186</v>
      </c>
      <c r="C9" s="44" t="n">
        <v>2.035</v>
      </c>
      <c r="D9" s="44" t="n">
        <v>0.7438</v>
      </c>
      <c r="E9" s="44" t="n">
        <v>1.658</v>
      </c>
      <c r="F9" s="44" t="n">
        <v>2.098</v>
      </c>
      <c r="G9" s="0" t="n">
        <f aca="false">IF(F9="", "", IF(F9=0, "", EXP(F9)))</f>
        <v>8.14985389419955</v>
      </c>
      <c r="K9" s="45"/>
      <c r="L9" s="45"/>
      <c r="M9" s="45"/>
    </row>
    <row r="10" customFormat="false" ht="13.8" hidden="false" customHeight="false" outlineLevel="0" collapsed="false">
      <c r="A10" s="44" t="n">
        <v>543.2</v>
      </c>
      <c r="B10" s="44" t="n">
        <v>8.289</v>
      </c>
      <c r="C10" s="44" t="n">
        <v>8.45</v>
      </c>
      <c r="D10" s="44" t="n">
        <v>0.2894</v>
      </c>
      <c r="E10" s="44" t="n">
        <v>2.826</v>
      </c>
      <c r="F10" s="44" t="n">
        <v>1.207</v>
      </c>
      <c r="G10" s="0" t="n">
        <f aca="false">IF(F10="", "", IF(F10=0, "", EXP(F10)))</f>
        <v>3.34343927419294</v>
      </c>
      <c r="K10" s="45"/>
      <c r="L10" s="45"/>
      <c r="M10" s="45"/>
    </row>
    <row r="11" customFormat="false" ht="13.8" hidden="false" customHeight="false" outlineLevel="0" collapsed="false">
      <c r="A11" s="44" t="n">
        <v>543.4</v>
      </c>
      <c r="B11" s="44" t="n">
        <v>8.196</v>
      </c>
      <c r="C11" s="44" t="n">
        <v>8.386</v>
      </c>
      <c r="D11" s="44" t="n">
        <v>0.28</v>
      </c>
      <c r="E11" s="44" t="n">
        <v>2.686</v>
      </c>
      <c r="F11" s="44" t="n">
        <v>1.164</v>
      </c>
      <c r="G11" s="0" t="n">
        <f aca="false">IF(F11="", "", IF(F11=0, "", EXP(F11)))</f>
        <v>3.20271856274687</v>
      </c>
      <c r="K11" s="45"/>
      <c r="L11" s="45"/>
      <c r="M11" s="45"/>
    </row>
    <row r="13" customFormat="false" ht="13.8" hidden="false" customHeight="false" outlineLevel="0" collapsed="false">
      <c r="A13" s="35" t="s">
        <v>42</v>
      </c>
    </row>
    <row r="14" customFormat="false" ht="13.8" hidden="false" customHeight="false" outlineLevel="0" collapsed="false">
      <c r="A14" s="36" t="s">
        <v>33</v>
      </c>
      <c r="B14" s="36" t="s">
        <v>56</v>
      </c>
      <c r="C14" s="36" t="s">
        <v>57</v>
      </c>
      <c r="D14" s="36" t="s">
        <v>58</v>
      </c>
      <c r="E14" s="36" t="s">
        <v>59</v>
      </c>
      <c r="F14" s="36" t="s">
        <v>60</v>
      </c>
      <c r="G14" s="36" t="s">
        <v>61</v>
      </c>
      <c r="H14" s="36"/>
      <c r="I14" s="36"/>
      <c r="K14" s="43"/>
      <c r="L14" s="43"/>
      <c r="M14" s="43"/>
    </row>
    <row r="15" customFormat="false" ht="13.8" hidden="false" customHeight="false" outlineLevel="0" collapsed="false">
      <c r="A15" s="44" t="n">
        <v>306.9</v>
      </c>
      <c r="B15" s="44" t="n">
        <v>2.249</v>
      </c>
      <c r="C15" s="44" t="n">
        <v>4.667</v>
      </c>
      <c r="D15" s="44" t="n">
        <v>0.9975</v>
      </c>
      <c r="E15" s="44" t="n">
        <v>2.216</v>
      </c>
      <c r="F15" s="44" t="n">
        <v>1.557</v>
      </c>
      <c r="G15" s="0" t="n">
        <f aca="false">IF(F15="", "", IF(F15=0, "", EXP(F15)))</f>
        <v>4.7445661746994</v>
      </c>
      <c r="K15" s="45"/>
      <c r="L15" s="45"/>
      <c r="M15" s="45"/>
    </row>
    <row r="16" customFormat="false" ht="13.8" hidden="false" customHeight="false" outlineLevel="0" collapsed="false">
      <c r="A16" s="44" t="n">
        <v>335.9</v>
      </c>
      <c r="B16" s="44" t="n">
        <v>2.126</v>
      </c>
      <c r="C16" s="44" t="n">
        <v>3.429</v>
      </c>
      <c r="D16" s="44" t="n">
        <v>0.9888</v>
      </c>
      <c r="E16" s="44" t="n">
        <v>2.089</v>
      </c>
      <c r="F16" s="44" t="n">
        <v>1.806</v>
      </c>
      <c r="G16" s="0" t="n">
        <f aca="false">IF(F16="", "", IF(F16=0, "", EXP(F16)))</f>
        <v>6.08605446096817</v>
      </c>
      <c r="K16" s="45"/>
      <c r="L16" s="45"/>
      <c r="M16" s="45"/>
    </row>
    <row r="17" customFormat="false" ht="13.8" hidden="false" customHeight="false" outlineLevel="0" collapsed="false">
      <c r="A17" s="44" t="n">
        <v>365.3</v>
      </c>
      <c r="B17" s="44" t="n">
        <v>1.67</v>
      </c>
      <c r="C17" s="44" t="n">
        <v>2.478</v>
      </c>
      <c r="D17" s="44" t="n">
        <v>0.9527</v>
      </c>
      <c r="E17" s="44" t="n">
        <v>1.588</v>
      </c>
      <c r="F17" s="44" t="n">
        <v>1.857</v>
      </c>
      <c r="G17" s="0" t="n">
        <f aca="false">IF(F17="", "", IF(F17=0, "", EXP(F17)))</f>
        <v>6.40449443904517</v>
      </c>
      <c r="K17" s="45"/>
      <c r="L17" s="45"/>
      <c r="M17" s="45"/>
    </row>
    <row r="18" customFormat="false" ht="13.8" hidden="false" customHeight="false" outlineLevel="0" collapsed="false">
      <c r="A18" s="44" t="n">
        <v>368.3</v>
      </c>
      <c r="B18" s="44" t="n">
        <v>2.033</v>
      </c>
      <c r="C18" s="44" t="n">
        <v>2.939</v>
      </c>
      <c r="D18" s="44" t="n">
        <v>0.9562</v>
      </c>
      <c r="E18" s="46" t="s">
        <v>62</v>
      </c>
      <c r="F18" s="44" t="n">
        <v>1.887</v>
      </c>
      <c r="G18" s="0" t="n">
        <f aca="false">IF(F18="", "", IF(F18=0, "", EXP(F18)))</f>
        <v>6.59954033239418</v>
      </c>
      <c r="K18" s="45"/>
      <c r="L18" s="45"/>
      <c r="M18" s="45"/>
    </row>
    <row r="19" customFormat="false" ht="13.8" hidden="false" customHeight="false" outlineLevel="0" collapsed="false">
      <c r="A19" s="44" t="n">
        <v>397.3</v>
      </c>
      <c r="B19" s="44" t="n">
        <v>2.435</v>
      </c>
      <c r="C19" s="44" t="n">
        <v>3.579</v>
      </c>
      <c r="D19" s="44" t="n">
        <v>0.9021</v>
      </c>
      <c r="E19" s="44" t="n">
        <v>2.199</v>
      </c>
      <c r="F19" s="44" t="n">
        <v>1.816</v>
      </c>
      <c r="G19" s="0" t="n">
        <f aca="false">IF(F19="", "", IF(F19=0, "", EXP(F19)))</f>
        <v>6.14722032518424</v>
      </c>
      <c r="K19" s="45"/>
      <c r="L19" s="45"/>
      <c r="M19" s="45"/>
    </row>
    <row r="20" customFormat="false" ht="13.8" hidden="false" customHeight="false" outlineLevel="0" collapsed="false">
      <c r="A20" s="44" t="n">
        <v>424.7</v>
      </c>
      <c r="B20" s="44" t="n">
        <v>2.526</v>
      </c>
      <c r="C20" s="44" t="n">
        <v>3.786</v>
      </c>
      <c r="D20" s="44" t="n">
        <v>0.7926</v>
      </c>
      <c r="E20" s="44" t="n">
        <v>2.02</v>
      </c>
      <c r="F20" s="44" t="n">
        <v>1.675</v>
      </c>
      <c r="G20" s="0" t="n">
        <f aca="false">IF(F20="", "", IF(F20=0, "", EXP(F20)))</f>
        <v>5.33879514907318</v>
      </c>
      <c r="K20" s="45"/>
      <c r="L20" s="45"/>
      <c r="M20" s="45"/>
    </row>
    <row r="21" customFormat="false" ht="13.8" hidden="false" customHeight="false" outlineLevel="0" collapsed="false">
      <c r="A21" s="44" t="n">
        <v>453.7</v>
      </c>
      <c r="B21" s="44" t="n">
        <v>2.214</v>
      </c>
      <c r="C21" s="44" t="n">
        <v>2.731</v>
      </c>
      <c r="D21" s="44" t="n">
        <v>0.5212</v>
      </c>
      <c r="E21" s="44" t="n">
        <v>1.189</v>
      </c>
      <c r="F21" s="44" t="n">
        <v>1.472</v>
      </c>
      <c r="G21" s="0" t="n">
        <f aca="false">IF(F21="", "", IF(F21=0, "", EXP(F21)))</f>
        <v>4.35794231561703</v>
      </c>
      <c r="K21" s="45"/>
      <c r="L21" s="45"/>
      <c r="M21" s="45"/>
    </row>
    <row r="22" customFormat="false" ht="13.8" hidden="false" customHeight="false" outlineLevel="0" collapsed="false">
      <c r="A22" s="44" t="n">
        <v>568.4</v>
      </c>
      <c r="B22" s="44" t="n">
        <v>9.711</v>
      </c>
      <c r="C22" s="44" t="n">
        <v>9.504</v>
      </c>
      <c r="D22" s="44" t="n">
        <v>0.1369</v>
      </c>
      <c r="E22" s="44" t="n">
        <v>1.686</v>
      </c>
      <c r="F22" s="44" t="n">
        <v>0.528</v>
      </c>
      <c r="G22" s="0" t="n">
        <f aca="false">IF(F22="", "", IF(F22=0, "", EXP(F22)))</f>
        <v>1.69553783960182</v>
      </c>
    </row>
    <row r="24" customFormat="false" ht="13.8" hidden="false" customHeight="false" outlineLevel="0" collapsed="false">
      <c r="A24" s="35" t="s">
        <v>43</v>
      </c>
    </row>
    <row r="25" customFormat="false" ht="13.8" hidden="false" customHeight="false" outlineLevel="0" collapsed="false">
      <c r="A25" s="36" t="s">
        <v>33</v>
      </c>
      <c r="B25" s="36" t="s">
        <v>56</v>
      </c>
      <c r="C25" s="36" t="s">
        <v>57</v>
      </c>
      <c r="D25" s="36" t="s">
        <v>58</v>
      </c>
      <c r="E25" s="36" t="s">
        <v>59</v>
      </c>
      <c r="F25" s="36" t="s">
        <v>60</v>
      </c>
      <c r="G25" s="36" t="s">
        <v>61</v>
      </c>
      <c r="H25" s="36"/>
      <c r="I25" s="36"/>
      <c r="K25" s="43"/>
      <c r="L25" s="43"/>
      <c r="M25" s="43"/>
    </row>
    <row r="26" customFormat="false" ht="13.8" hidden="false" customHeight="false" outlineLevel="0" collapsed="false">
      <c r="A26" s="44" t="n">
        <v>333.7</v>
      </c>
      <c r="B26" s="44" t="n">
        <v>2.386</v>
      </c>
      <c r="C26" s="44" t="n">
        <v>6.332</v>
      </c>
      <c r="D26" s="44" t="n">
        <v>0.9909</v>
      </c>
      <c r="E26" s="44" t="n">
        <v>2.281</v>
      </c>
      <c r="F26" s="44" t="n">
        <v>1.281</v>
      </c>
      <c r="G26" s="0" t="n">
        <f aca="false">IF(F26="", "", IF(F26=0, "", EXP(F26)))</f>
        <v>3.6002381642143</v>
      </c>
      <c r="K26" s="45"/>
      <c r="L26" s="45"/>
      <c r="M26" s="45"/>
    </row>
    <row r="27" customFormat="false" ht="13.8" hidden="false" customHeight="false" outlineLevel="0" collapsed="false">
      <c r="A27" s="44" t="n">
        <v>359</v>
      </c>
      <c r="B27" s="44" t="n">
        <v>2.43</v>
      </c>
      <c r="C27" s="44" t="n">
        <v>5.14</v>
      </c>
      <c r="D27" s="44" t="n">
        <v>0.9741</v>
      </c>
      <c r="E27" s="44" t="n">
        <v>2.302</v>
      </c>
      <c r="F27" s="44" t="n">
        <v>1.499</v>
      </c>
      <c r="G27" s="0" t="n">
        <f aca="false">IF(F27="", "", IF(F27=0, "", EXP(F27)))</f>
        <v>4.4772096213655</v>
      </c>
      <c r="K27" s="45"/>
      <c r="L27" s="45"/>
      <c r="M27" s="45"/>
    </row>
    <row r="28" customFormat="false" ht="13.8" hidden="false" customHeight="false" outlineLevel="0" collapsed="false">
      <c r="A28" s="44" t="n">
        <v>387.6</v>
      </c>
      <c r="B28" s="44" t="n">
        <v>2.425</v>
      </c>
      <c r="C28" s="44" t="n">
        <v>4.951</v>
      </c>
      <c r="D28" s="44" t="n">
        <v>0.928</v>
      </c>
      <c r="E28" s="44" t="n">
        <v>2.209</v>
      </c>
      <c r="F28" s="44" t="n">
        <v>1.496</v>
      </c>
      <c r="G28" s="0" t="n">
        <f aca="false">IF(F28="", "", IF(F28=0, "", EXP(F28)))</f>
        <v>4.46379811981236</v>
      </c>
      <c r="K28" s="45"/>
      <c r="L28" s="45"/>
      <c r="M28" s="45"/>
    </row>
    <row r="29" customFormat="false" ht="13.8" hidden="false" customHeight="false" outlineLevel="0" collapsed="false">
      <c r="A29" s="44" t="n">
        <v>426</v>
      </c>
      <c r="B29" s="44" t="n">
        <v>2.523</v>
      </c>
      <c r="C29" s="44" t="n">
        <v>4.865</v>
      </c>
      <c r="D29" s="44" t="n">
        <v>0.7854</v>
      </c>
      <c r="E29" s="44" t="n">
        <v>1.971</v>
      </c>
      <c r="F29" s="44" t="n">
        <v>1.399</v>
      </c>
      <c r="G29" s="0" t="n">
        <f aca="false">IF(F29="", "", IF(F29=0, "", EXP(F29)))</f>
        <v>4.05114679380212</v>
      </c>
      <c r="K29" s="45"/>
      <c r="L29" s="45"/>
      <c r="M29" s="45"/>
    </row>
    <row r="30" customFormat="false" ht="13.8" hidden="false" customHeight="false" outlineLevel="0" collapsed="false">
      <c r="A30" s="44" t="n">
        <v>477.5</v>
      </c>
      <c r="B30" s="44" t="n">
        <v>3.215</v>
      </c>
      <c r="C30" s="44" t="n">
        <v>4.828</v>
      </c>
      <c r="D30" s="44" t="n">
        <v>0.4432</v>
      </c>
      <c r="E30" s="44" t="n">
        <v>1.478</v>
      </c>
      <c r="F30" s="44" t="n">
        <v>1.118</v>
      </c>
      <c r="G30" s="0" t="n">
        <f aca="false">IF(F30="", "", IF(F30=0, "", EXP(F30)))</f>
        <v>3.05873062051039</v>
      </c>
      <c r="K30" s="45"/>
      <c r="L30" s="45"/>
      <c r="M30" s="45"/>
    </row>
    <row r="31" customFormat="false" ht="13.8" hidden="false" customHeight="false" outlineLevel="0" collapsed="false">
      <c r="A31" s="44" t="n">
        <v>523.4</v>
      </c>
      <c r="B31" s="44" t="n">
        <v>6.701</v>
      </c>
      <c r="C31" s="44" t="n">
        <v>10.752</v>
      </c>
      <c r="D31" s="44" t="n">
        <v>0.3596</v>
      </c>
      <c r="E31" s="44" t="n">
        <v>2.608</v>
      </c>
      <c r="F31" s="44" t="n">
        <v>0.886</v>
      </c>
      <c r="G31" s="0" t="n">
        <f aca="false">IF(F31="", "", IF(F31=0, "", EXP(F31)))</f>
        <v>2.42540858777316</v>
      </c>
      <c r="K31" s="45"/>
      <c r="L31" s="45"/>
      <c r="M31" s="45"/>
    </row>
    <row r="32" customFormat="false" ht="13.8" hidden="false" customHeight="false" outlineLevel="0" collapsed="false">
      <c r="L32" s="45"/>
      <c r="M32" s="45"/>
    </row>
    <row r="33" customFormat="false" ht="13.8" hidden="false" customHeight="false" outlineLevel="0" collapsed="false">
      <c r="A33" s="35" t="s">
        <v>44</v>
      </c>
    </row>
    <row r="34" customFormat="false" ht="13.8" hidden="false" customHeight="false" outlineLevel="0" collapsed="false">
      <c r="A34" s="36" t="s">
        <v>33</v>
      </c>
      <c r="B34" s="36" t="s">
        <v>56</v>
      </c>
      <c r="C34" s="36" t="s">
        <v>57</v>
      </c>
      <c r="D34" s="36" t="s">
        <v>58</v>
      </c>
      <c r="E34" s="36" t="s">
        <v>59</v>
      </c>
      <c r="F34" s="36" t="s">
        <v>60</v>
      </c>
      <c r="G34" s="36" t="s">
        <v>61</v>
      </c>
      <c r="H34" s="36"/>
      <c r="I34" s="36"/>
      <c r="K34" s="43"/>
      <c r="L34" s="43"/>
      <c r="M34" s="43"/>
    </row>
    <row r="35" customFormat="false" ht="13.8" hidden="false" customHeight="false" outlineLevel="0" collapsed="false">
      <c r="A35" s="44" t="n">
        <v>334.5</v>
      </c>
      <c r="B35" s="44" t="n">
        <v>1.984</v>
      </c>
      <c r="C35" s="44" t="n">
        <v>6.972</v>
      </c>
      <c r="D35" s="44" t="n">
        <v>0.9889</v>
      </c>
      <c r="E35" s="44" t="n">
        <v>1.822</v>
      </c>
      <c r="F35" s="44" t="n">
        <v>0.961</v>
      </c>
      <c r="G35" s="0" t="n">
        <f aca="false">IF(F35="", "", IF(F35=0, "", EXP(F35)))</f>
        <v>2.61430947618017</v>
      </c>
      <c r="K35" s="45"/>
      <c r="L35" s="45"/>
      <c r="M35" s="45"/>
    </row>
    <row r="36" customFormat="false" ht="13.8" hidden="false" customHeight="false" outlineLevel="0" collapsed="false">
      <c r="A36" s="44" t="n">
        <v>364.1</v>
      </c>
      <c r="B36" s="44" t="n">
        <v>2.136</v>
      </c>
      <c r="C36" s="44" t="n">
        <v>6.208</v>
      </c>
      <c r="D36" s="44" t="n">
        <v>0.9646</v>
      </c>
      <c r="E36" s="44" t="n">
        <v>1.936</v>
      </c>
      <c r="F36" s="44" t="n">
        <v>1.138</v>
      </c>
      <c r="G36" s="0" t="n">
        <f aca="false">IF(F36="", "", IF(F36=0, "", EXP(F36)))</f>
        <v>3.12052107782557</v>
      </c>
      <c r="K36" s="45"/>
      <c r="L36" s="45"/>
      <c r="M36" s="45"/>
    </row>
    <row r="37" customFormat="false" ht="13.8" hidden="false" customHeight="false" outlineLevel="0" collapsed="false">
      <c r="A37" s="44" t="n">
        <v>391.5</v>
      </c>
      <c r="B37" s="44" t="n">
        <v>2.112</v>
      </c>
      <c r="C37" s="44" t="n">
        <v>5.668</v>
      </c>
      <c r="D37" s="44" t="n">
        <v>0.907</v>
      </c>
      <c r="E37" s="44" t="n">
        <v>1.827</v>
      </c>
      <c r="F37" s="44" t="n">
        <v>1.171</v>
      </c>
      <c r="G37" s="0" t="n">
        <f aca="false">IF(F37="", "", IF(F37=0, "", EXP(F37)))</f>
        <v>3.22521624270048</v>
      </c>
      <c r="K37" s="45"/>
      <c r="L37" s="45"/>
      <c r="M37" s="45"/>
    </row>
    <row r="38" customFormat="false" ht="13.8" hidden="false" customHeight="false" outlineLevel="0" collapsed="false">
      <c r="A38" s="44" t="n">
        <v>439.3</v>
      </c>
      <c r="B38" s="44" t="n">
        <v>2.21</v>
      </c>
      <c r="C38" s="44" t="n">
        <v>5.186</v>
      </c>
      <c r="D38" s="44" t="n">
        <v>0.6584</v>
      </c>
      <c r="E38" s="44" t="n">
        <v>1.43</v>
      </c>
      <c r="F38" s="44" t="n">
        <v>1.014</v>
      </c>
      <c r="G38" s="0" t="n">
        <f aca="false">IF(F38="", "", IF(F38=0, "", EXP(F38)))</f>
        <v>2.75660541320082</v>
      </c>
      <c r="K38" s="45"/>
      <c r="L38" s="45"/>
      <c r="M38" s="45"/>
    </row>
    <row r="39" customFormat="false" ht="13.8" hidden="false" customHeight="false" outlineLevel="0" collapsed="false">
      <c r="A39" s="44" t="n">
        <v>473.7</v>
      </c>
      <c r="B39" s="44" t="n">
        <v>5.426</v>
      </c>
      <c r="C39" s="44" t="n">
        <v>14.767</v>
      </c>
      <c r="D39" s="44" t="n">
        <v>0.6843</v>
      </c>
      <c r="E39" s="44" t="n">
        <v>3.574</v>
      </c>
      <c r="F39" s="44" t="n">
        <v>0.884</v>
      </c>
      <c r="G39" s="0" t="n">
        <f aca="false">IF(F39="", "", IF(F39=0, "", EXP(F39)))</f>
        <v>2.42056261818253</v>
      </c>
      <c r="K39" s="45"/>
      <c r="L39" s="45"/>
      <c r="M39" s="45"/>
    </row>
    <row r="40" customFormat="false" ht="13.8" hidden="false" customHeight="false" outlineLevel="0" collapsed="false">
      <c r="A40" s="44" t="n">
        <v>476.3</v>
      </c>
      <c r="B40" s="44" t="n">
        <v>2.357</v>
      </c>
      <c r="C40" s="44" t="n">
        <v>2.737</v>
      </c>
      <c r="D40" s="44" t="n">
        <v>0.2759</v>
      </c>
      <c r="E40" s="44" t="n">
        <v>0.671</v>
      </c>
      <c r="F40" s="44" t="n">
        <v>0.884</v>
      </c>
      <c r="G40" s="0" t="n">
        <f aca="false">IF(F40="", "", IF(F40=0, "", EXP(F40)))</f>
        <v>2.42056261818253</v>
      </c>
      <c r="K40" s="45"/>
      <c r="L40" s="45"/>
      <c r="M40" s="45"/>
    </row>
    <row r="41" customFormat="false" ht="13.8" hidden="false" customHeight="false" outlineLevel="0" collapsed="false">
      <c r="L41" s="45"/>
      <c r="M41" s="4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2020-11-19T14:38:51Z</dcterms:created>
  <dc:creator>Raha</dc:creator>
  <dc:description/>
  <dc:language>en-US</dc:language>
  <cp:lastModifiedBy/>
  <dcterms:modified xsi:type="dcterms:W3CDTF">2022-01-04T11:18:47Z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