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villanova.sharepoint.com/teams/ComputationalGraph/Shared Documents/2022-railway-computational graph/code_and_case/case code/TRE_submission/Round 1/"/>
    </mc:Choice>
  </mc:AlternateContent>
  <xr:revisionPtr revIDLastSave="8" documentId="8_{700C0127-0035-4A60-894B-932181E60550}" xr6:coauthVersionLast="47" xr6:coauthVersionMax="47" xr10:uidLastSave="{3A0FBEBC-2704-4C89-BDEB-385C7A3EB26D}"/>
  <bookViews>
    <workbookView xWindow="28680" yWindow="-990" windowWidth="29040" windowHeight="15720" activeTab="2" xr2:uid="{00000000-000D-0000-FFFF-FFFF00000000}"/>
  </bookViews>
  <sheets>
    <sheet name="BEFORE_ADJ" sheetId="1" r:id="rId1"/>
    <sheet name="STEP 1" sheetId="2" r:id="rId2"/>
    <sheet name="STEP2-5" sheetId="3" r:id="rId3"/>
  </sheets>
  <definedNames>
    <definedName name="_xlnm._FilterDatabase" localSheetId="0" hidden="1">BEFORE_ADJ!$A$10:$AE$10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3" l="1"/>
  <c r="G74" i="3" s="1"/>
  <c r="I74" i="3" s="1"/>
  <c r="K74" i="3" s="1"/>
  <c r="L40" i="3"/>
  <c r="L41" i="3"/>
  <c r="L42" i="3"/>
  <c r="L43" i="3"/>
  <c r="L44" i="3"/>
  <c r="L45" i="3"/>
  <c r="E75" i="3" s="1"/>
  <c r="G75" i="3" s="1"/>
  <c r="L46" i="3"/>
  <c r="L47" i="3"/>
  <c r="L48" i="3"/>
  <c r="E76" i="3" s="1"/>
  <c r="G76" i="3" s="1"/>
  <c r="L49" i="3"/>
  <c r="L50" i="3"/>
  <c r="L51" i="3"/>
  <c r="E78" i="3" s="1"/>
  <c r="G78" i="3" s="1"/>
  <c r="L39" i="3"/>
  <c r="E72" i="3" s="1"/>
  <c r="G72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K40" i="3"/>
  <c r="K41" i="3"/>
  <c r="K42" i="3"/>
  <c r="K43" i="3"/>
  <c r="K44" i="3"/>
  <c r="K45" i="3"/>
  <c r="F75" i="3" s="1"/>
  <c r="K46" i="3"/>
  <c r="K47" i="3"/>
  <c r="K48" i="3"/>
  <c r="K49" i="3"/>
  <c r="K50" i="3"/>
  <c r="K51" i="3"/>
  <c r="F78" i="3" s="1"/>
  <c r="H78" i="3" s="1"/>
  <c r="K39" i="3"/>
  <c r="G20" i="3"/>
  <c r="G21" i="3"/>
  <c r="G22" i="3"/>
  <c r="G23" i="3"/>
  <c r="G24" i="3"/>
  <c r="G25" i="3"/>
  <c r="G26" i="3"/>
  <c r="G27" i="3"/>
  <c r="G28" i="3"/>
  <c r="G29" i="3"/>
  <c r="G30" i="3"/>
  <c r="G31" i="3"/>
  <c r="G19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F7" i="3"/>
  <c r="M41" i="3" s="1"/>
  <c r="F55" i="3" s="1"/>
  <c r="F8" i="3"/>
  <c r="M47" i="3" s="1"/>
  <c r="G61" i="3" s="1"/>
  <c r="F9" i="3"/>
  <c r="M50" i="3" s="1"/>
  <c r="J64" i="3" s="1"/>
  <c r="F10" i="3"/>
  <c r="M51" i="3" s="1"/>
  <c r="G65" i="3" s="1"/>
  <c r="F11" i="3"/>
  <c r="M42" i="3" s="1"/>
  <c r="F56" i="3" s="1"/>
  <c r="F12" i="3"/>
  <c r="M43" i="3" s="1"/>
  <c r="E57" i="3" s="1"/>
  <c r="F13" i="3"/>
  <c r="M49" i="3" s="1"/>
  <c r="E63" i="3" s="1"/>
  <c r="F14" i="3"/>
  <c r="M44" i="3" s="1"/>
  <c r="D58" i="3" s="1"/>
  <c r="F15" i="3"/>
  <c r="M46" i="3" s="1"/>
  <c r="D60" i="3" s="1"/>
  <c r="F5" i="3"/>
  <c r="M40" i="3" s="1"/>
  <c r="H54" i="3" s="1"/>
  <c r="F6" i="3"/>
  <c r="M45" i="3" s="1"/>
  <c r="I59" i="3" s="1"/>
  <c r="F4" i="3"/>
  <c r="M48" i="3" s="1"/>
  <c r="E62" i="3" s="1"/>
  <c r="F3" i="3"/>
  <c r="M39" i="3" s="1"/>
  <c r="J53" i="3" s="1"/>
  <c r="E4" i="3"/>
  <c r="E5" i="3"/>
  <c r="E6" i="3"/>
  <c r="E7" i="3"/>
  <c r="E8" i="3"/>
  <c r="E9" i="3"/>
  <c r="E10" i="3"/>
  <c r="E11" i="3"/>
  <c r="E12" i="3"/>
  <c r="E13" i="3"/>
  <c r="E14" i="3"/>
  <c r="E15" i="3"/>
  <c r="E3" i="3"/>
  <c r="N12" i="2"/>
  <c r="N13" i="2"/>
  <c r="N14" i="2"/>
  <c r="N15" i="2"/>
  <c r="N16" i="2"/>
  <c r="N17" i="2"/>
  <c r="N18" i="2"/>
  <c r="N19" i="2"/>
  <c r="N20" i="2"/>
  <c r="N21" i="2"/>
  <c r="N22" i="2"/>
  <c r="N23" i="2"/>
  <c r="N11" i="2"/>
  <c r="I76" i="3" l="1"/>
  <c r="K76" i="3" s="1"/>
  <c r="I75" i="3"/>
  <c r="K75" i="3" s="1"/>
  <c r="I72" i="3"/>
  <c r="K72" i="3" s="1"/>
  <c r="I78" i="3"/>
  <c r="K78" i="3" s="1"/>
  <c r="E77" i="3"/>
  <c r="G77" i="3" s="1"/>
  <c r="I77" i="3" s="1"/>
  <c r="K77" i="3" s="1"/>
  <c r="E71" i="3"/>
  <c r="G71" i="3" s="1"/>
  <c r="I71" i="3" s="1"/>
  <c r="K71" i="3" s="1"/>
  <c r="E73" i="3"/>
  <c r="G73" i="3" s="1"/>
  <c r="I73" i="3" s="1"/>
  <c r="K73" i="3" s="1"/>
  <c r="F71" i="3"/>
  <c r="H71" i="3" s="1"/>
  <c r="E59" i="3"/>
  <c r="D59" i="3"/>
  <c r="H62" i="3"/>
  <c r="J57" i="3"/>
  <c r="D57" i="3"/>
  <c r="F61" i="3"/>
  <c r="J58" i="3"/>
  <c r="H58" i="3"/>
  <c r="H57" i="3"/>
  <c r="C57" i="3"/>
  <c r="D61" i="3"/>
  <c r="I60" i="3"/>
  <c r="G62" i="3"/>
  <c r="J56" i="3"/>
  <c r="I56" i="3"/>
  <c r="F74" i="3"/>
  <c r="E61" i="3"/>
  <c r="I58" i="3"/>
  <c r="E56" i="3"/>
  <c r="D56" i="3"/>
  <c r="C56" i="3"/>
  <c r="J60" i="3"/>
  <c r="G58" i="3"/>
  <c r="G54" i="3"/>
  <c r="I64" i="3"/>
  <c r="H64" i="3"/>
  <c r="H60" i="3"/>
  <c r="I57" i="3"/>
  <c r="G64" i="3"/>
  <c r="D63" i="3"/>
  <c r="H59" i="3"/>
  <c r="G57" i="3"/>
  <c r="J62" i="3"/>
  <c r="G59" i="3"/>
  <c r="F57" i="3"/>
  <c r="G60" i="3"/>
  <c r="I62" i="3"/>
  <c r="F59" i="3"/>
  <c r="H75" i="3"/>
  <c r="F54" i="3"/>
  <c r="E54" i="3"/>
  <c r="I53" i="3"/>
  <c r="F73" i="3"/>
  <c r="C65" i="3"/>
  <c r="H55" i="3"/>
  <c r="I65" i="3"/>
  <c r="J63" i="3"/>
  <c r="H53" i="3"/>
  <c r="D62" i="3"/>
  <c r="G53" i="3"/>
  <c r="C61" i="3"/>
  <c r="F65" i="3"/>
  <c r="H63" i="3"/>
  <c r="J61" i="3"/>
  <c r="E60" i="3"/>
  <c r="D55" i="3"/>
  <c r="F53" i="3"/>
  <c r="F72" i="3"/>
  <c r="C54" i="3"/>
  <c r="D54" i="3"/>
  <c r="E64" i="3"/>
  <c r="C63" i="3"/>
  <c r="I63" i="3"/>
  <c r="F60" i="3"/>
  <c r="E55" i="3"/>
  <c r="C60" i="3"/>
  <c r="E65" i="3"/>
  <c r="G63" i="3"/>
  <c r="I61" i="3"/>
  <c r="F58" i="3"/>
  <c r="H56" i="3"/>
  <c r="J54" i="3"/>
  <c r="E53" i="3"/>
  <c r="F77" i="3"/>
  <c r="H77" i="3" s="1"/>
  <c r="J55" i="3"/>
  <c r="I55" i="3"/>
  <c r="D64" i="3"/>
  <c r="C62" i="3"/>
  <c r="C59" i="3"/>
  <c r="D65" i="3"/>
  <c r="F63" i="3"/>
  <c r="H61" i="3"/>
  <c r="J59" i="3"/>
  <c r="E58" i="3"/>
  <c r="G56" i="3"/>
  <c r="I54" i="3"/>
  <c r="D53" i="3"/>
  <c r="F76" i="3"/>
  <c r="H76" i="3" s="1"/>
  <c r="C55" i="3"/>
  <c r="C53" i="3"/>
  <c r="F64" i="3"/>
  <c r="J65" i="3"/>
  <c r="C64" i="3"/>
  <c r="F62" i="3"/>
  <c r="G55" i="3"/>
  <c r="H65" i="3"/>
  <c r="C58" i="3"/>
  <c r="R12" i="1"/>
  <c r="R13" i="1"/>
  <c r="R14" i="1"/>
  <c r="R15" i="1"/>
  <c r="R16" i="1"/>
  <c r="R17" i="1"/>
  <c r="R18" i="1"/>
  <c r="R19" i="1"/>
  <c r="R20" i="1"/>
  <c r="R21" i="1"/>
  <c r="R22" i="1"/>
  <c r="R23" i="1"/>
  <c r="R11" i="1"/>
  <c r="D20" i="3"/>
  <c r="D21" i="3"/>
  <c r="D22" i="3"/>
  <c r="D23" i="3"/>
  <c r="D24" i="3"/>
  <c r="D25" i="3"/>
  <c r="D26" i="3"/>
  <c r="D27" i="3"/>
  <c r="D28" i="3"/>
  <c r="D29" i="3"/>
  <c r="D30" i="3"/>
  <c r="D31" i="3"/>
  <c r="D19" i="3"/>
  <c r="C20" i="3"/>
  <c r="C21" i="3"/>
  <c r="C22" i="3"/>
  <c r="C23" i="3"/>
  <c r="C24" i="3"/>
  <c r="C25" i="3"/>
  <c r="C26" i="3"/>
  <c r="C27" i="3"/>
  <c r="C28" i="3"/>
  <c r="C29" i="3"/>
  <c r="C30" i="3"/>
  <c r="C31" i="3"/>
  <c r="C1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3" i="3"/>
  <c r="O12" i="2"/>
  <c r="O13" i="2"/>
  <c r="O14" i="2"/>
  <c r="O15" i="2"/>
  <c r="O16" i="2"/>
  <c r="O17" i="2"/>
  <c r="O18" i="2"/>
  <c r="O19" i="2"/>
  <c r="O20" i="2"/>
  <c r="O21" i="2"/>
  <c r="O22" i="2"/>
  <c r="O23" i="2"/>
  <c r="O11" i="2"/>
  <c r="H39" i="2"/>
  <c r="C39" i="2"/>
  <c r="D39" i="2" s="1"/>
  <c r="E39" i="2" s="1"/>
  <c r="H38" i="2"/>
  <c r="C38" i="2"/>
  <c r="D38" i="2" s="1"/>
  <c r="E38" i="2" s="1"/>
  <c r="H37" i="2"/>
  <c r="C37" i="2"/>
  <c r="D37" i="2" s="1"/>
  <c r="E37" i="2" s="1"/>
  <c r="H36" i="2"/>
  <c r="C36" i="2"/>
  <c r="D36" i="2" s="1"/>
  <c r="E36" i="2" s="1"/>
  <c r="H35" i="2"/>
  <c r="C35" i="2"/>
  <c r="D35" i="2" s="1"/>
  <c r="E35" i="2" s="1"/>
  <c r="H34" i="2"/>
  <c r="C34" i="2"/>
  <c r="D34" i="2" s="1"/>
  <c r="E34" i="2" s="1"/>
  <c r="H33" i="2"/>
  <c r="C33" i="2"/>
  <c r="D33" i="2" s="1"/>
  <c r="E33" i="2" s="1"/>
  <c r="H32" i="2"/>
  <c r="C32" i="2"/>
  <c r="D32" i="2" s="1"/>
  <c r="E32" i="2" s="1"/>
  <c r="H31" i="2"/>
  <c r="C31" i="2"/>
  <c r="D31" i="2" s="1"/>
  <c r="E31" i="2" s="1"/>
  <c r="H30" i="2"/>
  <c r="C30" i="2"/>
  <c r="D30" i="2" s="1"/>
  <c r="E30" i="2" s="1"/>
  <c r="H29" i="2"/>
  <c r="C29" i="2"/>
  <c r="D29" i="2" s="1"/>
  <c r="E29" i="2" s="1"/>
  <c r="H28" i="2"/>
  <c r="C28" i="2"/>
  <c r="D28" i="2" s="1"/>
  <c r="E28" i="2" s="1"/>
  <c r="H27" i="2"/>
  <c r="C27" i="2"/>
  <c r="D27" i="2" s="1"/>
  <c r="E27" i="2" s="1"/>
  <c r="I12" i="1"/>
  <c r="H28" i="1" s="1"/>
  <c r="I13" i="1"/>
  <c r="H29" i="1" s="1"/>
  <c r="I14" i="1"/>
  <c r="H30" i="1" s="1"/>
  <c r="I15" i="1"/>
  <c r="H31" i="1" s="1"/>
  <c r="I16" i="1"/>
  <c r="H32" i="1" s="1"/>
  <c r="I17" i="1"/>
  <c r="H33" i="1" s="1"/>
  <c r="I18" i="1"/>
  <c r="H34" i="1" s="1"/>
  <c r="I19" i="1"/>
  <c r="H35" i="1" s="1"/>
  <c r="I20" i="1"/>
  <c r="H36" i="1" s="1"/>
  <c r="I21" i="1"/>
  <c r="H37" i="1" s="1"/>
  <c r="I22" i="1"/>
  <c r="H38" i="1" s="1"/>
  <c r="I23" i="1"/>
  <c r="H39" i="1" s="1"/>
  <c r="I11" i="1"/>
  <c r="H27" i="1" s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H18" i="1"/>
  <c r="G18" i="1"/>
  <c r="F18" i="1"/>
  <c r="E18" i="1"/>
  <c r="C18" i="1"/>
  <c r="H17" i="1"/>
  <c r="G17" i="1"/>
  <c r="F17" i="1"/>
  <c r="E17" i="1"/>
  <c r="C17" i="1"/>
  <c r="H21" i="1"/>
  <c r="G21" i="1"/>
  <c r="F21" i="1"/>
  <c r="E21" i="1"/>
  <c r="C21" i="1"/>
  <c r="H12" i="1"/>
  <c r="G12" i="1"/>
  <c r="F12" i="1"/>
  <c r="E12" i="1"/>
  <c r="C12" i="1"/>
  <c r="H16" i="1"/>
  <c r="G16" i="1"/>
  <c r="F16" i="1"/>
  <c r="E16" i="1"/>
  <c r="C16" i="1"/>
  <c r="H23" i="1"/>
  <c r="G23" i="1"/>
  <c r="F23" i="1"/>
  <c r="E23" i="1"/>
  <c r="C23" i="1"/>
  <c r="H14" i="1"/>
  <c r="G14" i="1"/>
  <c r="F14" i="1"/>
  <c r="E14" i="1"/>
  <c r="C14" i="1"/>
  <c r="H22" i="1"/>
  <c r="G22" i="1"/>
  <c r="F22" i="1"/>
  <c r="E22" i="1"/>
  <c r="C22" i="1"/>
  <c r="H20" i="1"/>
  <c r="G20" i="1"/>
  <c r="F20" i="1"/>
  <c r="E20" i="1"/>
  <c r="C20" i="1"/>
  <c r="H19" i="1"/>
  <c r="G19" i="1"/>
  <c r="F19" i="1"/>
  <c r="E19" i="1"/>
  <c r="C19" i="1"/>
  <c r="H15" i="1"/>
  <c r="G15" i="1"/>
  <c r="F15" i="1"/>
  <c r="E15" i="1"/>
  <c r="C15" i="1"/>
  <c r="H13" i="1"/>
  <c r="G13" i="1"/>
  <c r="F13" i="1"/>
  <c r="E13" i="1"/>
  <c r="C13" i="1"/>
  <c r="H11" i="1"/>
  <c r="G11" i="1"/>
  <c r="F11" i="1"/>
  <c r="E11" i="1"/>
  <c r="C11" i="1"/>
  <c r="F29" i="3" l="1"/>
  <c r="H29" i="3" s="1"/>
  <c r="H67" i="3"/>
  <c r="C76" i="3" s="1"/>
  <c r="J76" i="3" s="1"/>
  <c r="L76" i="3" s="1"/>
  <c r="J67" i="3"/>
  <c r="C78" i="3" s="1"/>
  <c r="J78" i="3" s="1"/>
  <c r="L78" i="3" s="1"/>
  <c r="H74" i="3"/>
  <c r="F67" i="3"/>
  <c r="C74" i="3" s="1"/>
  <c r="J74" i="3" s="1"/>
  <c r="L74" i="3" s="1"/>
  <c r="D67" i="3"/>
  <c r="C72" i="3" s="1"/>
  <c r="E67" i="3"/>
  <c r="C73" i="3" s="1"/>
  <c r="G67" i="3"/>
  <c r="C75" i="3" s="1"/>
  <c r="J75" i="3" s="1"/>
  <c r="L75" i="3" s="1"/>
  <c r="C67" i="3"/>
  <c r="C71" i="3" s="1"/>
  <c r="J71" i="3" s="1"/>
  <c r="L71" i="3" s="1"/>
  <c r="I67" i="3"/>
  <c r="C77" i="3" s="1"/>
  <c r="J77" i="3" s="1"/>
  <c r="L77" i="3" s="1"/>
  <c r="H73" i="3"/>
  <c r="H72" i="3"/>
  <c r="F23" i="3"/>
  <c r="H23" i="3" s="1"/>
  <c r="F31" i="3"/>
  <c r="H31" i="3" s="1"/>
  <c r="F28" i="3"/>
  <c r="H28" i="3" s="1"/>
  <c r="F22" i="3"/>
  <c r="H22" i="3" s="1"/>
  <c r="F25" i="3"/>
  <c r="H25" i="3" s="1"/>
  <c r="F21" i="3"/>
  <c r="H21" i="3" s="1"/>
  <c r="F19" i="3"/>
  <c r="H19" i="3" s="1"/>
  <c r="F26" i="3"/>
  <c r="H26" i="3" s="1"/>
  <c r="F20" i="3"/>
  <c r="H20" i="3" s="1"/>
  <c r="F27" i="3"/>
  <c r="H27" i="3" s="1"/>
  <c r="F30" i="3"/>
  <c r="H30" i="3" s="1"/>
  <c r="F24" i="3"/>
  <c r="H24" i="3" s="1"/>
  <c r="F35" i="2"/>
  <c r="I35" i="2" s="1"/>
  <c r="J35" i="2" s="1"/>
  <c r="K35" i="2" s="1"/>
  <c r="L35" i="2" s="1"/>
  <c r="F38" i="2"/>
  <c r="I38" i="2" s="1"/>
  <c r="J38" i="2" s="1"/>
  <c r="K38" i="2" s="1"/>
  <c r="L38" i="2" s="1"/>
  <c r="F39" i="2"/>
  <c r="I39" i="2" s="1"/>
  <c r="J39" i="2" s="1"/>
  <c r="K39" i="2" s="1"/>
  <c r="L39" i="2" s="1"/>
  <c r="F36" i="2"/>
  <c r="I36" i="2" s="1"/>
  <c r="J36" i="2" s="1"/>
  <c r="K36" i="2" s="1"/>
  <c r="L36" i="2" s="1"/>
  <c r="F37" i="2"/>
  <c r="I37" i="2" s="1"/>
  <c r="J37" i="2" s="1"/>
  <c r="K37" i="2" s="1"/>
  <c r="L37" i="2" s="1"/>
  <c r="F28" i="2"/>
  <c r="I28" i="2" s="1"/>
  <c r="J28" i="2" s="1"/>
  <c r="K28" i="2" s="1"/>
  <c r="L28" i="2" s="1"/>
  <c r="F27" i="2"/>
  <c r="I27" i="2" s="1"/>
  <c r="J27" i="2" s="1"/>
  <c r="K27" i="2" s="1"/>
  <c r="L27" i="2" s="1"/>
  <c r="F34" i="2"/>
  <c r="I34" i="2" s="1"/>
  <c r="J34" i="2" s="1"/>
  <c r="K34" i="2" s="1"/>
  <c r="L34" i="2" s="1"/>
  <c r="F32" i="2"/>
  <c r="I32" i="2" s="1"/>
  <c r="J32" i="2" s="1"/>
  <c r="K32" i="2" s="1"/>
  <c r="L32" i="2" s="1"/>
  <c r="F33" i="2"/>
  <c r="I33" i="2" s="1"/>
  <c r="J33" i="2" s="1"/>
  <c r="K33" i="2" s="1"/>
  <c r="L33" i="2" s="1"/>
  <c r="F31" i="2"/>
  <c r="I31" i="2" s="1"/>
  <c r="J31" i="2" s="1"/>
  <c r="K31" i="2" s="1"/>
  <c r="L31" i="2" s="1"/>
  <c r="F30" i="2"/>
  <c r="I30" i="2" s="1"/>
  <c r="J30" i="2" s="1"/>
  <c r="K30" i="2" s="1"/>
  <c r="L30" i="2" s="1"/>
  <c r="F29" i="2"/>
  <c r="I29" i="2" s="1"/>
  <c r="J29" i="2" s="1"/>
  <c r="K29" i="2" s="1"/>
  <c r="L29" i="2" s="1"/>
  <c r="C33" i="1"/>
  <c r="D33" i="1" s="1"/>
  <c r="E33" i="1" s="1"/>
  <c r="C38" i="1"/>
  <c r="D38" i="1" s="1"/>
  <c r="E38" i="1" s="1"/>
  <c r="C30" i="1"/>
  <c r="D30" i="1" s="1"/>
  <c r="E30" i="1" s="1"/>
  <c r="C28" i="1"/>
  <c r="D28" i="1" s="1"/>
  <c r="E28" i="1" s="1"/>
  <c r="C37" i="1"/>
  <c r="D37" i="1" s="1"/>
  <c r="E37" i="1" s="1"/>
  <c r="C32" i="1"/>
  <c r="D32" i="1" s="1"/>
  <c r="E32" i="1" s="1"/>
  <c r="C27" i="1"/>
  <c r="D27" i="1" s="1"/>
  <c r="E27" i="1" s="1"/>
  <c r="C39" i="1"/>
  <c r="D39" i="1" s="1"/>
  <c r="E39" i="1" s="1"/>
  <c r="C29" i="1"/>
  <c r="D29" i="1" s="1"/>
  <c r="E29" i="1" s="1"/>
  <c r="C31" i="1"/>
  <c r="D31" i="1" s="1"/>
  <c r="E31" i="1" s="1"/>
  <c r="C35" i="1"/>
  <c r="D35" i="1" s="1"/>
  <c r="E35" i="1" s="1"/>
  <c r="C36" i="1"/>
  <c r="D36" i="1" s="1"/>
  <c r="E36" i="1" s="1"/>
  <c r="C34" i="1"/>
  <c r="D34" i="1" s="1"/>
  <c r="E34" i="1" s="1"/>
  <c r="J72" i="3" l="1"/>
  <c r="L72" i="3" s="1"/>
  <c r="J73" i="3"/>
  <c r="L73" i="3" s="1"/>
  <c r="F35" i="1"/>
  <c r="I35" i="1" s="1"/>
  <c r="J35" i="1" s="1"/>
  <c r="K35" i="1" s="1"/>
  <c r="L35" i="1" s="1"/>
  <c r="F30" i="1"/>
  <c r="I30" i="1" s="1"/>
  <c r="J30" i="1" s="1"/>
  <c r="K30" i="1" s="1"/>
  <c r="L30" i="1" s="1"/>
  <c r="F29" i="1"/>
  <c r="I29" i="1" s="1"/>
  <c r="J29" i="1" s="1"/>
  <c r="K29" i="1" s="1"/>
  <c r="L29" i="1" s="1"/>
  <c r="F37" i="1"/>
  <c r="I37" i="1" s="1"/>
  <c r="J37" i="1" s="1"/>
  <c r="K37" i="1" s="1"/>
  <c r="L37" i="1" s="1"/>
  <c r="F36" i="1"/>
  <c r="I36" i="1" s="1"/>
  <c r="J36" i="1" s="1"/>
  <c r="K36" i="1" s="1"/>
  <c r="L36" i="1" s="1"/>
  <c r="G36" i="1"/>
  <c r="G37" i="1"/>
  <c r="F31" i="1"/>
  <c r="I31" i="1" s="1"/>
  <c r="J31" i="1" s="1"/>
  <c r="K31" i="1" s="1"/>
  <c r="L31" i="1" s="1"/>
  <c r="F32" i="1"/>
  <c r="I32" i="1" s="1"/>
  <c r="J32" i="1" s="1"/>
  <c r="K32" i="1" s="1"/>
  <c r="L32" i="1" s="1"/>
  <c r="F34" i="1"/>
  <c r="I34" i="1" s="1"/>
  <c r="J34" i="1" s="1"/>
  <c r="K34" i="1" s="1"/>
  <c r="L34" i="1" s="1"/>
  <c r="F33" i="1"/>
  <c r="I33" i="1" s="1"/>
  <c r="J33" i="1" s="1"/>
  <c r="K33" i="1" s="1"/>
  <c r="L33" i="1" s="1"/>
  <c r="F39" i="1"/>
  <c r="I39" i="1" s="1"/>
  <c r="J39" i="1" s="1"/>
  <c r="K39" i="1" s="1"/>
  <c r="L39" i="1" s="1"/>
  <c r="F38" i="1"/>
  <c r="I38" i="1" s="1"/>
  <c r="J38" i="1" s="1"/>
  <c r="K38" i="1" s="1"/>
  <c r="L38" i="1" s="1"/>
  <c r="F28" i="1"/>
  <c r="I28" i="1" s="1"/>
  <c r="J28" i="1" s="1"/>
  <c r="K28" i="1" s="1"/>
  <c r="L28" i="1" s="1"/>
  <c r="F27" i="1"/>
  <c r="I27" i="1" s="1"/>
  <c r="J27" i="1" s="1"/>
  <c r="K27" i="1" s="1"/>
  <c r="L27" i="1" s="1"/>
  <c r="G31" i="2"/>
  <c r="G38" i="2"/>
  <c r="G36" i="2"/>
  <c r="G37" i="2"/>
  <c r="G27" i="2"/>
  <c r="G28" i="2"/>
  <c r="M35" i="2"/>
  <c r="N35" i="2" s="1"/>
  <c r="D51" i="2" s="1"/>
  <c r="M37" i="2"/>
  <c r="N37" i="2" s="1"/>
  <c r="M36" i="2"/>
  <c r="N36" i="2" s="1"/>
  <c r="G29" i="2"/>
  <c r="M39" i="2"/>
  <c r="N39" i="2" s="1"/>
  <c r="D55" i="2" s="1"/>
  <c r="M38" i="2"/>
  <c r="N38" i="2" s="1"/>
  <c r="D54" i="2" s="1"/>
  <c r="G39" i="2"/>
  <c r="G35" i="2"/>
  <c r="G34" i="2"/>
  <c r="M29" i="2"/>
  <c r="N29" i="2" s="1"/>
  <c r="D45" i="2" s="1"/>
  <c r="M34" i="2"/>
  <c r="N34" i="2" s="1"/>
  <c r="D50" i="2" s="1"/>
  <c r="M28" i="2"/>
  <c r="N28" i="2" s="1"/>
  <c r="M33" i="2"/>
  <c r="N33" i="2" s="1"/>
  <c r="D49" i="2" s="1"/>
  <c r="M27" i="2"/>
  <c r="N27" i="2" s="1"/>
  <c r="D43" i="2" s="1"/>
  <c r="M32" i="2"/>
  <c r="N32" i="2" s="1"/>
  <c r="D48" i="2" s="1"/>
  <c r="M31" i="2"/>
  <c r="N31" i="2" s="1"/>
  <c r="M30" i="2"/>
  <c r="N30" i="2" s="1"/>
  <c r="D46" i="2" s="1"/>
  <c r="G33" i="2"/>
  <c r="G30" i="2"/>
  <c r="G32" i="2"/>
  <c r="G29" i="1" l="1"/>
  <c r="G35" i="1"/>
  <c r="O31" i="2"/>
  <c r="E47" i="2" s="1"/>
  <c r="D47" i="2"/>
  <c r="G34" i="1"/>
  <c r="O36" i="2"/>
  <c r="E52" i="2" s="1"/>
  <c r="D52" i="2"/>
  <c r="G32" i="1"/>
  <c r="O37" i="2"/>
  <c r="E53" i="2" s="1"/>
  <c r="D53" i="2"/>
  <c r="O28" i="2"/>
  <c r="E44" i="2" s="1"/>
  <c r="D44" i="2"/>
  <c r="G31" i="1"/>
  <c r="G27" i="1"/>
  <c r="G39" i="1"/>
  <c r="G28" i="1"/>
  <c r="G33" i="1"/>
  <c r="M39" i="1"/>
  <c r="N39" i="1" s="1"/>
  <c r="M38" i="1"/>
  <c r="N38" i="1" s="1"/>
  <c r="M33" i="1"/>
  <c r="N33" i="1" s="1"/>
  <c r="M28" i="1"/>
  <c r="N28" i="1" s="1"/>
  <c r="M29" i="1"/>
  <c r="N29" i="1" s="1"/>
  <c r="O29" i="1" s="1"/>
  <c r="M27" i="1"/>
  <c r="N27" i="1" s="1"/>
  <c r="O27" i="1" s="1"/>
  <c r="M34" i="1"/>
  <c r="N34" i="1" s="1"/>
  <c r="O34" i="1" s="1"/>
  <c r="M32" i="1"/>
  <c r="N32" i="1" s="1"/>
  <c r="M30" i="1"/>
  <c r="N30" i="1" s="1"/>
  <c r="M31" i="1"/>
  <c r="N31" i="1" s="1"/>
  <c r="G38" i="1"/>
  <c r="G30" i="1"/>
  <c r="M36" i="1"/>
  <c r="N36" i="1" s="1"/>
  <c r="O36" i="1" s="1"/>
  <c r="M37" i="1"/>
  <c r="N37" i="1" s="1"/>
  <c r="O37" i="1" s="1"/>
  <c r="M35" i="1"/>
  <c r="N35" i="1" s="1"/>
  <c r="O35" i="1" s="1"/>
  <c r="O38" i="2"/>
  <c r="E54" i="2" s="1"/>
  <c r="O39" i="2"/>
  <c r="E55" i="2" s="1"/>
  <c r="O27" i="2"/>
  <c r="E43" i="2" s="1"/>
  <c r="O29" i="2"/>
  <c r="E45" i="2" s="1"/>
  <c r="O30" i="2"/>
  <c r="E46" i="2" s="1"/>
  <c r="O32" i="2"/>
  <c r="E48" i="2" s="1"/>
  <c r="O33" i="2"/>
  <c r="E49" i="2" s="1"/>
  <c r="O34" i="2"/>
  <c r="E50" i="2" s="1"/>
  <c r="O35" i="2"/>
  <c r="E51" i="2" s="1"/>
  <c r="O31" i="1" l="1"/>
  <c r="O32" i="1"/>
  <c r="O30" i="1"/>
  <c r="O28" i="1"/>
  <c r="O38" i="1"/>
  <c r="O39" i="1"/>
  <c r="O33" i="1"/>
</calcChain>
</file>

<file path=xl/sharedStrings.xml><?xml version="1.0" encoding="utf-8"?>
<sst xmlns="http://schemas.openxmlformats.org/spreadsheetml/2006/main" count="392" uniqueCount="116">
  <si>
    <t>A-B-0</t>
  </si>
  <si>
    <t>A-B</t>
  </si>
  <si>
    <t>A</t>
  </si>
  <si>
    <t>B</t>
  </si>
  <si>
    <t>A-C-0</t>
  </si>
  <si>
    <t>A-C</t>
  </si>
  <si>
    <t>C</t>
  </si>
  <si>
    <t>A-D-0</t>
  </si>
  <si>
    <t>A-D</t>
  </si>
  <si>
    <t>B-C-0</t>
  </si>
  <si>
    <t>B-C</t>
  </si>
  <si>
    <t>B-D-0</t>
  </si>
  <si>
    <t>B-D</t>
  </si>
  <si>
    <t>C-D-0</t>
  </si>
  <si>
    <t>C-D</t>
  </si>
  <si>
    <t>A-C-1</t>
  </si>
  <si>
    <t>C-D-1</t>
  </si>
  <si>
    <t>A-D-1</t>
  </si>
  <si>
    <t>A-B-2</t>
  </si>
  <si>
    <t>B-D-2</t>
  </si>
  <si>
    <t>A-D-2</t>
  </si>
  <si>
    <t>A-D-3</t>
  </si>
  <si>
    <t>OD_LINE</t>
  </si>
  <si>
    <t>OD</t>
  </si>
  <si>
    <t>TRAVEL_TIME</t>
  </si>
  <si>
    <t>PRICE</t>
  </si>
  <si>
    <t>OBS_PROB</t>
  </si>
  <si>
    <t>FREQUENCY</t>
  </si>
  <si>
    <t>EST_PSGNUM</t>
  </si>
  <si>
    <t>OBS_PSGNUM</t>
    <phoneticPr fontId="1" type="noConversion"/>
  </si>
  <si>
    <t>theta</t>
    <phoneticPr fontId="3" type="noConversion"/>
  </si>
  <si>
    <t>beta_f</t>
    <phoneticPr fontId="3" type="noConversion"/>
  </si>
  <si>
    <t>beta_tt</t>
    <phoneticPr fontId="3" type="noConversion"/>
  </si>
  <si>
    <t>beta_price</t>
    <phoneticPr fontId="3" type="noConversion"/>
  </si>
  <si>
    <t>alpha_f</t>
    <phoneticPr fontId="3" type="noConversion"/>
  </si>
  <si>
    <t>U_od_line</t>
    <phoneticPr fontId="1" type="noConversion"/>
  </si>
  <si>
    <t>U_od_line/theta</t>
    <phoneticPr fontId="1" type="noConversion"/>
  </si>
  <si>
    <t>exp(U_od_line/theta)</t>
    <phoneticPr fontId="1" type="noConversion"/>
  </si>
  <si>
    <t>boarding</t>
    <phoneticPr fontId="3" type="noConversion"/>
  </si>
  <si>
    <t>beta_e</t>
    <phoneticPr fontId="3" type="noConversion"/>
  </si>
  <si>
    <t>ECO_FAC</t>
  </si>
  <si>
    <t>U_od</t>
    <phoneticPr fontId="1" type="noConversion"/>
  </si>
  <si>
    <t>sum(exp(U_od_line/theta)</t>
  </si>
  <si>
    <t>ln(sum(exp(U_od_line/theta))</t>
    <phoneticPr fontId="1" type="noConversion"/>
  </si>
  <si>
    <t>theta*ln</t>
    <phoneticPr fontId="1" type="noConversion"/>
  </si>
  <si>
    <t>U_od+theta*ln</t>
    <phoneticPr fontId="1" type="noConversion"/>
  </si>
  <si>
    <t>exp(U_od+theta*ln)</t>
    <phoneticPr fontId="1" type="noConversion"/>
  </si>
  <si>
    <t>sum(exp(U_od+theta*ln))</t>
    <phoneticPr fontId="1" type="noConversion"/>
  </si>
  <si>
    <t>EST_OD_LINE_PROB</t>
    <phoneticPr fontId="1" type="noConversion"/>
  </si>
  <si>
    <t>theta</t>
  </si>
  <si>
    <t>beta_e</t>
  </si>
  <si>
    <t>beta_f</t>
  </si>
  <si>
    <t>beta_tt</t>
  </si>
  <si>
    <t>beta_price</t>
  </si>
  <si>
    <t>alpha_f</t>
  </si>
  <si>
    <t>day 1</t>
    <phoneticPr fontId="1" type="noConversion"/>
  </si>
  <si>
    <t>NL</t>
    <phoneticPr fontId="1" type="noConversion"/>
  </si>
  <si>
    <t>LR</t>
    <phoneticPr fontId="1" type="noConversion"/>
  </si>
  <si>
    <t>day 1 freq</t>
    <phoneticPr fontId="1" type="noConversion"/>
  </si>
  <si>
    <t>day 2 freq</t>
    <phoneticPr fontId="1" type="noConversion"/>
  </si>
  <si>
    <t>alpha_f * 1000</t>
  </si>
  <si>
    <t>EST_OD_FLOW</t>
    <phoneticPr fontId="1" type="noConversion"/>
  </si>
  <si>
    <t>EST_OD_LINE_FLOW</t>
    <phoneticPr fontId="1" type="noConversion"/>
  </si>
  <si>
    <t>0-A-B</t>
  </si>
  <si>
    <t>0-B-C</t>
  </si>
  <si>
    <t>0-C-D</t>
  </si>
  <si>
    <t>1-A-C</t>
  </si>
  <si>
    <t>1-C-D</t>
  </si>
  <si>
    <t>2-A-B</t>
  </si>
  <si>
    <t>2-B-D</t>
  </si>
  <si>
    <t>3-A-D</t>
  </si>
  <si>
    <t>OD_LINE_SECTION</t>
  </si>
  <si>
    <t>EST_COND_PROB</t>
  </si>
  <si>
    <t>Estimated flow loaded on train line segments</t>
  </si>
  <si>
    <t xml:space="preserve">Adjust Frequency </t>
  </si>
  <si>
    <t>FREQ_BEFORE</t>
  </si>
  <si>
    <t>FEQ_DIFF</t>
  </si>
  <si>
    <t>EST_OD_PROB</t>
  </si>
  <si>
    <t>Utitiliy of OD lines</t>
  </si>
  <si>
    <t>Input data and training results</t>
  </si>
  <si>
    <t>Probablity_recalculation</t>
  </si>
  <si>
    <t>Utitiliy of OD</t>
  </si>
  <si>
    <t>Probablity_recalculation( after freq adjustment)</t>
  </si>
  <si>
    <t>Estimated flow calculation (after freq adjustment)</t>
  </si>
  <si>
    <t>FREQUENCY_BEFORE</t>
  </si>
  <si>
    <t>FREQUENCY_AFTER</t>
  </si>
  <si>
    <t>BEFORE_EST_OD_LINE_FLOW</t>
  </si>
  <si>
    <t>AFTER_EST_OD_LINE_FLOW</t>
  </si>
  <si>
    <t>(BEFORE_INDUCED_ADJUSTMENT)</t>
  </si>
  <si>
    <t>EST_BOARDING_FLOW (from the origin station)</t>
  </si>
  <si>
    <t>BEFORE_EST_OD_FLOW</t>
  </si>
  <si>
    <t>AFTER_EST_OD_FLOW</t>
  </si>
  <si>
    <t>OD_LINE_DIVERTED</t>
  </si>
  <si>
    <t>OD_DIVERTED</t>
  </si>
  <si>
    <t xml:space="preserve">Step 2 (Calculate the diverted demand): </t>
  </si>
  <si>
    <t xml:space="preserve">Step 1 (Adjust the service attributes and calculate the adjusted probability): </t>
  </si>
  <si>
    <t xml:space="preserve">Note: because the unit is thousand person </t>
  </si>
  <si>
    <t>OD_INDUCED</t>
  </si>
  <si>
    <t>OD_LINE_INDUCED</t>
  </si>
  <si>
    <t>LINE_SEGMENT</t>
  </si>
  <si>
    <t>EST_TRAIN_LINE_SEG_FLOW</t>
  </si>
  <si>
    <t>TRAIN_LINE</t>
  </si>
  <si>
    <t>AFTER_EST_TRAIN_LINE_SEG_FLOW</t>
  </si>
  <si>
    <t>BEFORE_EST_TRAIN_LINE_SEG_FLOW</t>
  </si>
  <si>
    <t>OBS_TRAIN_LINE_SEG_FLOW</t>
  </si>
  <si>
    <t>BEFORE_CAP (1200)</t>
  </si>
  <si>
    <t>AFTER_CAP (1200)</t>
  </si>
  <si>
    <t>Unachieved demand (before)</t>
  </si>
  <si>
    <t>Unachieved demand (after)</t>
  </si>
  <si>
    <t>BEFORE_EXPOST DEMAND</t>
  </si>
  <si>
    <t>AFTER_EXPOST DEMAND</t>
  </si>
  <si>
    <t>EX-ANTE-DEMAND</t>
  </si>
  <si>
    <t>EX-POST-DEMAND</t>
  </si>
  <si>
    <r>
      <t>Step 3 (Calculate the induced OD demand)</t>
    </r>
    <r>
      <rPr>
        <sz val="16"/>
        <color rgb="FFC00000"/>
        <rFont val="Book Antiqua"/>
        <family val="1"/>
      </rPr>
      <t xml:space="preserve">: </t>
    </r>
  </si>
  <si>
    <r>
      <t>Step 4 (Distribute the induced OD demand onto train lines)</t>
    </r>
    <r>
      <rPr>
        <sz val="16"/>
        <color rgb="FFC00000"/>
        <rFont val="Book Antiqua"/>
        <family val="1"/>
      </rPr>
      <t xml:space="preserve">: </t>
    </r>
  </si>
  <si>
    <r>
      <t>Step 5 (Estimate ex-ante demand and ex-post demand on train line segments)</t>
    </r>
    <r>
      <rPr>
        <sz val="16"/>
        <color rgb="FFC00000"/>
        <rFont val="Book Antiqua"/>
        <family val="1"/>
      </rPr>
      <t xml:space="preserve">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</si>
</sst>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9" formatCode="_ * #,##0_ ;_ * \-#,##0_ ;_ * &quot;-&quot;??_ ;_ @_ "/>
    <numFmt numFmtId="179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2" tint="-0.249977111117893"/>
      <name val="Calibri"/>
      <family val="3"/>
      <charset val="134"/>
      <scheme val="minor"/>
    </font>
    <font>
      <b/>
      <sz val="11"/>
      <color theme="2" tint="-0.249977111117893"/>
      <name val="Calibri"/>
      <family val="3"/>
      <charset val="134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2"/>
      <scheme val="minor"/>
    </font>
    <font>
      <b/>
      <sz val="16"/>
      <color rgb="FFC00000"/>
      <name val="Book Antiqua"/>
      <family val="1"/>
    </font>
    <font>
      <b/>
      <sz val="18"/>
      <color rgb="FFC00000"/>
      <name val="Book Antiqua"/>
      <family val="1"/>
    </font>
    <font>
      <sz val="16"/>
      <color rgb="FFC00000"/>
      <name val="Book Antiqua"/>
      <family val="1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1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4" borderId="1" xfId="0" applyFill="1" applyBorder="1"/>
    <xf numFmtId="0" fontId="0" fillId="2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1" fontId="4" fillId="4" borderId="1" xfId="0" applyNumberFormat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1" fontId="0" fillId="4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8" borderId="1" xfId="0" applyFill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10" fontId="0" fillId="3" borderId="2" xfId="2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10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169" fontId="0" fillId="11" borderId="1" xfId="1" applyNumberFormat="1" applyFont="1" applyFill="1" applyBorder="1" applyAlignment="1">
      <alignment horizontal="center"/>
    </xf>
    <xf numFmtId="169" fontId="0" fillId="3" borderId="1" xfId="1" applyNumberFormat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69" fontId="0" fillId="3" borderId="1" xfId="1" applyNumberFormat="1" applyFont="1" applyFill="1" applyBorder="1" applyAlignment="1">
      <alignment horizontal="center" vertical="center"/>
    </xf>
    <xf numFmtId="169" fontId="0" fillId="9" borderId="1" xfId="1" applyNumberFormat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4" fillId="12" borderId="2" xfId="0" applyFont="1" applyFill="1" applyBorder="1" applyAlignment="1">
      <alignment horizontal="center" vertical="center"/>
    </xf>
    <xf numFmtId="0" fontId="0" fillId="10" borderId="1" xfId="0" applyFill="1" applyBorder="1"/>
    <xf numFmtId="1" fontId="0" fillId="10" borderId="1" xfId="0" applyNumberFormat="1" applyFill="1" applyBorder="1"/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43" fontId="0" fillId="0" borderId="0" xfId="0" applyNumberFormat="1" applyBorder="1"/>
    <xf numFmtId="43" fontId="0" fillId="0" borderId="0" xfId="0" applyNumberFormat="1" applyBorder="1" applyAlignment="1">
      <alignment vertical="center"/>
    </xf>
    <xf numFmtId="179" fontId="0" fillId="1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4" xfId="0" applyBorder="1"/>
    <xf numFmtId="169" fontId="0" fillId="7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9" fillId="13" borderId="1" xfId="0" applyFont="1" applyFill="1" applyBorder="1"/>
    <xf numFmtId="0" fontId="0" fillId="13" borderId="1" xfId="0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79" fontId="9" fillId="5" borderId="1" xfId="0" applyNumberFormat="1" applyFont="1" applyFill="1" applyBorder="1" applyAlignment="1">
      <alignment horizontal="center"/>
    </xf>
    <xf numFmtId="179" fontId="9" fillId="5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9" fontId="0" fillId="0" borderId="2" xfId="1" applyNumberFormat="1" applyFont="1" applyBorder="1" applyAlignment="1"/>
    <xf numFmtId="1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12" fillId="0" borderId="1" xfId="0" applyFont="1" applyBorder="1"/>
    <xf numFmtId="0" fontId="13" fillId="0" borderId="0" xfId="0" applyFont="1"/>
    <xf numFmtId="0" fontId="12" fillId="0" borderId="0" xfId="0" applyFont="1"/>
    <xf numFmtId="10" fontId="0" fillId="12" borderId="1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9" fontId="0" fillId="14" borderId="1" xfId="1" applyNumberFormat="1" applyFont="1" applyFill="1" applyBorder="1" applyAlignment="1">
      <alignment horizontal="center" vertical="center"/>
    </xf>
    <xf numFmtId="169" fontId="9" fillId="5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1</xdr:row>
      <xdr:rowOff>82551</xdr:rowOff>
    </xdr:from>
    <xdr:to>
      <xdr:col>5</xdr:col>
      <xdr:colOff>1162051</xdr:colOff>
      <xdr:row>7</xdr:row>
      <xdr:rowOff>76200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5E651DE3-74E4-94BC-658D-20D52F2DD440}"/>
            </a:ext>
          </a:extLst>
        </xdr:cNvPr>
        <xdr:cNvSpPr/>
      </xdr:nvSpPr>
      <xdr:spPr>
        <a:xfrm>
          <a:off x="4787900" y="263526"/>
          <a:ext cx="2870201" cy="107949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468"/>
            <a:gd name="adj6" fmla="val -3752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Behavior</a:t>
          </a:r>
          <a:r>
            <a:rPr lang="en-US" sz="1100" b="1" baseline="0">
              <a:solidFill>
                <a:sysClr val="windowText" lastClr="000000"/>
              </a:solidFill>
            </a:rPr>
            <a:t> parameters of Nested Logit Model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Theta: nested parameter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beta_e: OD economic connection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beta_f: O</a:t>
          </a:r>
          <a:r>
            <a:rPr lang="en-US" altLang="zh-CN" sz="1100" b="1" baseline="0">
              <a:solidFill>
                <a:sysClr val="windowText" lastClr="000000"/>
              </a:solidFill>
            </a:rPr>
            <a:t>D line frequency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beta_tt: OD line travel time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beta_price: OD line fare price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711200</xdr:colOff>
      <xdr:row>1</xdr:row>
      <xdr:rowOff>82551</xdr:rowOff>
    </xdr:from>
    <xdr:to>
      <xdr:col>5</xdr:col>
      <xdr:colOff>1158876</xdr:colOff>
      <xdr:row>8</xdr:row>
      <xdr:rowOff>101600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F6EAB344-BDC1-43C8-9AFA-ECE3645CF4C4}"/>
            </a:ext>
          </a:extLst>
        </xdr:cNvPr>
        <xdr:cNvSpPr/>
      </xdr:nvSpPr>
      <xdr:spPr>
        <a:xfrm>
          <a:off x="4787900" y="263526"/>
          <a:ext cx="2867026" cy="12858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7505"/>
            <a:gd name="adj6" fmla="val -40182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Behavior</a:t>
          </a:r>
          <a:r>
            <a:rPr lang="en-US" sz="1100" b="1" baseline="0">
              <a:solidFill>
                <a:sysClr val="windowText" lastClr="000000"/>
              </a:solidFill>
            </a:rPr>
            <a:t> parameters of Nested Logit Model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Theta: nested parameter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beta_e: OD economic connection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beta_f: O</a:t>
          </a:r>
          <a:r>
            <a:rPr lang="en-US" altLang="zh-CN" sz="1100" b="1" baseline="0">
              <a:solidFill>
                <a:sysClr val="windowText" lastClr="000000"/>
              </a:solidFill>
            </a:rPr>
            <a:t>D line frequency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beta_tt: OD line travel time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beta_price: OD line fare price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685800</xdr:colOff>
      <xdr:row>1</xdr:row>
      <xdr:rowOff>104775</xdr:rowOff>
    </xdr:from>
    <xdr:to>
      <xdr:col>10</xdr:col>
      <xdr:colOff>787401</xdr:colOff>
      <xdr:row>7</xdr:row>
      <xdr:rowOff>95249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DB46F74C-2928-4B57-888C-7C2BD54886BC}"/>
            </a:ext>
          </a:extLst>
        </xdr:cNvPr>
        <xdr:cNvSpPr/>
      </xdr:nvSpPr>
      <xdr:spPr>
        <a:xfrm>
          <a:off x="10772775" y="285750"/>
          <a:ext cx="2863851" cy="107632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468"/>
            <a:gd name="adj6" fmla="val -37524"/>
          </a:avLst>
        </a:prstGeom>
        <a:solidFill>
          <a:srgbClr val="FFC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Coefficient for Linear</a:t>
          </a:r>
          <a:r>
            <a:rPr lang="en-US" sz="1100" b="1" baseline="0">
              <a:solidFill>
                <a:sysClr val="windowText" lastClr="000000"/>
              </a:solidFill>
            </a:rPr>
            <a:t> regression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alpha_f: coefficient for OD service frequency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685800</xdr:colOff>
      <xdr:row>1</xdr:row>
      <xdr:rowOff>104775</xdr:rowOff>
    </xdr:from>
    <xdr:to>
      <xdr:col>10</xdr:col>
      <xdr:colOff>790576</xdr:colOff>
      <xdr:row>7</xdr:row>
      <xdr:rowOff>98424</xdr:rowOff>
    </xdr:to>
    <xdr:sp macro="" textlink="">
      <xdr:nvSpPr>
        <xdr:cNvPr id="5" name="Callout: Bent Line 4">
          <a:extLst>
            <a:ext uri="{FF2B5EF4-FFF2-40B4-BE49-F238E27FC236}">
              <a16:creationId xmlns:a16="http://schemas.microsoft.com/office/drawing/2014/main" id="{BE76ABD1-6480-40B4-897E-B192AE09ECE5}"/>
            </a:ext>
          </a:extLst>
        </xdr:cNvPr>
        <xdr:cNvSpPr/>
      </xdr:nvSpPr>
      <xdr:spPr>
        <a:xfrm>
          <a:off x="10772775" y="285750"/>
          <a:ext cx="2867026" cy="107949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468"/>
            <a:gd name="adj6" fmla="val -37524"/>
          </a:avLst>
        </a:prstGeom>
        <a:solidFill>
          <a:srgbClr val="FFC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Coefficient for Linear</a:t>
          </a:r>
          <a:r>
            <a:rPr lang="en-US" sz="1100" b="1" baseline="0">
              <a:solidFill>
                <a:sysClr val="windowText" lastClr="000000"/>
              </a:solidFill>
            </a:rPr>
            <a:t> regression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alpha_f: coefficient for OD service frequency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939801</xdr:colOff>
      <xdr:row>1</xdr:row>
      <xdr:rowOff>133350</xdr:rowOff>
    </xdr:from>
    <xdr:to>
      <xdr:col>13</xdr:col>
      <xdr:colOff>66676</xdr:colOff>
      <xdr:row>7</xdr:row>
      <xdr:rowOff>133349</xdr:rowOff>
    </xdr:to>
    <xdr:sp macro="" textlink="">
      <xdr:nvSpPr>
        <xdr:cNvPr id="7" name="Callout: Bent Line 6">
          <a:extLst>
            <a:ext uri="{FF2B5EF4-FFF2-40B4-BE49-F238E27FC236}">
              <a16:creationId xmlns:a16="http://schemas.microsoft.com/office/drawing/2014/main" id="{E9287747-A4A3-4CE1-BE1B-050D608EBA39}"/>
            </a:ext>
          </a:extLst>
        </xdr:cNvPr>
        <xdr:cNvSpPr/>
      </xdr:nvSpPr>
      <xdr:spPr>
        <a:xfrm>
          <a:off x="14732001" y="314325"/>
          <a:ext cx="2012950" cy="108584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5205"/>
            <a:gd name="adj6" fmla="val -58406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Demographic data:</a:t>
          </a:r>
          <a:endParaRPr lang="en-US" sz="1100" b="1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ECO_FAC</a:t>
          </a:r>
          <a:r>
            <a:rPr lang="en-US" sz="1100" b="1" baseline="0">
              <a:solidFill>
                <a:sysClr val="windowText" lastClr="000000"/>
              </a:solidFill>
            </a:rPr>
            <a:t> economic connection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Train line information: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1. FREQUENCY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2. TRAVEL_TIME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3. PRICE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1066800</xdr:colOff>
      <xdr:row>1</xdr:row>
      <xdr:rowOff>139700</xdr:rowOff>
    </xdr:from>
    <xdr:to>
      <xdr:col>17</xdr:col>
      <xdr:colOff>333376</xdr:colOff>
      <xdr:row>7</xdr:row>
      <xdr:rowOff>142874</xdr:rowOff>
    </xdr:to>
    <xdr:sp macro="" textlink="">
      <xdr:nvSpPr>
        <xdr:cNvPr id="8" name="Callout: Bent Line 7">
          <a:extLst>
            <a:ext uri="{FF2B5EF4-FFF2-40B4-BE49-F238E27FC236}">
              <a16:creationId xmlns:a16="http://schemas.microsoft.com/office/drawing/2014/main" id="{4947F705-4F29-4867-81A2-3E58F1CE68B4}"/>
            </a:ext>
          </a:extLst>
        </xdr:cNvPr>
        <xdr:cNvSpPr/>
      </xdr:nvSpPr>
      <xdr:spPr>
        <a:xfrm>
          <a:off x="18573750" y="320675"/>
          <a:ext cx="2867026" cy="108902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6969"/>
            <a:gd name="adj6" fmla="val -49816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Observed</a:t>
          </a:r>
          <a:r>
            <a:rPr lang="en-US" sz="1100" b="1" baseline="0">
              <a:solidFill>
                <a:sysClr val="windowText" lastClr="000000"/>
              </a:solidFill>
            </a:rPr>
            <a:t> passenger numbers and probability from ticket sale data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495300</xdr:colOff>
      <xdr:row>2</xdr:row>
      <xdr:rowOff>19050</xdr:rowOff>
    </xdr:from>
    <xdr:to>
      <xdr:col>23</xdr:col>
      <xdr:colOff>180976</xdr:colOff>
      <xdr:row>8</xdr:row>
      <xdr:rowOff>22224</xdr:rowOff>
    </xdr:to>
    <xdr:sp macro="" textlink="">
      <xdr:nvSpPr>
        <xdr:cNvPr id="9" name="Callout: Bent Line 8">
          <a:extLst>
            <a:ext uri="{FF2B5EF4-FFF2-40B4-BE49-F238E27FC236}">
              <a16:creationId xmlns:a16="http://schemas.microsoft.com/office/drawing/2014/main" id="{BC0A1C1E-0528-4052-97C5-5E237AF4DD27}"/>
            </a:ext>
          </a:extLst>
        </xdr:cNvPr>
        <xdr:cNvSpPr/>
      </xdr:nvSpPr>
      <xdr:spPr>
        <a:xfrm>
          <a:off x="22536150" y="381000"/>
          <a:ext cx="2867026" cy="108902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6969"/>
            <a:gd name="adj6" fmla="val -49816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Estimated OD line and OD flow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Estimated</a:t>
          </a:r>
          <a:r>
            <a:rPr lang="en-US" sz="1100" b="1" baseline="0">
              <a:solidFill>
                <a:sysClr val="windowText" lastClr="000000"/>
              </a:solidFill>
            </a:rPr>
            <a:t> probablity to select train line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and condition probaility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616324</xdr:colOff>
      <xdr:row>54</xdr:row>
      <xdr:rowOff>39968</xdr:rowOff>
    </xdr:from>
    <xdr:to>
      <xdr:col>4</xdr:col>
      <xdr:colOff>603065</xdr:colOff>
      <xdr:row>60</xdr:row>
      <xdr:rowOff>36793</xdr:rowOff>
    </xdr:to>
    <xdr:sp macro="" textlink="">
      <xdr:nvSpPr>
        <xdr:cNvPr id="11" name="Callout: Bent Line 10">
          <a:extLst>
            <a:ext uri="{FF2B5EF4-FFF2-40B4-BE49-F238E27FC236}">
              <a16:creationId xmlns:a16="http://schemas.microsoft.com/office/drawing/2014/main" id="{599A6021-9C68-486A-B58C-DB081A75888C}"/>
            </a:ext>
          </a:extLst>
        </xdr:cNvPr>
        <xdr:cNvSpPr/>
      </xdr:nvSpPr>
      <xdr:spPr>
        <a:xfrm>
          <a:off x="5031442" y="9878733"/>
          <a:ext cx="2844241" cy="107258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1404"/>
            <a:gd name="adj6" fmla="val -47061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Estimated/observed train line segment flow</a:t>
          </a:r>
        </a:p>
      </xdr:txBody>
    </xdr:sp>
    <xdr:clientData/>
  </xdr:twoCellAnchor>
  <xdr:twoCellAnchor>
    <xdr:from>
      <xdr:col>4</xdr:col>
      <xdr:colOff>403411</xdr:colOff>
      <xdr:row>46</xdr:row>
      <xdr:rowOff>84792</xdr:rowOff>
    </xdr:from>
    <xdr:to>
      <xdr:col>6</xdr:col>
      <xdr:colOff>202827</xdr:colOff>
      <xdr:row>52</xdr:row>
      <xdr:rowOff>81617</xdr:rowOff>
    </xdr:to>
    <xdr:sp macro="" textlink="">
      <xdr:nvSpPr>
        <xdr:cNvPr id="12" name="Callout: Bent Line 11">
          <a:extLst>
            <a:ext uri="{FF2B5EF4-FFF2-40B4-BE49-F238E27FC236}">
              <a16:creationId xmlns:a16="http://schemas.microsoft.com/office/drawing/2014/main" id="{F5A95808-D2A2-47D6-8399-51D4F6E1714D}"/>
            </a:ext>
          </a:extLst>
        </xdr:cNvPr>
        <xdr:cNvSpPr/>
      </xdr:nvSpPr>
      <xdr:spPr>
        <a:xfrm>
          <a:off x="7676029" y="8489204"/>
          <a:ext cx="2847416" cy="107258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1404"/>
            <a:gd name="adj6" fmla="val -47061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Observed train line segment flow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47625</xdr:rowOff>
    </xdr:from>
    <xdr:to>
      <xdr:col>7</xdr:col>
      <xdr:colOff>111126</xdr:colOff>
      <xdr:row>7</xdr:row>
      <xdr:rowOff>66674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EF578C2F-4AC0-4C92-AFA7-8F478D915629}"/>
            </a:ext>
          </a:extLst>
        </xdr:cNvPr>
        <xdr:cNvSpPr/>
      </xdr:nvSpPr>
      <xdr:spPr>
        <a:xfrm>
          <a:off x="3140075" y="47625"/>
          <a:ext cx="2867026" cy="12858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0838"/>
            <a:gd name="adj6" fmla="val -6295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Behavior</a:t>
          </a:r>
          <a:r>
            <a:rPr lang="en-US" sz="1100" b="1" baseline="0">
              <a:solidFill>
                <a:sysClr val="windowText" lastClr="000000"/>
              </a:solidFill>
            </a:rPr>
            <a:t> parameters of Nested Logit Model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Theta: nested parameter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beta_e: OD economic connection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beta_f: O</a:t>
          </a:r>
          <a:r>
            <a:rPr lang="en-US" altLang="zh-CN" sz="1100" b="1" baseline="0">
              <a:solidFill>
                <a:sysClr val="windowText" lastClr="000000"/>
              </a:solidFill>
            </a:rPr>
            <a:t>D line frequency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beta_tt: OD line travel time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beta_price: OD line fare price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28575</xdr:rowOff>
    </xdr:from>
    <xdr:to>
      <xdr:col>13</xdr:col>
      <xdr:colOff>511176</xdr:colOff>
      <xdr:row>6</xdr:row>
      <xdr:rowOff>28574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C5B9B298-61C2-4D3A-8167-9C5D5C6D11D2}"/>
            </a:ext>
          </a:extLst>
        </xdr:cNvPr>
        <xdr:cNvSpPr/>
      </xdr:nvSpPr>
      <xdr:spPr>
        <a:xfrm>
          <a:off x="7305675" y="28575"/>
          <a:ext cx="2863851" cy="108584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468"/>
            <a:gd name="adj6" fmla="val -37524"/>
          </a:avLst>
        </a:prstGeom>
        <a:solidFill>
          <a:srgbClr val="FFC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Coefficient for Linear</a:t>
          </a:r>
          <a:r>
            <a:rPr lang="en-US" sz="1100" b="1" baseline="0">
              <a:solidFill>
                <a:sysClr val="windowText" lastClr="000000"/>
              </a:solidFill>
            </a:rPr>
            <a:t> regression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alpha_f: coefficient for OD service frequency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577850</xdr:colOff>
      <xdr:row>1</xdr:row>
      <xdr:rowOff>19050</xdr:rowOff>
    </xdr:from>
    <xdr:to>
      <xdr:col>18</xdr:col>
      <xdr:colOff>149225</xdr:colOff>
      <xdr:row>7</xdr:row>
      <xdr:rowOff>22224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E2493647-89E1-4672-AED9-216B44DCC88A}"/>
            </a:ext>
          </a:extLst>
        </xdr:cNvPr>
        <xdr:cNvSpPr/>
      </xdr:nvSpPr>
      <xdr:spPr>
        <a:xfrm>
          <a:off x="10845800" y="200025"/>
          <a:ext cx="2009775" cy="108902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7945"/>
            <a:gd name="adj6" fmla="val -85894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Demographic data:</a:t>
          </a:r>
          <a:endParaRPr lang="en-US" sz="1100" b="1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ECO_FAC</a:t>
          </a:r>
          <a:r>
            <a:rPr lang="en-US" sz="1100" b="1" baseline="0">
              <a:solidFill>
                <a:sysClr val="windowText" lastClr="000000"/>
              </a:solidFill>
            </a:rPr>
            <a:t> economic connection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Train line information: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1. FREQUENCY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2. TRAVEL_TIME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3. PRICE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5</xdr:col>
      <xdr:colOff>431240</xdr:colOff>
      <xdr:row>65</xdr:row>
      <xdr:rowOff>174064</xdr:rowOff>
    </xdr:to>
    <xdr:sp macro="" textlink="">
      <xdr:nvSpPr>
        <xdr:cNvPr id="5" name="Callout: Bent Line 4">
          <a:extLst>
            <a:ext uri="{FF2B5EF4-FFF2-40B4-BE49-F238E27FC236}">
              <a16:creationId xmlns:a16="http://schemas.microsoft.com/office/drawing/2014/main" id="{AE012EF0-5FC0-4FF4-8477-9F3BFC0FEC41}"/>
            </a:ext>
          </a:extLst>
        </xdr:cNvPr>
        <xdr:cNvSpPr/>
      </xdr:nvSpPr>
      <xdr:spPr>
        <a:xfrm>
          <a:off x="6848475" y="10858500"/>
          <a:ext cx="2850590" cy="107893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0781"/>
            <a:gd name="adj6" fmla="val -60509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Estimated Boarding flow before the origin</a:t>
          </a:r>
          <a:r>
            <a:rPr lang="en-US" sz="1100" b="1" baseline="0">
              <a:solidFill>
                <a:sysClr val="windowText" lastClr="000000"/>
              </a:solidFill>
            </a:rPr>
            <a:t> stations (obtained from the estimated results)</a:t>
          </a:r>
        </a:p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257175</xdr:colOff>
      <xdr:row>52</xdr:row>
      <xdr:rowOff>57150</xdr:rowOff>
    </xdr:from>
    <xdr:to>
      <xdr:col>8</xdr:col>
      <xdr:colOff>1183715</xdr:colOff>
      <xdr:row>58</xdr:row>
      <xdr:rowOff>47064</xdr:rowOff>
    </xdr:to>
    <xdr:sp macro="" textlink="">
      <xdr:nvSpPr>
        <xdr:cNvPr id="6" name="Callout: Bent Line 5">
          <a:extLst>
            <a:ext uri="{FF2B5EF4-FFF2-40B4-BE49-F238E27FC236}">
              <a16:creationId xmlns:a16="http://schemas.microsoft.com/office/drawing/2014/main" id="{D16E8ADA-07BD-4948-A575-F4F5AAEFC460}"/>
            </a:ext>
          </a:extLst>
        </xdr:cNvPr>
        <xdr:cNvSpPr/>
      </xdr:nvSpPr>
      <xdr:spPr>
        <a:xfrm>
          <a:off x="11201400" y="9467850"/>
          <a:ext cx="2850590" cy="107576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0781"/>
            <a:gd name="adj6" fmla="val -60509"/>
          </a:avLst>
        </a:prstGeom>
        <a:solidFill>
          <a:schemeClr val="bg2">
            <a:lumMod val="9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Adjusted</a:t>
          </a:r>
          <a:r>
            <a:rPr lang="en-US" sz="1100" b="1" baseline="0">
              <a:solidFill>
                <a:sysClr val="windowText" lastClr="000000"/>
              </a:solidFill>
            </a:rPr>
            <a:t> OD and OD line flow after frequency change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530225</xdr:colOff>
      <xdr:row>43</xdr:row>
      <xdr:rowOff>171450</xdr:rowOff>
    </xdr:from>
    <xdr:to>
      <xdr:col>14</xdr:col>
      <xdr:colOff>856690</xdr:colOff>
      <xdr:row>49</xdr:row>
      <xdr:rowOff>164539</xdr:rowOff>
    </xdr:to>
    <xdr:sp macro="" textlink="">
      <xdr:nvSpPr>
        <xdr:cNvPr id="7" name="Callout: Bent Line 6">
          <a:extLst>
            <a:ext uri="{FF2B5EF4-FFF2-40B4-BE49-F238E27FC236}">
              <a16:creationId xmlns:a16="http://schemas.microsoft.com/office/drawing/2014/main" id="{E31E043D-7D5B-48A2-8B7B-60E421C8D044}"/>
            </a:ext>
          </a:extLst>
        </xdr:cNvPr>
        <xdr:cNvSpPr/>
      </xdr:nvSpPr>
      <xdr:spPr>
        <a:xfrm>
          <a:off x="18370550" y="7953375"/>
          <a:ext cx="2860115" cy="107893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2547"/>
            <a:gd name="adj6" fmla="val 43396"/>
          </a:avLst>
        </a:prstGeom>
        <a:solidFill>
          <a:schemeClr val="bg2">
            <a:lumMod val="9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Adjusted</a:t>
          </a:r>
          <a:r>
            <a:rPr lang="en-US" sz="1100" b="1" baseline="0">
              <a:solidFill>
                <a:sysClr val="windowText" lastClr="000000"/>
              </a:solidFill>
            </a:rPr>
            <a:t> OD and OD line probablity after frequency change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615950</xdr:colOff>
      <xdr:row>44</xdr:row>
      <xdr:rowOff>19050</xdr:rowOff>
    </xdr:from>
    <xdr:to>
      <xdr:col>10</xdr:col>
      <xdr:colOff>713815</xdr:colOff>
      <xdr:row>50</xdr:row>
      <xdr:rowOff>12139</xdr:rowOff>
    </xdr:to>
    <xdr:sp macro="" textlink="">
      <xdr:nvSpPr>
        <xdr:cNvPr id="8" name="Callout: Bent Line 7">
          <a:extLst>
            <a:ext uri="{FF2B5EF4-FFF2-40B4-BE49-F238E27FC236}">
              <a16:creationId xmlns:a16="http://schemas.microsoft.com/office/drawing/2014/main" id="{519A4B41-D319-4872-A930-49B4235430DD}"/>
            </a:ext>
          </a:extLst>
        </xdr:cNvPr>
        <xdr:cNvSpPr/>
      </xdr:nvSpPr>
      <xdr:spPr>
        <a:xfrm>
          <a:off x="13484225" y="7981950"/>
          <a:ext cx="2860115" cy="107893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0781"/>
            <a:gd name="adj6" fmla="val -60509"/>
          </a:avLst>
        </a:prstGeom>
        <a:solidFill>
          <a:schemeClr val="bg2">
            <a:lumMod val="9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Adjusted</a:t>
          </a:r>
          <a:r>
            <a:rPr lang="en-US" sz="1100" b="1" baseline="0">
              <a:solidFill>
                <a:sysClr val="windowText" lastClr="000000"/>
              </a:solidFill>
            </a:rPr>
            <a:t> conditional probablity after frequency change 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5174962</xdr:colOff>
      <xdr:row>32</xdr:row>
      <xdr:rowOff>17319</xdr:rowOff>
    </xdr:from>
    <xdr:to>
      <xdr:col>9</xdr:col>
      <xdr:colOff>502227</xdr:colOff>
      <xdr:row>35</xdr:row>
      <xdr:rowOff>17318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4940AD04-3B01-4FD9-08AA-ABB64B125AE5}"/>
            </a:ext>
          </a:extLst>
        </xdr:cNvPr>
        <xdr:cNvSpPr/>
      </xdr:nvSpPr>
      <xdr:spPr>
        <a:xfrm>
          <a:off x="19687598" y="5766955"/>
          <a:ext cx="4696402" cy="519545"/>
        </a:xfrm>
        <a:prstGeom prst="borderCallout2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OD</a:t>
          </a:r>
          <a:r>
            <a:rPr lang="en-US" sz="1600" b="1" baseline="0">
              <a:solidFill>
                <a:sysClr val="windowText" lastClr="000000"/>
              </a:solidFill>
            </a:rPr>
            <a:t> line to OD line segment  incidence matrix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A50"/>
  <sheetViews>
    <sheetView topLeftCell="A21" zoomScale="85" zoomScaleNormal="85" workbookViewId="0">
      <selection activeCell="I52" sqref="I52"/>
    </sheetView>
  </sheetViews>
  <sheetFormatPr defaultRowHeight="14.5"/>
  <cols>
    <col min="1" max="1" width="37.90625" bestFit="1" customWidth="1"/>
    <col min="2" max="2" width="25.36328125" bestFit="1" customWidth="1"/>
    <col min="3" max="3" width="25.7265625" bestFit="1" customWidth="1"/>
    <col min="4" max="4" width="15" bestFit="1" customWidth="1"/>
    <col min="5" max="5" width="19.6328125" bestFit="1" customWidth="1"/>
    <col min="6" max="6" width="24" bestFit="1" customWidth="1"/>
    <col min="7" max="7" width="15.54296875" bestFit="1" customWidth="1"/>
    <col min="8" max="8" width="11.81640625" bestFit="1" customWidth="1"/>
    <col min="9" max="9" width="27.08984375" bestFit="1" customWidth="1"/>
    <col min="10" max="10" width="12.453125" bestFit="1" customWidth="1"/>
    <col min="11" max="11" width="13.453125" bestFit="1" customWidth="1"/>
    <col min="12" max="12" width="18.08984375" bestFit="1" customWidth="1"/>
    <col min="13" max="13" width="23.1796875" bestFit="1" customWidth="1"/>
    <col min="14" max="14" width="11.81640625" bestFit="1" customWidth="1"/>
    <col min="15" max="15" width="18.08984375" bestFit="1" customWidth="1"/>
    <col min="16" max="16" width="17.81640625" bestFit="1" customWidth="1"/>
    <col min="17" max="17" width="15.54296875" bestFit="1" customWidth="1"/>
    <col min="18" max="18" width="13.36328125" bestFit="1" customWidth="1"/>
    <col min="21" max="21" width="9.08984375" bestFit="1" customWidth="1"/>
    <col min="22" max="22" width="9" customWidth="1"/>
    <col min="23" max="24" width="9.90625" bestFit="1" customWidth="1"/>
    <col min="25" max="25" width="9.08984375" bestFit="1" customWidth="1"/>
    <col min="26" max="26" width="9.08984375" customWidth="1"/>
  </cols>
  <sheetData>
    <row r="9" spans="1:27" ht="26.5" customHeight="1">
      <c r="A9" s="3" t="s">
        <v>79</v>
      </c>
      <c r="T9" s="4"/>
      <c r="U9" s="4"/>
      <c r="V9" s="4"/>
      <c r="W9" s="4"/>
      <c r="X9" s="4"/>
      <c r="Y9" s="4"/>
      <c r="Z9" s="4"/>
    </row>
    <row r="10" spans="1:27" s="2" customFormat="1">
      <c r="A10" s="17" t="s">
        <v>22</v>
      </c>
      <c r="B10" s="17" t="s">
        <v>23</v>
      </c>
      <c r="C10" s="20" t="s">
        <v>30</v>
      </c>
      <c r="D10" s="20" t="s">
        <v>39</v>
      </c>
      <c r="E10" s="21" t="s">
        <v>31</v>
      </c>
      <c r="F10" s="20" t="s">
        <v>32</v>
      </c>
      <c r="G10" s="20" t="s">
        <v>33</v>
      </c>
      <c r="H10" s="25" t="s">
        <v>34</v>
      </c>
      <c r="I10" s="27" t="s">
        <v>40</v>
      </c>
      <c r="J10" s="27" t="s">
        <v>27</v>
      </c>
      <c r="K10" s="27" t="s">
        <v>24</v>
      </c>
      <c r="L10" s="27" t="s">
        <v>25</v>
      </c>
      <c r="M10" s="29" t="s">
        <v>29</v>
      </c>
      <c r="N10" s="29" t="s">
        <v>26</v>
      </c>
      <c r="O10" s="31" t="s">
        <v>62</v>
      </c>
      <c r="P10" s="31" t="s">
        <v>48</v>
      </c>
      <c r="Q10" s="31" t="s">
        <v>72</v>
      </c>
      <c r="R10" s="31" t="s">
        <v>61</v>
      </c>
      <c r="T10" s="5"/>
      <c r="U10" s="5" t="s">
        <v>30</v>
      </c>
      <c r="V10" s="6" t="s">
        <v>31</v>
      </c>
      <c r="W10" s="5" t="s">
        <v>32</v>
      </c>
      <c r="X10" s="5" t="s">
        <v>33</v>
      </c>
      <c r="Y10" s="5" t="s">
        <v>34</v>
      </c>
      <c r="Z10" s="8" t="s">
        <v>40</v>
      </c>
      <c r="AA10" s="8" t="s">
        <v>28</v>
      </c>
    </row>
    <row r="11" spans="1:27" s="1" customFormat="1">
      <c r="A11" s="18" t="s">
        <v>0</v>
      </c>
      <c r="B11" s="18" t="s">
        <v>1</v>
      </c>
      <c r="C11" s="22">
        <f t="shared" ref="C11:C23" si="0">VLOOKUP($B11,$T$10:$Y$16,2,0)</f>
        <v>0.13735296943758099</v>
      </c>
      <c r="D11" s="23">
        <v>2.7722386288026101E-7</v>
      </c>
      <c r="E11" s="22">
        <f t="shared" ref="E11:E23" si="1">VLOOKUP($B11,$T$10:$Y$16,3,0)</f>
        <v>1.93194926442876E-2</v>
      </c>
      <c r="F11" s="22">
        <f t="shared" ref="F11:F23" si="2">VLOOKUP($B11,$T$10:$Y$16,4,0)</f>
        <v>-4.44711096124372E-2</v>
      </c>
      <c r="G11" s="22">
        <f t="shared" ref="G11:G23" si="3">VLOOKUP($B11,$T$10:$Y$16,5,0)</f>
        <v>-4.4471161463421997E-2</v>
      </c>
      <c r="H11" s="26">
        <f t="shared" ref="H11:H23" si="4">VLOOKUP($B11,$T$10:$Y$16,6,0)</f>
        <v>0.88101576122179104</v>
      </c>
      <c r="I11" s="28">
        <f>VLOOKUP($B11,$T$10:$Z$16,7,0)</f>
        <v>201</v>
      </c>
      <c r="J11" s="28">
        <v>4</v>
      </c>
      <c r="K11" s="28">
        <v>1</v>
      </c>
      <c r="L11" s="28">
        <v>50</v>
      </c>
      <c r="M11" s="30">
        <v>3602</v>
      </c>
      <c r="N11" s="30">
        <v>0.32017777777777701</v>
      </c>
      <c r="O11" s="32">
        <v>3221.3371030796402</v>
      </c>
      <c r="P11" s="34">
        <v>0.29169430180428901</v>
      </c>
      <c r="Q11" s="35">
        <f>P11/SUM(P11:P12)</f>
        <v>0.5351060922074552</v>
      </c>
      <c r="R11" s="32">
        <f>VLOOKUP(B11,$T$10:$AA$16,8,0)</f>
        <v>6019.9970622475403</v>
      </c>
      <c r="T11" s="7" t="s">
        <v>1</v>
      </c>
      <c r="U11" s="5">
        <v>0.13735296943758099</v>
      </c>
      <c r="V11" s="5">
        <v>1.93194926442876E-2</v>
      </c>
      <c r="W11" s="5">
        <v>-4.44711096124372E-2</v>
      </c>
      <c r="X11" s="5">
        <v>-4.4471161463421997E-2</v>
      </c>
      <c r="Y11" s="5">
        <v>0.88101576122179104</v>
      </c>
      <c r="Z11" s="5">
        <v>201</v>
      </c>
      <c r="AA11" s="5">
        <v>6019.9970622475403</v>
      </c>
    </row>
    <row r="12" spans="1:27" s="1" customFormat="1">
      <c r="A12" s="18" t="s">
        <v>18</v>
      </c>
      <c r="B12" s="18" t="s">
        <v>1</v>
      </c>
      <c r="C12" s="22">
        <f t="shared" si="0"/>
        <v>0.13735296943758099</v>
      </c>
      <c r="D12" s="23">
        <v>2.7722386288026101E-7</v>
      </c>
      <c r="E12" s="22">
        <f t="shared" si="1"/>
        <v>1.93194926442876E-2</v>
      </c>
      <c r="F12" s="22">
        <f t="shared" si="2"/>
        <v>-4.44711096124372E-2</v>
      </c>
      <c r="G12" s="22">
        <f t="shared" si="3"/>
        <v>-4.4471161463421997E-2</v>
      </c>
      <c r="H12" s="26">
        <f t="shared" si="4"/>
        <v>0.88101576122179104</v>
      </c>
      <c r="I12" s="28">
        <f t="shared" ref="I12:I23" si="5">VLOOKUP($B12,$T$10:$Z$16,7,0)</f>
        <v>201</v>
      </c>
      <c r="J12" s="28">
        <v>3</v>
      </c>
      <c r="K12" s="28">
        <v>1</v>
      </c>
      <c r="L12" s="28">
        <v>50</v>
      </c>
      <c r="M12" s="30">
        <v>2608</v>
      </c>
      <c r="N12" s="30">
        <v>0.23182222222222201</v>
      </c>
      <c r="O12" s="32">
        <v>2798.6599591679001</v>
      </c>
      <c r="P12" s="34">
        <v>0.25342059419880503</v>
      </c>
      <c r="Q12" s="35">
        <f>P12/SUM(P11:P12)</f>
        <v>0.46489390779254475</v>
      </c>
      <c r="R12" s="32">
        <f t="shared" ref="R12:R23" si="6">VLOOKUP(B12,$T$10:$AA$16,8,0)</f>
        <v>6019.9970622475403</v>
      </c>
      <c r="T12" s="7" t="s">
        <v>5</v>
      </c>
      <c r="U12" s="5">
        <v>9.4779713519253697E-2</v>
      </c>
      <c r="V12" s="6">
        <v>9.9999999999999998E-17</v>
      </c>
      <c r="W12" s="5">
        <v>-0.86005723490858599</v>
      </c>
      <c r="X12" s="5">
        <v>-1.49578729527095E-2</v>
      </c>
      <c r="Y12" s="5">
        <v>0.34650503885586798</v>
      </c>
      <c r="Z12" s="5">
        <v>89</v>
      </c>
      <c r="AA12" s="5">
        <v>2057.4262358262299</v>
      </c>
    </row>
    <row r="13" spans="1:27" s="1" customFormat="1">
      <c r="A13" s="18" t="s">
        <v>4</v>
      </c>
      <c r="B13" s="18" t="s">
        <v>5</v>
      </c>
      <c r="C13" s="22">
        <f t="shared" si="0"/>
        <v>9.4779713519253697E-2</v>
      </c>
      <c r="D13" s="23">
        <v>2.7722386288026101E-7</v>
      </c>
      <c r="E13" s="22">
        <f t="shared" si="1"/>
        <v>9.9999999999999998E-17</v>
      </c>
      <c r="F13" s="22">
        <f t="shared" si="2"/>
        <v>-0.86005723490858599</v>
      </c>
      <c r="G13" s="22">
        <f t="shared" si="3"/>
        <v>-1.49578729527095E-2</v>
      </c>
      <c r="H13" s="26">
        <f t="shared" si="4"/>
        <v>0.34650503885586798</v>
      </c>
      <c r="I13" s="28">
        <f t="shared" si="5"/>
        <v>89</v>
      </c>
      <c r="J13" s="28">
        <v>4</v>
      </c>
      <c r="K13" s="28">
        <v>2.08</v>
      </c>
      <c r="L13" s="28">
        <v>100</v>
      </c>
      <c r="M13" s="30">
        <v>426</v>
      </c>
      <c r="N13" s="30">
        <v>3.7866666666666597E-2</v>
      </c>
      <c r="O13" s="32">
        <v>670.89758131280701</v>
      </c>
      <c r="P13" s="34">
        <v>6.0750239823127099E-2</v>
      </c>
      <c r="Q13" s="35">
        <f>P13/SUM(P13:P14)</f>
        <v>0.32608584921800798</v>
      </c>
      <c r="R13" s="32">
        <f t="shared" si="6"/>
        <v>2057.4262358262299</v>
      </c>
      <c r="T13" s="7" t="s">
        <v>8</v>
      </c>
      <c r="U13" s="5">
        <v>5.2863192859300398E-2</v>
      </c>
      <c r="V13" s="5">
        <v>6.9858980438781398E-3</v>
      </c>
      <c r="W13" s="5">
        <v>-0.62634766227665295</v>
      </c>
      <c r="X13" s="5">
        <v>-6.5624478413634597E-3</v>
      </c>
      <c r="Y13" s="5">
        <v>0.269250805303616</v>
      </c>
      <c r="Z13" s="5">
        <v>97</v>
      </c>
      <c r="AA13" s="5">
        <v>2966.1146906832901</v>
      </c>
    </row>
    <row r="14" spans="1:27" s="1" customFormat="1">
      <c r="A14" s="18" t="s">
        <v>15</v>
      </c>
      <c r="B14" s="18" t="s">
        <v>5</v>
      </c>
      <c r="C14" s="22">
        <f t="shared" si="0"/>
        <v>9.4779713519253697E-2</v>
      </c>
      <c r="D14" s="23">
        <v>2.7722386288026101E-7</v>
      </c>
      <c r="E14" s="22">
        <f t="shared" si="1"/>
        <v>9.9999999999999998E-17</v>
      </c>
      <c r="F14" s="22">
        <f t="shared" si="2"/>
        <v>-0.86005723490858599</v>
      </c>
      <c r="G14" s="22">
        <f t="shared" si="3"/>
        <v>-1.49578729527095E-2</v>
      </c>
      <c r="H14" s="26">
        <f t="shared" si="4"/>
        <v>0.34650503885586798</v>
      </c>
      <c r="I14" s="28">
        <f t="shared" si="5"/>
        <v>89</v>
      </c>
      <c r="J14" s="28">
        <v>2</v>
      </c>
      <c r="K14" s="28">
        <v>2</v>
      </c>
      <c r="L14" s="28">
        <v>100</v>
      </c>
      <c r="M14" s="30">
        <v>1653</v>
      </c>
      <c r="N14" s="30">
        <v>0.146933333333333</v>
      </c>
      <c r="O14" s="32">
        <v>1386.52865451342</v>
      </c>
      <c r="P14" s="34">
        <v>0.12555112826387599</v>
      </c>
      <c r="Q14" s="35">
        <f>P14/SUM(P13:P14)</f>
        <v>0.67391415078199202</v>
      </c>
      <c r="R14" s="32">
        <f t="shared" si="6"/>
        <v>2057.4262358262299</v>
      </c>
      <c r="T14" s="7" t="s">
        <v>10</v>
      </c>
      <c r="U14" s="5">
        <v>1</v>
      </c>
      <c r="V14" s="5">
        <v>6.0812709012841096E-3</v>
      </c>
      <c r="W14" s="5">
        <v>-4.7489372806259998E-2</v>
      </c>
      <c r="X14" s="5">
        <v>-4.7489780986021898E-2</v>
      </c>
      <c r="Y14" s="5">
        <v>0.73338467183305101</v>
      </c>
      <c r="Z14" s="5">
        <v>101</v>
      </c>
      <c r="AA14" s="5">
        <v>2929.5563999781202</v>
      </c>
    </row>
    <row r="15" spans="1:27" s="1" customFormat="1">
      <c r="A15" s="18" t="s">
        <v>7</v>
      </c>
      <c r="B15" s="18" t="s">
        <v>8</v>
      </c>
      <c r="C15" s="22">
        <f t="shared" si="0"/>
        <v>5.2863192859300398E-2</v>
      </c>
      <c r="D15" s="23">
        <v>2.7722386288026101E-7</v>
      </c>
      <c r="E15" s="22">
        <f t="shared" si="1"/>
        <v>6.9858980438781398E-3</v>
      </c>
      <c r="F15" s="22">
        <f t="shared" si="2"/>
        <v>-0.62634766227665295</v>
      </c>
      <c r="G15" s="22">
        <f t="shared" si="3"/>
        <v>-6.5624478413634597E-3</v>
      </c>
      <c r="H15" s="26">
        <f t="shared" si="4"/>
        <v>0.269250805303616</v>
      </c>
      <c r="I15" s="28">
        <f t="shared" si="5"/>
        <v>97</v>
      </c>
      <c r="J15" s="28">
        <v>4</v>
      </c>
      <c r="K15" s="28">
        <v>3.17</v>
      </c>
      <c r="L15" s="28">
        <v>150</v>
      </c>
      <c r="M15" s="30">
        <v>336</v>
      </c>
      <c r="N15" s="30">
        <v>2.98666666666666E-2</v>
      </c>
      <c r="O15" s="32">
        <v>257.26123425411902</v>
      </c>
      <c r="P15" s="34">
        <v>2.32951826231797E-2</v>
      </c>
      <c r="Q15" s="35">
        <f>P15/SUM(P15:P18)</f>
        <v>8.673340753214584E-2</v>
      </c>
      <c r="R15" s="32">
        <f t="shared" si="6"/>
        <v>2966.1146906832901</v>
      </c>
      <c r="T15" s="7" t="s">
        <v>12</v>
      </c>
      <c r="U15" s="5">
        <v>0.05</v>
      </c>
      <c r="V15" s="6">
        <v>9.9999999999999998E-17</v>
      </c>
      <c r="W15" s="5">
        <v>-1</v>
      </c>
      <c r="X15" s="5">
        <v>-6.0812709484443202E-3</v>
      </c>
      <c r="Y15" s="5">
        <v>0.34682217752114802</v>
      </c>
      <c r="Z15" s="5">
        <v>75</v>
      </c>
      <c r="AA15" s="5">
        <v>2395.4528464916398</v>
      </c>
    </row>
    <row r="16" spans="1:27" s="1" customFormat="1">
      <c r="A16" s="18" t="s">
        <v>17</v>
      </c>
      <c r="B16" s="18" t="s">
        <v>8</v>
      </c>
      <c r="C16" s="22">
        <f t="shared" si="0"/>
        <v>5.2863192859300398E-2</v>
      </c>
      <c r="D16" s="23">
        <v>2.7722386288026101E-7</v>
      </c>
      <c r="E16" s="22">
        <f t="shared" si="1"/>
        <v>6.9858980438781398E-3</v>
      </c>
      <c r="F16" s="22">
        <f t="shared" si="2"/>
        <v>-0.62634766227665295</v>
      </c>
      <c r="G16" s="22">
        <f t="shared" si="3"/>
        <v>-6.5624478413634597E-3</v>
      </c>
      <c r="H16" s="26">
        <f t="shared" si="4"/>
        <v>0.269250805303616</v>
      </c>
      <c r="I16" s="28">
        <f t="shared" si="5"/>
        <v>97</v>
      </c>
      <c r="J16" s="28">
        <v>2</v>
      </c>
      <c r="K16" s="28">
        <v>3.08</v>
      </c>
      <c r="L16" s="28">
        <v>150</v>
      </c>
      <c r="M16" s="30">
        <v>500</v>
      </c>
      <c r="N16" s="30">
        <v>4.4444444444444398E-2</v>
      </c>
      <c r="O16" s="32">
        <v>573.72651088856605</v>
      </c>
      <c r="P16" s="34">
        <v>5.1951332215513797E-2</v>
      </c>
      <c r="Q16" s="35">
        <f>P16/SUM(P15:P18)</f>
        <v>0.19342694761287155</v>
      </c>
      <c r="R16" s="32">
        <f t="shared" si="6"/>
        <v>2966.1146906832901</v>
      </c>
      <c r="T16" s="7" t="s">
        <v>14</v>
      </c>
      <c r="U16" s="5">
        <v>1</v>
      </c>
      <c r="V16" s="5">
        <v>0.42243716456658198</v>
      </c>
      <c r="W16" s="6">
        <v>-4.9856213445537796E-10</v>
      </c>
      <c r="X16" s="6">
        <v>-2.4930836188923099E-8</v>
      </c>
      <c r="Y16" s="5">
        <v>0.76197905187771697</v>
      </c>
      <c r="Z16" s="5">
        <v>160</v>
      </c>
      <c r="AA16" s="5">
        <v>4589.6151212347104</v>
      </c>
    </row>
    <row r="17" spans="1:22" s="1" customFormat="1">
      <c r="A17" s="18" t="s">
        <v>20</v>
      </c>
      <c r="B17" s="18" t="s">
        <v>8</v>
      </c>
      <c r="C17" s="22">
        <f t="shared" si="0"/>
        <v>5.2863192859300398E-2</v>
      </c>
      <c r="D17" s="23">
        <v>2.7722386288026101E-7</v>
      </c>
      <c r="E17" s="22">
        <f t="shared" si="1"/>
        <v>6.9858980438781398E-3</v>
      </c>
      <c r="F17" s="22">
        <f t="shared" si="2"/>
        <v>-0.62634766227665295</v>
      </c>
      <c r="G17" s="22">
        <f t="shared" si="3"/>
        <v>-6.5624478413634597E-3</v>
      </c>
      <c r="H17" s="26">
        <f t="shared" si="4"/>
        <v>0.269250805303616</v>
      </c>
      <c r="I17" s="28">
        <f t="shared" si="5"/>
        <v>97</v>
      </c>
      <c r="J17" s="28">
        <v>3</v>
      </c>
      <c r="K17" s="28">
        <v>3.08</v>
      </c>
      <c r="L17" s="28">
        <v>150</v>
      </c>
      <c r="M17" s="30">
        <v>500</v>
      </c>
      <c r="N17" s="30">
        <v>4.4444444444444398E-2</v>
      </c>
      <c r="O17" s="32">
        <v>654.782640302343</v>
      </c>
      <c r="P17" s="34">
        <v>5.9291020773319797E-2</v>
      </c>
      <c r="Q17" s="35">
        <f>P17/SUM(P15:P18)</f>
        <v>0.22075432293938113</v>
      </c>
      <c r="R17" s="32">
        <f t="shared" si="6"/>
        <v>2966.1146906832901</v>
      </c>
    </row>
    <row r="18" spans="1:22" s="1" customFormat="1">
      <c r="A18" s="18" t="s">
        <v>21</v>
      </c>
      <c r="B18" s="18" t="s">
        <v>8</v>
      </c>
      <c r="C18" s="22">
        <f t="shared" si="0"/>
        <v>5.2863192859300398E-2</v>
      </c>
      <c r="D18" s="23">
        <v>2.7722386288026101E-7</v>
      </c>
      <c r="E18" s="22">
        <f t="shared" si="1"/>
        <v>6.9858980438781398E-3</v>
      </c>
      <c r="F18" s="22">
        <f t="shared" si="2"/>
        <v>-0.62634766227665295</v>
      </c>
      <c r="G18" s="22">
        <f t="shared" si="3"/>
        <v>-6.5624478413634597E-3</v>
      </c>
      <c r="H18" s="26">
        <f t="shared" si="4"/>
        <v>0.269250805303616</v>
      </c>
      <c r="I18" s="28">
        <f t="shared" si="5"/>
        <v>97</v>
      </c>
      <c r="J18" s="28">
        <v>2</v>
      </c>
      <c r="K18" s="28">
        <v>3</v>
      </c>
      <c r="L18" s="28">
        <v>150</v>
      </c>
      <c r="M18" s="30">
        <v>1625</v>
      </c>
      <c r="N18" s="30">
        <v>0.14444444444444399</v>
      </c>
      <c r="O18" s="32">
        <v>1480.3443052382599</v>
      </c>
      <c r="P18" s="34">
        <v>0.134046200297888</v>
      </c>
      <c r="Q18" s="35">
        <f>P18/SUM(P15:P18)</f>
        <v>0.49908532191560162</v>
      </c>
      <c r="R18" s="32">
        <f t="shared" si="6"/>
        <v>2966.1146906832901</v>
      </c>
      <c r="T18" s="7"/>
      <c r="U18" s="7" t="s">
        <v>38</v>
      </c>
      <c r="V18" s="7" t="s">
        <v>39</v>
      </c>
    </row>
    <row r="19" spans="1:22" s="1" customFormat="1">
      <c r="A19" s="18" t="s">
        <v>9</v>
      </c>
      <c r="B19" s="18" t="s">
        <v>10</v>
      </c>
      <c r="C19" s="22">
        <f t="shared" si="0"/>
        <v>1</v>
      </c>
      <c r="D19" s="23">
        <v>9.9999999999999998E-17</v>
      </c>
      <c r="E19" s="22">
        <f t="shared" si="1"/>
        <v>6.0812709012841096E-3</v>
      </c>
      <c r="F19" s="22">
        <f t="shared" si="2"/>
        <v>-4.7489372806259998E-2</v>
      </c>
      <c r="G19" s="22">
        <f t="shared" si="3"/>
        <v>-4.7489780986021898E-2</v>
      </c>
      <c r="H19" s="26">
        <f t="shared" si="4"/>
        <v>0.73338467183305101</v>
      </c>
      <c r="I19" s="28">
        <f t="shared" si="5"/>
        <v>101</v>
      </c>
      <c r="J19" s="28">
        <v>4</v>
      </c>
      <c r="K19" s="28">
        <v>1</v>
      </c>
      <c r="L19" s="28">
        <v>50</v>
      </c>
      <c r="M19" s="30">
        <v>2942</v>
      </c>
      <c r="N19" s="30">
        <v>0.54785847299813695</v>
      </c>
      <c r="O19" s="32">
        <v>2929.5563999781202</v>
      </c>
      <c r="P19" s="34">
        <v>0.55015048131987299</v>
      </c>
      <c r="Q19" s="35">
        <f>P19/SUM(P19)</f>
        <v>1</v>
      </c>
      <c r="R19" s="32">
        <f t="shared" si="6"/>
        <v>2929.5563999781202</v>
      </c>
      <c r="T19" s="7" t="s">
        <v>2</v>
      </c>
      <c r="U19" s="5">
        <v>11.043537988757</v>
      </c>
      <c r="V19" s="6">
        <v>2.7722386288026101E-7</v>
      </c>
    </row>
    <row r="20" spans="1:22" s="1" customFormat="1">
      <c r="A20" s="18" t="s">
        <v>11</v>
      </c>
      <c r="B20" s="18" t="s">
        <v>12</v>
      </c>
      <c r="C20" s="22">
        <f t="shared" si="0"/>
        <v>0.05</v>
      </c>
      <c r="D20" s="23">
        <v>9.9999999999999998E-17</v>
      </c>
      <c r="E20" s="22">
        <f t="shared" si="1"/>
        <v>9.9999999999999998E-17</v>
      </c>
      <c r="F20" s="22">
        <f t="shared" si="2"/>
        <v>-1</v>
      </c>
      <c r="G20" s="22">
        <f t="shared" si="3"/>
        <v>-6.0812709484443202E-3</v>
      </c>
      <c r="H20" s="26">
        <f t="shared" si="4"/>
        <v>0.34682217752114802</v>
      </c>
      <c r="I20" s="28">
        <f t="shared" si="5"/>
        <v>75</v>
      </c>
      <c r="J20" s="28">
        <v>4</v>
      </c>
      <c r="K20" s="28">
        <v>2.08</v>
      </c>
      <c r="L20" s="28">
        <v>100</v>
      </c>
      <c r="M20" s="30">
        <v>108</v>
      </c>
      <c r="N20" s="30">
        <v>2.0111731843575401E-2</v>
      </c>
      <c r="O20" s="32">
        <v>402.39203748920301</v>
      </c>
      <c r="P20" s="34">
        <v>7.5566448594614297E-2</v>
      </c>
      <c r="Q20" s="35">
        <f>P20/SUM(P20:P21)</f>
        <v>0.16798161486607563</v>
      </c>
      <c r="R20" s="32">
        <f t="shared" si="6"/>
        <v>2395.4528464916398</v>
      </c>
      <c r="T20" s="7" t="s">
        <v>3</v>
      </c>
      <c r="U20" s="5">
        <v>5.3250092464697598</v>
      </c>
      <c r="V20" s="6">
        <v>9.9999999999999998E-17</v>
      </c>
    </row>
    <row r="21" spans="1:22" s="1" customFormat="1">
      <c r="A21" s="18" t="s">
        <v>19</v>
      </c>
      <c r="B21" s="18" t="s">
        <v>12</v>
      </c>
      <c r="C21" s="22">
        <f t="shared" si="0"/>
        <v>0.05</v>
      </c>
      <c r="D21" s="23">
        <v>9.9999999999999998E-17</v>
      </c>
      <c r="E21" s="22">
        <f t="shared" si="1"/>
        <v>9.9999999999999998E-17</v>
      </c>
      <c r="F21" s="22">
        <f t="shared" si="2"/>
        <v>-1</v>
      </c>
      <c r="G21" s="22">
        <f t="shared" si="3"/>
        <v>-6.0812709484443202E-3</v>
      </c>
      <c r="H21" s="26">
        <f t="shared" si="4"/>
        <v>0.34682217752114802</v>
      </c>
      <c r="I21" s="28">
        <f t="shared" si="5"/>
        <v>75</v>
      </c>
      <c r="J21" s="28">
        <v>3</v>
      </c>
      <c r="K21" s="28">
        <v>2</v>
      </c>
      <c r="L21" s="28">
        <v>100</v>
      </c>
      <c r="M21" s="30">
        <v>2320</v>
      </c>
      <c r="N21" s="30">
        <v>0.43202979515828599</v>
      </c>
      <c r="O21" s="32">
        <v>1993.06080900244</v>
      </c>
      <c r="P21" s="34">
        <v>0.37428307008551098</v>
      </c>
      <c r="Q21" s="35">
        <f>P21/SUM(P20:P21)</f>
        <v>0.83201838513392434</v>
      </c>
      <c r="R21" s="32">
        <f t="shared" si="6"/>
        <v>2395.4528464916398</v>
      </c>
      <c r="T21" s="7" t="s">
        <v>6</v>
      </c>
      <c r="U21" s="5">
        <v>4.5896151212347096</v>
      </c>
      <c r="V21" s="6">
        <v>3.9120116482857202E-7</v>
      </c>
    </row>
    <row r="22" spans="1:22" s="1" customFormat="1">
      <c r="A22" s="18" t="s">
        <v>13</v>
      </c>
      <c r="B22" s="18" t="s">
        <v>14</v>
      </c>
      <c r="C22" s="22">
        <f t="shared" si="0"/>
        <v>1</v>
      </c>
      <c r="D22" s="23">
        <v>3.9120116482857202E-7</v>
      </c>
      <c r="E22" s="22">
        <f t="shared" si="1"/>
        <v>0.42243716456658198</v>
      </c>
      <c r="F22" s="22">
        <f t="shared" si="2"/>
        <v>-4.9856213445537796E-10</v>
      </c>
      <c r="G22" s="22">
        <f t="shared" si="3"/>
        <v>-2.4930836188923099E-8</v>
      </c>
      <c r="H22" s="26">
        <f t="shared" si="4"/>
        <v>0.76197905187771697</v>
      </c>
      <c r="I22" s="28">
        <f t="shared" si="5"/>
        <v>160</v>
      </c>
      <c r="J22" s="28">
        <v>4</v>
      </c>
      <c r="K22" s="28">
        <v>1</v>
      </c>
      <c r="L22" s="28">
        <v>50</v>
      </c>
      <c r="M22" s="30">
        <v>3219</v>
      </c>
      <c r="N22" s="30">
        <v>0.69947848761408005</v>
      </c>
      <c r="O22" s="32">
        <v>3210.39360736558</v>
      </c>
      <c r="P22" s="34">
        <v>0.69949081187921303</v>
      </c>
      <c r="Q22" s="35">
        <f>P22/SUM(P22:P23)</f>
        <v>0.69949081187921369</v>
      </c>
      <c r="R22" s="32">
        <f t="shared" si="6"/>
        <v>4589.6151212347104</v>
      </c>
    </row>
    <row r="23" spans="1:22" s="1" customFormat="1">
      <c r="A23" s="18" t="s">
        <v>16</v>
      </c>
      <c r="B23" s="18" t="s">
        <v>14</v>
      </c>
      <c r="C23" s="22">
        <f t="shared" si="0"/>
        <v>1</v>
      </c>
      <c r="D23" s="23">
        <v>3.9120116482857202E-7</v>
      </c>
      <c r="E23" s="22">
        <f t="shared" si="1"/>
        <v>0.42243716456658198</v>
      </c>
      <c r="F23" s="22">
        <f t="shared" si="2"/>
        <v>-4.9856213445537796E-10</v>
      </c>
      <c r="G23" s="22">
        <f t="shared" si="3"/>
        <v>-2.4930836188923099E-8</v>
      </c>
      <c r="H23" s="26">
        <f t="shared" si="4"/>
        <v>0.76197905187771697</v>
      </c>
      <c r="I23" s="28">
        <f t="shared" si="5"/>
        <v>160</v>
      </c>
      <c r="J23" s="28">
        <v>2</v>
      </c>
      <c r="K23" s="28">
        <v>1</v>
      </c>
      <c r="L23" s="28">
        <v>50</v>
      </c>
      <c r="M23" s="30">
        <v>1383</v>
      </c>
      <c r="N23" s="30">
        <v>0.30052151238591901</v>
      </c>
      <c r="O23" s="32">
        <v>1379.2215138691199</v>
      </c>
      <c r="P23" s="34">
        <v>0.30050918812078597</v>
      </c>
      <c r="Q23" s="35">
        <f>P23/SUM(P22:P23)</f>
        <v>0.30050918812078625</v>
      </c>
      <c r="R23" s="32">
        <f t="shared" si="6"/>
        <v>4589.6151212347104</v>
      </c>
    </row>
    <row r="25" spans="1:22">
      <c r="A25" s="3" t="s">
        <v>80</v>
      </c>
      <c r="C25" s="47" t="s">
        <v>78</v>
      </c>
      <c r="H25" s="47" t="s">
        <v>81</v>
      </c>
    </row>
    <row r="26" spans="1:22">
      <c r="A26" s="36" t="s">
        <v>22</v>
      </c>
      <c r="B26" s="44" t="s">
        <v>23</v>
      </c>
      <c r="C26" s="19" t="s">
        <v>35</v>
      </c>
      <c r="D26" s="46" t="s">
        <v>36</v>
      </c>
      <c r="E26" s="19" t="s">
        <v>37</v>
      </c>
      <c r="F26" s="19" t="s">
        <v>42</v>
      </c>
      <c r="G26" s="48" t="s">
        <v>72</v>
      </c>
      <c r="H26" s="19" t="s">
        <v>41</v>
      </c>
      <c r="I26" s="46" t="s">
        <v>43</v>
      </c>
      <c r="J26" s="19" t="s">
        <v>44</v>
      </c>
      <c r="K26" s="19" t="s">
        <v>45</v>
      </c>
      <c r="L26" s="19" t="s">
        <v>46</v>
      </c>
      <c r="M26" s="19" t="s">
        <v>47</v>
      </c>
      <c r="N26" s="33" t="s">
        <v>77</v>
      </c>
      <c r="O26" s="31" t="s">
        <v>48</v>
      </c>
    </row>
    <row r="27" spans="1:22">
      <c r="A27" s="13" t="s">
        <v>0</v>
      </c>
      <c r="B27" s="45" t="s">
        <v>1</v>
      </c>
      <c r="C27" s="19">
        <f t="shared" ref="C27:C39" si="7">E11*J11+F11*K11+G11*L11</f>
        <v>-2.1907512122063868</v>
      </c>
      <c r="D27" s="46">
        <f t="shared" ref="D27:D39" si="8">C27/C11</f>
        <v>-15.949791410967325</v>
      </c>
      <c r="E27" s="19">
        <f t="shared" ref="E27:E39" si="9">EXP(D27)</f>
        <v>1.1832965620246067E-7</v>
      </c>
      <c r="F27" s="19">
        <f>SUM(E27:E28)</f>
        <v>2.2113307608649954E-7</v>
      </c>
      <c r="G27" s="49">
        <f>E27/F27</f>
        <v>0.53510609220745542</v>
      </c>
      <c r="H27" s="37">
        <f t="shared" ref="H27:H39" si="10">D11*I11</f>
        <v>5.5721996438932462E-5</v>
      </c>
      <c r="I27" s="46">
        <f>LN(F27)</f>
        <v>-15.324501162413222</v>
      </c>
      <c r="J27" s="19">
        <f>C11*I27</f>
        <v>-2.1048657398071176</v>
      </c>
      <c r="K27" s="37">
        <f>H27+J27</f>
        <v>-2.1048100178106788</v>
      </c>
      <c r="L27" s="19">
        <f>EXP(K27)</f>
        <v>0.12186882497607869</v>
      </c>
      <c r="M27" s="19">
        <f>SUM(L$27,L$29,L$31)</f>
        <v>0.22356236683452968</v>
      </c>
      <c r="N27" s="35">
        <f>L27/M27</f>
        <v>0.54512227036082617</v>
      </c>
      <c r="O27" s="35">
        <f>G27*N27</f>
        <v>0.29169824786803766</v>
      </c>
    </row>
    <row r="28" spans="1:22">
      <c r="A28" s="13" t="s">
        <v>18</v>
      </c>
      <c r="B28" s="45" t="s">
        <v>1</v>
      </c>
      <c r="C28" s="19">
        <f t="shared" si="7"/>
        <v>-2.2100707048506743</v>
      </c>
      <c r="D28" s="46">
        <f t="shared" si="8"/>
        <v>-16.090447217124229</v>
      </c>
      <c r="E28" s="19">
        <f t="shared" si="9"/>
        <v>1.0280341988403886E-7</v>
      </c>
      <c r="F28" s="19">
        <f>SUM(E27:E28)</f>
        <v>2.2113307608649954E-7</v>
      </c>
      <c r="G28" s="49">
        <f t="shared" ref="G28:G39" si="11">E28/F28</f>
        <v>0.46489390779254458</v>
      </c>
      <c r="H28" s="37">
        <f t="shared" si="10"/>
        <v>5.5721996438932462E-5</v>
      </c>
      <c r="I28" s="46">
        <f t="shared" ref="I28:I39" si="12">LN(F28)</f>
        <v>-15.324501162413222</v>
      </c>
      <c r="J28" s="19">
        <f t="shared" ref="J28:J39" si="13">C12*I28</f>
        <v>-2.1048657398071176</v>
      </c>
      <c r="K28" s="37">
        <f t="shared" ref="K28:K39" si="14">H28+J28</f>
        <v>-2.1048100178106788</v>
      </c>
      <c r="L28" s="19">
        <f t="shared" ref="L28:L39" si="15">EXP(K28)</f>
        <v>0.12186882497607869</v>
      </c>
      <c r="M28" s="19">
        <f t="shared" ref="M28:M34" si="16">SUM(L$27,L$29,L$31)</f>
        <v>0.22356236683452968</v>
      </c>
      <c r="N28" s="35">
        <f t="shared" ref="N28:N39" si="17">L28/M28</f>
        <v>0.54512227036082617</v>
      </c>
      <c r="O28" s="35">
        <f t="shared" ref="O28:O39" si="18">G28*N28</f>
        <v>0.2534240224927885</v>
      </c>
    </row>
    <row r="29" spans="1:22">
      <c r="A29" s="13" t="s">
        <v>4</v>
      </c>
      <c r="B29" s="45" t="s">
        <v>5</v>
      </c>
      <c r="C29" s="19">
        <f t="shared" si="7"/>
        <v>-3.2847063438808086</v>
      </c>
      <c r="D29" s="46">
        <f t="shared" si="8"/>
        <v>-34.65621726334453</v>
      </c>
      <c r="E29" s="19">
        <f t="shared" si="9"/>
        <v>8.8919308957192896E-16</v>
      </c>
      <c r="F29" s="19">
        <f>SUM(E29:E30)</f>
        <v>2.7268680677322213E-15</v>
      </c>
      <c r="G29" s="49">
        <f t="shared" si="11"/>
        <v>0.32608584921800765</v>
      </c>
      <c r="H29" s="37">
        <f t="shared" si="10"/>
        <v>2.4672923796343231E-5</v>
      </c>
      <c r="I29" s="46">
        <f t="shared" si="12"/>
        <v>-33.535622672220434</v>
      </c>
      <c r="J29" s="19">
        <f t="shared" si="13"/>
        <v>-3.1784967095628418</v>
      </c>
      <c r="K29" s="37">
        <f t="shared" si="14"/>
        <v>-3.1784720366390453</v>
      </c>
      <c r="L29" s="19">
        <f t="shared" si="15"/>
        <v>4.164924504770675E-2</v>
      </c>
      <c r="M29" s="19">
        <f t="shared" si="16"/>
        <v>0.22356236683452968</v>
      </c>
      <c r="N29" s="35">
        <f t="shared" si="17"/>
        <v>0.18629810391358737</v>
      </c>
      <c r="O29" s="35">
        <f t="shared" si="18"/>
        <v>6.0749175422366769E-2</v>
      </c>
    </row>
    <row r="30" spans="1:22">
      <c r="A30" s="13" t="s">
        <v>15</v>
      </c>
      <c r="B30" s="45" t="s">
        <v>5</v>
      </c>
      <c r="C30" s="19">
        <f t="shared" si="7"/>
        <v>-3.2159017650881219</v>
      </c>
      <c r="D30" s="46">
        <f t="shared" si="8"/>
        <v>-33.930275221129875</v>
      </c>
      <c r="E30" s="19">
        <f t="shared" si="9"/>
        <v>1.8376749781602924E-15</v>
      </c>
      <c r="F30" s="19">
        <f>SUM(E29:E30)</f>
        <v>2.7268680677322213E-15</v>
      </c>
      <c r="G30" s="49">
        <f t="shared" si="11"/>
        <v>0.67391415078199235</v>
      </c>
      <c r="H30" s="37">
        <f t="shared" si="10"/>
        <v>2.4672923796343231E-5</v>
      </c>
      <c r="I30" s="46">
        <f t="shared" si="12"/>
        <v>-33.535622672220434</v>
      </c>
      <c r="J30" s="19">
        <f t="shared" si="13"/>
        <v>-3.1784967095628418</v>
      </c>
      <c r="K30" s="37">
        <f t="shared" si="14"/>
        <v>-3.1784720366390453</v>
      </c>
      <c r="L30" s="19">
        <f t="shared" si="15"/>
        <v>4.164924504770675E-2</v>
      </c>
      <c r="M30" s="19">
        <f t="shared" si="16"/>
        <v>0.22356236683452968</v>
      </c>
      <c r="N30" s="35">
        <f t="shared" si="17"/>
        <v>0.18629810391358737</v>
      </c>
      <c r="O30" s="35">
        <f t="shared" si="18"/>
        <v>0.1255489284912206</v>
      </c>
    </row>
    <row r="31" spans="1:22">
      <c r="A31" s="13" t="s">
        <v>7</v>
      </c>
      <c r="B31" s="45" t="s">
        <v>8</v>
      </c>
      <c r="C31" s="19">
        <f t="shared" si="7"/>
        <v>-2.9419456734459963</v>
      </c>
      <c r="D31" s="46">
        <f t="shared" si="8"/>
        <v>-55.652061752611488</v>
      </c>
      <c r="E31" s="19">
        <f t="shared" si="9"/>
        <v>6.7704365796620757E-25</v>
      </c>
      <c r="F31" s="19">
        <f>SUM(E31:E34)</f>
        <v>7.8060308851036845E-24</v>
      </c>
      <c r="G31" s="49">
        <f t="shared" si="11"/>
        <v>8.6733407532144896E-2</v>
      </c>
      <c r="H31" s="37">
        <f t="shared" si="10"/>
        <v>2.6890714699385318E-5</v>
      </c>
      <c r="I31" s="46">
        <f t="shared" si="12"/>
        <v>-53.207145606521351</v>
      </c>
      <c r="J31" s="19">
        <f t="shared" si="13"/>
        <v>-2.8126995996904158</v>
      </c>
      <c r="K31" s="37">
        <f t="shared" si="14"/>
        <v>-2.8126727089757164</v>
      </c>
      <c r="L31" s="19">
        <f t="shared" si="15"/>
        <v>6.0044296810744233E-2</v>
      </c>
      <c r="M31" s="19">
        <f t="shared" si="16"/>
        <v>0.22356236683452968</v>
      </c>
      <c r="N31" s="35">
        <f t="shared" si="17"/>
        <v>0.26857962572558641</v>
      </c>
      <c r="O31" s="35">
        <f t="shared" si="18"/>
        <v>2.3294826132888233E-2</v>
      </c>
    </row>
    <row r="32" spans="1:22">
      <c r="A32" s="13" t="s">
        <v>17</v>
      </c>
      <c r="B32" s="45" t="s">
        <v>8</v>
      </c>
      <c r="C32" s="19">
        <f t="shared" si="7"/>
        <v>-2.899546179928854</v>
      </c>
      <c r="D32" s="46">
        <f t="shared" si="8"/>
        <v>-54.850000976033122</v>
      </c>
      <c r="E32" s="19">
        <f t="shared" si="9"/>
        <v>1.5098967270773992E-24</v>
      </c>
      <c r="F32" s="19">
        <f>SUM(E31:E34)</f>
        <v>7.8060308851036845E-24</v>
      </c>
      <c r="G32" s="49">
        <f t="shared" si="11"/>
        <v>0.19342694761287046</v>
      </c>
      <c r="H32" s="37">
        <f t="shared" si="10"/>
        <v>2.6890714699385318E-5</v>
      </c>
      <c r="I32" s="46">
        <f t="shared" si="12"/>
        <v>-53.207145606521351</v>
      </c>
      <c r="J32" s="19">
        <f t="shared" si="13"/>
        <v>-2.8126995996904158</v>
      </c>
      <c r="K32" s="37">
        <f t="shared" si="14"/>
        <v>-2.8126727089757164</v>
      </c>
      <c r="L32" s="19">
        <f t="shared" si="15"/>
        <v>6.0044296810744233E-2</v>
      </c>
      <c r="M32" s="19">
        <f t="shared" si="16"/>
        <v>0.22356236683452968</v>
      </c>
      <c r="N32" s="35">
        <f t="shared" si="17"/>
        <v>0.26857962572558641</v>
      </c>
      <c r="O32" s="35">
        <f t="shared" si="18"/>
        <v>5.1950537195107359E-2</v>
      </c>
    </row>
    <row r="33" spans="1:15">
      <c r="A33" s="13" t="s">
        <v>20</v>
      </c>
      <c r="B33" s="45" t="s">
        <v>8</v>
      </c>
      <c r="C33" s="19">
        <f t="shared" si="7"/>
        <v>-2.8925602818849754</v>
      </c>
      <c r="D33" s="46">
        <f t="shared" si="8"/>
        <v>-54.717850463246805</v>
      </c>
      <c r="E33" s="19">
        <f t="shared" si="9"/>
        <v>1.7232150628849666E-24</v>
      </c>
      <c r="F33" s="19">
        <f>SUM(E31:E34)</f>
        <v>7.8060308851036845E-24</v>
      </c>
      <c r="G33" s="49">
        <f t="shared" si="11"/>
        <v>0.22075432293938174</v>
      </c>
      <c r="H33" s="37">
        <f t="shared" si="10"/>
        <v>2.6890714699385318E-5</v>
      </c>
      <c r="I33" s="46">
        <f t="shared" si="12"/>
        <v>-53.207145606521351</v>
      </c>
      <c r="J33" s="19">
        <f t="shared" si="13"/>
        <v>-2.8126995996904158</v>
      </c>
      <c r="K33" s="37">
        <f t="shared" si="14"/>
        <v>-2.8126727089757164</v>
      </c>
      <c r="L33" s="19">
        <f t="shared" si="15"/>
        <v>6.0044296810744233E-2</v>
      </c>
      <c r="M33" s="19">
        <f t="shared" si="16"/>
        <v>0.22356236683452968</v>
      </c>
      <c r="N33" s="35">
        <f t="shared" si="17"/>
        <v>0.26857962572558641</v>
      </c>
      <c r="O33" s="35">
        <f t="shared" si="18"/>
        <v>5.9290113432364386E-2</v>
      </c>
    </row>
    <row r="34" spans="1:15">
      <c r="A34" s="13" t="s">
        <v>21</v>
      </c>
      <c r="B34" s="45" t="s">
        <v>8</v>
      </c>
      <c r="C34" s="19">
        <f t="shared" si="7"/>
        <v>-2.8494383669467211</v>
      </c>
      <c r="D34" s="46">
        <f t="shared" si="8"/>
        <v>-53.902123818565563</v>
      </c>
      <c r="E34" s="19">
        <f t="shared" si="9"/>
        <v>3.8958754371751105E-24</v>
      </c>
      <c r="F34" s="19">
        <f>SUM(E31:E34)</f>
        <v>7.8060308851036845E-24</v>
      </c>
      <c r="G34" s="49">
        <f t="shared" si="11"/>
        <v>0.49908532191560284</v>
      </c>
      <c r="H34" s="37">
        <f t="shared" si="10"/>
        <v>2.6890714699385318E-5</v>
      </c>
      <c r="I34" s="46">
        <f t="shared" si="12"/>
        <v>-53.207145606521351</v>
      </c>
      <c r="J34" s="19">
        <f t="shared" si="13"/>
        <v>-2.8126995996904158</v>
      </c>
      <c r="K34" s="37">
        <f t="shared" si="14"/>
        <v>-2.8126727089757164</v>
      </c>
      <c r="L34" s="19">
        <f t="shared" si="15"/>
        <v>6.0044296810744233E-2</v>
      </c>
      <c r="M34" s="19">
        <f t="shared" si="16"/>
        <v>0.22356236683452968</v>
      </c>
      <c r="N34" s="35">
        <f t="shared" si="17"/>
        <v>0.26857962572558641</v>
      </c>
      <c r="O34" s="35">
        <f t="shared" si="18"/>
        <v>0.13404414896522643</v>
      </c>
    </row>
    <row r="35" spans="1:15">
      <c r="A35" s="13" t="s">
        <v>9</v>
      </c>
      <c r="B35" s="45" t="s">
        <v>10</v>
      </c>
      <c r="C35" s="19">
        <f t="shared" si="7"/>
        <v>-2.3976533385022183</v>
      </c>
      <c r="D35" s="46">
        <f t="shared" si="8"/>
        <v>-2.3976533385022183</v>
      </c>
      <c r="E35" s="19">
        <f t="shared" si="9"/>
        <v>9.0931087596783131E-2</v>
      </c>
      <c r="F35" s="19">
        <f>SUM(E35)</f>
        <v>9.0931087596783131E-2</v>
      </c>
      <c r="G35" s="49">
        <f t="shared" si="11"/>
        <v>1</v>
      </c>
      <c r="H35" s="37">
        <f t="shared" si="10"/>
        <v>1.0099999999999999E-14</v>
      </c>
      <c r="I35" s="46">
        <f t="shared" si="12"/>
        <v>-2.3976533385022183</v>
      </c>
      <c r="J35" s="19">
        <f t="shared" si="13"/>
        <v>-2.3976533385022183</v>
      </c>
      <c r="K35" s="37">
        <f t="shared" si="14"/>
        <v>-2.3976533385022081</v>
      </c>
      <c r="L35" s="19">
        <f t="shared" si="15"/>
        <v>9.093108759678406E-2</v>
      </c>
      <c r="M35" s="19">
        <f>SUM(L$35,L$36)</f>
        <v>0.16528402806924702</v>
      </c>
      <c r="N35" s="35">
        <f t="shared" si="17"/>
        <v>0.55015048131987554</v>
      </c>
      <c r="O35" s="35">
        <f t="shared" si="18"/>
        <v>0.55015048131987554</v>
      </c>
    </row>
    <row r="36" spans="1:15">
      <c r="A36" s="13" t="s">
        <v>11</v>
      </c>
      <c r="B36" s="45" t="s">
        <v>12</v>
      </c>
      <c r="C36" s="19">
        <f t="shared" si="7"/>
        <v>-2.6881270948444316</v>
      </c>
      <c r="D36" s="46">
        <f t="shared" si="8"/>
        <v>-53.762541896888628</v>
      </c>
      <c r="E36" s="19">
        <f t="shared" si="9"/>
        <v>4.4794502863950234E-24</v>
      </c>
      <c r="F36" s="19">
        <f>SUM(E36:E37)</f>
        <v>2.6666312798375432E-23</v>
      </c>
      <c r="G36" s="49">
        <f t="shared" si="11"/>
        <v>0.16798161486607632</v>
      </c>
      <c r="H36" s="37">
        <f t="shared" si="10"/>
        <v>7.4999999999999996E-15</v>
      </c>
      <c r="I36" s="46">
        <f t="shared" si="12"/>
        <v>-51.978641156000293</v>
      </c>
      <c r="J36" s="19">
        <f t="shared" si="13"/>
        <v>-2.598932057800015</v>
      </c>
      <c r="K36" s="37">
        <f t="shared" si="14"/>
        <v>-2.5989320578000075</v>
      </c>
      <c r="L36" s="19">
        <f t="shared" si="15"/>
        <v>7.4352940472462964E-2</v>
      </c>
      <c r="M36" s="19">
        <f t="shared" ref="M36:M37" si="19">SUM(L$35,L$36)</f>
        <v>0.16528402806924702</v>
      </c>
      <c r="N36" s="35">
        <f t="shared" si="17"/>
        <v>0.44984951868012452</v>
      </c>
      <c r="O36" s="35">
        <f t="shared" si="18"/>
        <v>7.5566448594614477E-2</v>
      </c>
    </row>
    <row r="37" spans="1:15">
      <c r="A37" s="13" t="s">
        <v>19</v>
      </c>
      <c r="B37" s="45" t="s">
        <v>12</v>
      </c>
      <c r="C37" s="19">
        <f t="shared" si="7"/>
        <v>-2.6081270948444319</v>
      </c>
      <c r="D37" s="46">
        <f t="shared" si="8"/>
        <v>-52.162541896888634</v>
      </c>
      <c r="E37" s="19">
        <f t="shared" si="9"/>
        <v>2.2186862511980409E-23</v>
      </c>
      <c r="F37" s="19">
        <f>SUM(E36:E37)</f>
        <v>2.6666312798375432E-23</v>
      </c>
      <c r="G37" s="49">
        <f t="shared" si="11"/>
        <v>0.83201838513392368</v>
      </c>
      <c r="H37" s="37">
        <f t="shared" si="10"/>
        <v>7.4999999999999996E-15</v>
      </c>
      <c r="I37" s="46">
        <f t="shared" si="12"/>
        <v>-51.978641156000293</v>
      </c>
      <c r="J37" s="19">
        <f t="shared" si="13"/>
        <v>-2.598932057800015</v>
      </c>
      <c r="K37" s="37">
        <f t="shared" si="14"/>
        <v>-2.5989320578000075</v>
      </c>
      <c r="L37" s="19">
        <f t="shared" si="15"/>
        <v>7.4352940472462964E-2</v>
      </c>
      <c r="M37" s="19">
        <f t="shared" si="19"/>
        <v>0.16528402806924702</v>
      </c>
      <c r="N37" s="35">
        <f t="shared" si="17"/>
        <v>0.44984951868012452</v>
      </c>
      <c r="O37" s="35">
        <f t="shared" si="18"/>
        <v>0.37428307008551004</v>
      </c>
    </row>
    <row r="38" spans="1:15">
      <c r="A38" s="13" t="s">
        <v>13</v>
      </c>
      <c r="B38" s="45" t="s">
        <v>14</v>
      </c>
      <c r="C38" s="19">
        <f t="shared" si="7"/>
        <v>1.6897474112259563</v>
      </c>
      <c r="D38" s="46">
        <f t="shared" si="8"/>
        <v>1.6897474112259563</v>
      </c>
      <c r="E38" s="19">
        <f t="shared" si="9"/>
        <v>5.4181119780137728</v>
      </c>
      <c r="F38" s="19">
        <f>SUM(E38:E39)</f>
        <v>7.7457943492606773</v>
      </c>
      <c r="G38" s="49">
        <f t="shared" si="11"/>
        <v>0.69949081187921314</v>
      </c>
      <c r="H38" s="37">
        <f t="shared" si="10"/>
        <v>6.2592186372571523E-5</v>
      </c>
      <c r="I38" s="46">
        <f t="shared" si="12"/>
        <v>2.0471500314579991</v>
      </c>
      <c r="J38" s="19">
        <f t="shared" si="13"/>
        <v>2.0471500314579991</v>
      </c>
      <c r="K38" s="37">
        <f t="shared" si="14"/>
        <v>2.0472126236443717</v>
      </c>
      <c r="L38" s="19">
        <f t="shared" si="15"/>
        <v>7.7462791906376713</v>
      </c>
      <c r="M38" s="19">
        <f>SUM(L$38)</f>
        <v>7.7462791906376713</v>
      </c>
      <c r="N38" s="35">
        <f t="shared" si="17"/>
        <v>1</v>
      </c>
      <c r="O38" s="35">
        <f t="shared" si="18"/>
        <v>0.69949081187921314</v>
      </c>
    </row>
    <row r="39" spans="1:15">
      <c r="A39" s="13" t="s">
        <v>16</v>
      </c>
      <c r="B39" s="45" t="s">
        <v>14</v>
      </c>
      <c r="C39" s="19">
        <f t="shared" si="7"/>
        <v>0.84487308209279244</v>
      </c>
      <c r="D39" s="46">
        <f t="shared" si="8"/>
        <v>0.84487308209279244</v>
      </c>
      <c r="E39" s="19">
        <f t="shared" si="9"/>
        <v>2.3276823712469046</v>
      </c>
      <c r="F39" s="19">
        <f>SUM(E38:E39)</f>
        <v>7.7457943492606773</v>
      </c>
      <c r="G39" s="49">
        <f t="shared" si="11"/>
        <v>0.30050918812078686</v>
      </c>
      <c r="H39" s="37">
        <f t="shared" si="10"/>
        <v>6.2592186372571523E-5</v>
      </c>
      <c r="I39" s="46">
        <f t="shared" si="12"/>
        <v>2.0471500314579991</v>
      </c>
      <c r="J39" s="19">
        <f t="shared" si="13"/>
        <v>2.0471500314579991</v>
      </c>
      <c r="K39" s="37">
        <f t="shared" si="14"/>
        <v>2.0472126236443717</v>
      </c>
      <c r="L39" s="19">
        <f t="shared" si="15"/>
        <v>7.7462791906376713</v>
      </c>
      <c r="M39" s="19">
        <f>SUM(L$38)</f>
        <v>7.7462791906376713</v>
      </c>
      <c r="N39" s="35">
        <f t="shared" si="17"/>
        <v>1</v>
      </c>
      <c r="O39" s="35">
        <f t="shared" si="18"/>
        <v>0.30050918812078686</v>
      </c>
    </row>
    <row r="41" spans="1:15">
      <c r="A41" s="10" t="s">
        <v>73</v>
      </c>
    </row>
    <row r="42" spans="1:15">
      <c r="A42" s="19" t="s">
        <v>99</v>
      </c>
      <c r="B42" s="33" t="s">
        <v>100</v>
      </c>
      <c r="C42" s="54" t="s">
        <v>104</v>
      </c>
    </row>
    <row r="43" spans="1:15">
      <c r="A43" s="13" t="s">
        <v>63</v>
      </c>
      <c r="B43" s="66">
        <v>4149.4959186465603</v>
      </c>
      <c r="C43" s="88">
        <v>4364</v>
      </c>
    </row>
    <row r="44" spans="1:15">
      <c r="A44" s="13" t="s">
        <v>64</v>
      </c>
      <c r="B44" s="66">
        <v>4260.1072530342499</v>
      </c>
      <c r="C44" s="88">
        <v>3812</v>
      </c>
    </row>
    <row r="45" spans="1:15">
      <c r="A45" s="13" t="s">
        <v>65</v>
      </c>
      <c r="B45" s="66">
        <v>3870.0468791089002</v>
      </c>
      <c r="C45" s="88">
        <v>3663</v>
      </c>
    </row>
    <row r="46" spans="1:15">
      <c r="A46" s="13" t="s">
        <v>66</v>
      </c>
      <c r="B46" s="66">
        <v>1960.2551654019901</v>
      </c>
      <c r="C46" s="88">
        <v>2153</v>
      </c>
    </row>
    <row r="47" spans="1:15">
      <c r="A47" s="13" t="s">
        <v>67</v>
      </c>
      <c r="B47" s="66">
        <v>1952.9480247576901</v>
      </c>
      <c r="C47" s="88">
        <v>1883</v>
      </c>
    </row>
    <row r="48" spans="1:15">
      <c r="A48" s="13" t="s">
        <v>68</v>
      </c>
      <c r="B48" s="66">
        <v>3453.4425994702401</v>
      </c>
      <c r="C48" s="88">
        <v>3108</v>
      </c>
    </row>
    <row r="49" spans="1:3">
      <c r="A49" s="13" t="s">
        <v>69</v>
      </c>
      <c r="B49" s="66">
        <v>2647.8434493047798</v>
      </c>
      <c r="C49" s="88">
        <v>2820</v>
      </c>
    </row>
    <row r="50" spans="1:3">
      <c r="A50" s="13" t="s">
        <v>70</v>
      </c>
      <c r="B50" s="66">
        <v>1480.3443052382599</v>
      </c>
      <c r="C50" s="88">
        <v>1625</v>
      </c>
    </row>
  </sheetData>
  <sortState xmlns:xlrd2="http://schemas.microsoft.com/office/spreadsheetml/2017/richdata2" ref="A27:F39">
    <sortCondition ref="A26:A39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795-10FF-4106-9AA6-B85FA3517832}">
  <dimension ref="A8:T66"/>
  <sheetViews>
    <sheetView topLeftCell="A18" workbookViewId="0">
      <selection activeCell="A8" sqref="A8"/>
    </sheetView>
  </sheetViews>
  <sheetFormatPr defaultRowHeight="14.5"/>
  <cols>
    <col min="1" max="1" width="44.26953125" bestFit="1" customWidth="1"/>
    <col min="2" max="2" width="4.08984375" bestFit="1" customWidth="1"/>
    <col min="3" max="3" width="49.6328125" bestFit="1" customWidth="1"/>
    <col min="4" max="4" width="15" bestFit="1" customWidth="1"/>
    <col min="5" max="5" width="19.6328125" bestFit="1" customWidth="1"/>
    <col min="6" max="6" width="24" bestFit="1" customWidth="1"/>
    <col min="7" max="7" width="15.54296875" bestFit="1" customWidth="1"/>
    <col min="8" max="8" width="12" bestFit="1" customWidth="1"/>
    <col min="9" max="9" width="27.08984375" bestFit="1" customWidth="1"/>
    <col min="10" max="10" width="12.453125" bestFit="1" customWidth="1"/>
    <col min="11" max="11" width="13.453125" bestFit="1" customWidth="1"/>
    <col min="12" max="12" width="18.08984375" bestFit="1" customWidth="1"/>
    <col min="13" max="13" width="23.1796875" bestFit="1" customWidth="1"/>
    <col min="14" max="14" width="13.08984375" bestFit="1" customWidth="1"/>
    <col min="15" max="15" width="17.81640625" bestFit="1" customWidth="1"/>
  </cols>
  <sheetData>
    <row r="8" spans="1:20" ht="20.5">
      <c r="A8" s="101" t="s">
        <v>95</v>
      </c>
    </row>
    <row r="9" spans="1:20">
      <c r="A9" s="14" t="s">
        <v>74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20">
      <c r="A10" s="12" t="s">
        <v>22</v>
      </c>
      <c r="B10" s="12" t="s">
        <v>23</v>
      </c>
      <c r="C10" s="15" t="s">
        <v>49</v>
      </c>
      <c r="D10" s="15" t="s">
        <v>50</v>
      </c>
      <c r="E10" s="15" t="s">
        <v>51</v>
      </c>
      <c r="F10" s="15" t="s">
        <v>52</v>
      </c>
      <c r="G10" s="15" t="s">
        <v>53</v>
      </c>
      <c r="H10" s="38" t="s">
        <v>54</v>
      </c>
      <c r="I10" s="39" t="s">
        <v>40</v>
      </c>
      <c r="J10" s="39" t="s">
        <v>27</v>
      </c>
      <c r="K10" s="39" t="s">
        <v>24</v>
      </c>
      <c r="L10" s="39" t="s">
        <v>25</v>
      </c>
      <c r="N10" s="42" t="s">
        <v>75</v>
      </c>
      <c r="O10" s="43" t="s">
        <v>76</v>
      </c>
      <c r="P10" s="41"/>
      <c r="S10" s="7" t="s">
        <v>55</v>
      </c>
      <c r="T10" s="7" t="s">
        <v>38</v>
      </c>
    </row>
    <row r="11" spans="1:20">
      <c r="A11" s="12" t="s">
        <v>0</v>
      </c>
      <c r="B11" s="12" t="s">
        <v>1</v>
      </c>
      <c r="C11" s="15">
        <v>0.13735296943758099</v>
      </c>
      <c r="D11" s="15">
        <v>2.7722386288026101E-7</v>
      </c>
      <c r="E11" s="15">
        <v>1.93194926442876E-2</v>
      </c>
      <c r="F11" s="15">
        <v>-4.44711096124372E-2</v>
      </c>
      <c r="G11" s="15">
        <v>-4.4471161463421997E-2</v>
      </c>
      <c r="H11" s="38">
        <v>0.88101576122179104</v>
      </c>
      <c r="I11" s="39">
        <v>201</v>
      </c>
      <c r="J11" s="39">
        <v>5</v>
      </c>
      <c r="K11" s="39">
        <v>1</v>
      </c>
      <c r="L11" s="39">
        <v>50</v>
      </c>
      <c r="N11" s="40">
        <f>BEFORE_ADJ!J11</f>
        <v>4</v>
      </c>
      <c r="O11" s="41">
        <f>J11-N11</f>
        <v>1</v>
      </c>
      <c r="P11" s="41"/>
      <c r="S11" s="7" t="s">
        <v>2</v>
      </c>
      <c r="T11" s="5">
        <v>11.043537988757</v>
      </c>
    </row>
    <row r="12" spans="1:20">
      <c r="A12" s="12" t="s">
        <v>18</v>
      </c>
      <c r="B12" s="12" t="s">
        <v>1</v>
      </c>
      <c r="C12" s="15">
        <v>0.13735296943758099</v>
      </c>
      <c r="D12" s="15">
        <v>2.7722386288026101E-7</v>
      </c>
      <c r="E12" s="15">
        <v>1.93194926442876E-2</v>
      </c>
      <c r="F12" s="15">
        <v>-4.44711096124372E-2</v>
      </c>
      <c r="G12" s="15">
        <v>-4.4471161463421997E-2</v>
      </c>
      <c r="H12" s="38">
        <v>0.88101576122179104</v>
      </c>
      <c r="I12" s="39">
        <v>201</v>
      </c>
      <c r="J12" s="39">
        <v>3</v>
      </c>
      <c r="K12" s="39">
        <v>1</v>
      </c>
      <c r="L12" s="39">
        <v>50</v>
      </c>
      <c r="N12" s="40">
        <f>BEFORE_ADJ!J12</f>
        <v>3</v>
      </c>
      <c r="O12" s="41">
        <f t="shared" ref="O12:O23" si="0">J12-N12</f>
        <v>0</v>
      </c>
      <c r="P12" s="41"/>
      <c r="S12" s="7" t="s">
        <v>3</v>
      </c>
      <c r="T12" s="5">
        <v>5.3250092464697598</v>
      </c>
    </row>
    <row r="13" spans="1:20">
      <c r="A13" s="12" t="s">
        <v>4</v>
      </c>
      <c r="B13" s="12" t="s">
        <v>5</v>
      </c>
      <c r="C13" s="15">
        <v>9.4779713519253697E-2</v>
      </c>
      <c r="D13" s="15">
        <v>2.7722386288026101E-7</v>
      </c>
      <c r="E13" s="15">
        <v>9.9999999999999998E-17</v>
      </c>
      <c r="F13" s="15">
        <v>-0.86005723490858599</v>
      </c>
      <c r="G13" s="15">
        <v>-1.49578729527095E-2</v>
      </c>
      <c r="H13" s="38">
        <v>0.34650503885586798</v>
      </c>
      <c r="I13" s="39">
        <v>89</v>
      </c>
      <c r="J13" s="39">
        <v>5</v>
      </c>
      <c r="K13" s="39">
        <v>2.08</v>
      </c>
      <c r="L13" s="39">
        <v>100</v>
      </c>
      <c r="N13" s="40">
        <f>BEFORE_ADJ!J13</f>
        <v>4</v>
      </c>
      <c r="O13" s="41">
        <f t="shared" si="0"/>
        <v>1</v>
      </c>
      <c r="P13" s="41"/>
      <c r="S13" s="7" t="s">
        <v>6</v>
      </c>
      <c r="T13" s="5">
        <v>4.5896151212347096</v>
      </c>
    </row>
    <row r="14" spans="1:20">
      <c r="A14" s="12" t="s">
        <v>15</v>
      </c>
      <c r="B14" s="12" t="s">
        <v>5</v>
      </c>
      <c r="C14" s="15">
        <v>9.4779713519253697E-2</v>
      </c>
      <c r="D14" s="15">
        <v>2.7722386288026101E-7</v>
      </c>
      <c r="E14" s="15">
        <v>9.9999999999999998E-17</v>
      </c>
      <c r="F14" s="15">
        <v>-0.86005723490858599</v>
      </c>
      <c r="G14" s="15">
        <v>-1.49578729527095E-2</v>
      </c>
      <c r="H14" s="38">
        <v>0.34650503885586798</v>
      </c>
      <c r="I14" s="39">
        <v>89</v>
      </c>
      <c r="J14" s="39">
        <v>1</v>
      </c>
      <c r="K14" s="39">
        <v>2</v>
      </c>
      <c r="L14" s="39">
        <v>100</v>
      </c>
      <c r="N14" s="40">
        <f>BEFORE_ADJ!J14</f>
        <v>2</v>
      </c>
      <c r="O14" s="41">
        <f t="shared" si="0"/>
        <v>-1</v>
      </c>
      <c r="P14" s="41"/>
    </row>
    <row r="15" spans="1:20">
      <c r="A15" s="12" t="s">
        <v>7</v>
      </c>
      <c r="B15" s="12" t="s">
        <v>8</v>
      </c>
      <c r="C15" s="15">
        <v>5.2863192859300398E-2</v>
      </c>
      <c r="D15" s="15">
        <v>2.7722386288026101E-7</v>
      </c>
      <c r="E15" s="15">
        <v>6.9858980438781398E-3</v>
      </c>
      <c r="F15" s="15">
        <v>-0.62634766227665295</v>
      </c>
      <c r="G15" s="15">
        <v>-6.5624478413634597E-3</v>
      </c>
      <c r="H15" s="38">
        <v>0.269250805303616</v>
      </c>
      <c r="I15" s="39">
        <v>97</v>
      </c>
      <c r="J15" s="39">
        <v>5</v>
      </c>
      <c r="K15" s="39">
        <v>3.17</v>
      </c>
      <c r="L15" s="39">
        <v>150</v>
      </c>
      <c r="N15" s="40">
        <f>BEFORE_ADJ!J15</f>
        <v>4</v>
      </c>
      <c r="O15" s="41">
        <f t="shared" si="0"/>
        <v>1</v>
      </c>
      <c r="P15" s="41"/>
    </row>
    <row r="16" spans="1:20">
      <c r="A16" s="12" t="s">
        <v>17</v>
      </c>
      <c r="B16" s="12" t="s">
        <v>8</v>
      </c>
      <c r="C16" s="15">
        <v>5.2863192859300398E-2</v>
      </c>
      <c r="D16" s="15">
        <v>2.7722386288026101E-7</v>
      </c>
      <c r="E16" s="15">
        <v>6.9858980438781398E-3</v>
      </c>
      <c r="F16" s="15">
        <v>-0.62634766227665295</v>
      </c>
      <c r="G16" s="15">
        <v>-6.5624478413634597E-3</v>
      </c>
      <c r="H16" s="38">
        <v>0.269250805303616</v>
      </c>
      <c r="I16" s="39">
        <v>97</v>
      </c>
      <c r="J16" s="39">
        <v>1</v>
      </c>
      <c r="K16" s="39">
        <v>3.08</v>
      </c>
      <c r="L16" s="39">
        <v>150</v>
      </c>
      <c r="N16" s="40">
        <f>BEFORE_ADJ!J16</f>
        <v>2</v>
      </c>
      <c r="O16" s="41">
        <f t="shared" si="0"/>
        <v>-1</v>
      </c>
      <c r="P16" s="41"/>
    </row>
    <row r="17" spans="1:16">
      <c r="A17" s="12" t="s">
        <v>20</v>
      </c>
      <c r="B17" s="12" t="s">
        <v>8</v>
      </c>
      <c r="C17" s="15">
        <v>5.2863192859300398E-2</v>
      </c>
      <c r="D17" s="15">
        <v>2.7722386288026101E-7</v>
      </c>
      <c r="E17" s="15">
        <v>6.9858980438781398E-3</v>
      </c>
      <c r="F17" s="15">
        <v>-0.62634766227665295</v>
      </c>
      <c r="G17" s="15">
        <v>-6.5624478413634597E-3</v>
      </c>
      <c r="H17" s="38">
        <v>0.269250805303616</v>
      </c>
      <c r="I17" s="39">
        <v>97</v>
      </c>
      <c r="J17" s="39">
        <v>3</v>
      </c>
      <c r="K17" s="39">
        <v>3.08</v>
      </c>
      <c r="L17" s="39">
        <v>150</v>
      </c>
      <c r="N17" s="40">
        <f>BEFORE_ADJ!J17</f>
        <v>3</v>
      </c>
      <c r="O17" s="41">
        <f t="shared" si="0"/>
        <v>0</v>
      </c>
      <c r="P17" s="41"/>
    </row>
    <row r="18" spans="1:16">
      <c r="A18" s="12" t="s">
        <v>21</v>
      </c>
      <c r="B18" s="12" t="s">
        <v>8</v>
      </c>
      <c r="C18" s="15">
        <v>5.2863192859300398E-2</v>
      </c>
      <c r="D18" s="15">
        <v>2.7722386288026101E-7</v>
      </c>
      <c r="E18" s="15">
        <v>6.9858980438781398E-3</v>
      </c>
      <c r="F18" s="15">
        <v>-0.62634766227665295</v>
      </c>
      <c r="G18" s="15">
        <v>-6.5624478413634597E-3</v>
      </c>
      <c r="H18" s="38">
        <v>0.269250805303616</v>
      </c>
      <c r="I18" s="39">
        <v>97</v>
      </c>
      <c r="J18" s="39">
        <v>2</v>
      </c>
      <c r="K18" s="39">
        <v>3</v>
      </c>
      <c r="L18" s="39">
        <v>150</v>
      </c>
      <c r="N18" s="40">
        <f>BEFORE_ADJ!J18</f>
        <v>2</v>
      </c>
      <c r="O18" s="41">
        <f t="shared" si="0"/>
        <v>0</v>
      </c>
      <c r="P18" s="41"/>
    </row>
    <row r="19" spans="1:16">
      <c r="A19" s="12" t="s">
        <v>9</v>
      </c>
      <c r="B19" s="12" t="s">
        <v>10</v>
      </c>
      <c r="C19" s="15">
        <v>1</v>
      </c>
      <c r="D19" s="15">
        <v>9.9999999999999998E-17</v>
      </c>
      <c r="E19" s="15">
        <v>6.0812709012841096E-3</v>
      </c>
      <c r="F19" s="15">
        <v>-4.7489372806259998E-2</v>
      </c>
      <c r="G19" s="15">
        <v>-4.7489780986021898E-2</v>
      </c>
      <c r="H19" s="38">
        <v>0.73338467183305101</v>
      </c>
      <c r="I19" s="39">
        <v>101</v>
      </c>
      <c r="J19" s="39">
        <v>5</v>
      </c>
      <c r="K19" s="39">
        <v>1</v>
      </c>
      <c r="L19" s="39">
        <v>50</v>
      </c>
      <c r="N19" s="40">
        <f>BEFORE_ADJ!J19</f>
        <v>4</v>
      </c>
      <c r="O19" s="41">
        <f t="shared" si="0"/>
        <v>1</v>
      </c>
      <c r="P19" s="41"/>
    </row>
    <row r="20" spans="1:16">
      <c r="A20" s="12" t="s">
        <v>11</v>
      </c>
      <c r="B20" s="12" t="s">
        <v>12</v>
      </c>
      <c r="C20" s="15">
        <v>0.05</v>
      </c>
      <c r="D20" s="15">
        <v>9.9999999999999998E-17</v>
      </c>
      <c r="E20" s="15">
        <v>9.9999999999999998E-17</v>
      </c>
      <c r="F20" s="15">
        <v>-1</v>
      </c>
      <c r="G20" s="15">
        <v>-6.0812709484443202E-3</v>
      </c>
      <c r="H20" s="38">
        <v>0.34682217752114802</v>
      </c>
      <c r="I20" s="39">
        <v>75</v>
      </c>
      <c r="J20" s="39">
        <v>5</v>
      </c>
      <c r="K20" s="39">
        <v>2.08</v>
      </c>
      <c r="L20" s="39">
        <v>100</v>
      </c>
      <c r="N20" s="40">
        <f>BEFORE_ADJ!J20</f>
        <v>4</v>
      </c>
      <c r="O20" s="41">
        <f t="shared" si="0"/>
        <v>1</v>
      </c>
      <c r="P20" s="41"/>
    </row>
    <row r="21" spans="1:16">
      <c r="A21" s="12" t="s">
        <v>19</v>
      </c>
      <c r="B21" s="12" t="s">
        <v>12</v>
      </c>
      <c r="C21" s="15">
        <v>0.05</v>
      </c>
      <c r="D21" s="15">
        <v>9.9999999999999998E-17</v>
      </c>
      <c r="E21" s="15">
        <v>9.9999999999999998E-17</v>
      </c>
      <c r="F21" s="15">
        <v>-1</v>
      </c>
      <c r="G21" s="15">
        <v>-6.0812709484443202E-3</v>
      </c>
      <c r="H21" s="38">
        <v>0.34682217752114802</v>
      </c>
      <c r="I21" s="39">
        <v>75</v>
      </c>
      <c r="J21" s="39">
        <v>3</v>
      </c>
      <c r="K21" s="39">
        <v>2</v>
      </c>
      <c r="L21" s="39">
        <v>100</v>
      </c>
      <c r="N21" s="40">
        <f>BEFORE_ADJ!J21</f>
        <v>3</v>
      </c>
      <c r="O21" s="41">
        <f t="shared" si="0"/>
        <v>0</v>
      </c>
      <c r="P21" s="41"/>
    </row>
    <row r="22" spans="1:16">
      <c r="A22" s="12" t="s">
        <v>13</v>
      </c>
      <c r="B22" s="12" t="s">
        <v>14</v>
      </c>
      <c r="C22" s="15">
        <v>1</v>
      </c>
      <c r="D22" s="15">
        <v>3.9120116482857202E-7</v>
      </c>
      <c r="E22" s="15">
        <v>0.42243716456658198</v>
      </c>
      <c r="F22" s="15">
        <v>-4.9856213445537796E-10</v>
      </c>
      <c r="G22" s="15">
        <v>-2.4930836188923099E-8</v>
      </c>
      <c r="H22" s="38">
        <v>0.76197905187771697</v>
      </c>
      <c r="I22" s="39">
        <v>160</v>
      </c>
      <c r="J22" s="39">
        <v>5</v>
      </c>
      <c r="K22" s="39">
        <v>1</v>
      </c>
      <c r="L22" s="39">
        <v>50</v>
      </c>
      <c r="N22" s="40">
        <f>BEFORE_ADJ!J22</f>
        <v>4</v>
      </c>
      <c r="O22" s="41">
        <f t="shared" si="0"/>
        <v>1</v>
      </c>
      <c r="P22" s="41"/>
    </row>
    <row r="23" spans="1:16">
      <c r="A23" s="12" t="s">
        <v>16</v>
      </c>
      <c r="B23" s="12" t="s">
        <v>14</v>
      </c>
      <c r="C23" s="15">
        <v>1</v>
      </c>
      <c r="D23" s="15">
        <v>3.9120116482857202E-7</v>
      </c>
      <c r="E23" s="15">
        <v>0.42243716456658198</v>
      </c>
      <c r="F23" s="15">
        <v>-4.9856213445537796E-10</v>
      </c>
      <c r="G23" s="15">
        <v>-2.4930836188923099E-8</v>
      </c>
      <c r="H23" s="38">
        <v>0.76197905187771697</v>
      </c>
      <c r="I23" s="39">
        <v>160</v>
      </c>
      <c r="J23" s="39">
        <v>1</v>
      </c>
      <c r="K23" s="39">
        <v>1</v>
      </c>
      <c r="L23" s="39">
        <v>50</v>
      </c>
      <c r="N23" s="40">
        <f>BEFORE_ADJ!J23</f>
        <v>2</v>
      </c>
      <c r="O23" s="41">
        <f t="shared" si="0"/>
        <v>-1</v>
      </c>
      <c r="P23" s="41"/>
    </row>
    <row r="25" spans="1:16">
      <c r="A25" s="14" t="s">
        <v>82</v>
      </c>
      <c r="B25" s="12"/>
      <c r="C25" s="47" t="s">
        <v>78</v>
      </c>
      <c r="D25" s="12"/>
      <c r="E25" s="12"/>
      <c r="F25" s="12"/>
      <c r="G25" s="12"/>
      <c r="H25" s="47" t="s">
        <v>81</v>
      </c>
      <c r="I25" s="12"/>
      <c r="J25" s="12"/>
      <c r="K25" s="12"/>
      <c r="L25" s="12"/>
      <c r="M25" s="12"/>
      <c r="N25" s="12"/>
      <c r="O25" s="12"/>
    </row>
    <row r="26" spans="1:16">
      <c r="A26" s="36" t="s">
        <v>22</v>
      </c>
      <c r="B26" s="36" t="s">
        <v>23</v>
      </c>
      <c r="C26" s="19" t="s">
        <v>35</v>
      </c>
      <c r="D26" s="19" t="s">
        <v>36</v>
      </c>
      <c r="E26" s="19" t="s">
        <v>37</v>
      </c>
      <c r="F26" s="19" t="s">
        <v>42</v>
      </c>
      <c r="G26" s="55" t="s">
        <v>72</v>
      </c>
      <c r="H26" s="19" t="s">
        <v>41</v>
      </c>
      <c r="I26" s="19" t="s">
        <v>43</v>
      </c>
      <c r="J26" s="19" t="s">
        <v>44</v>
      </c>
      <c r="K26" s="19" t="s">
        <v>45</v>
      </c>
      <c r="L26" s="19" t="s">
        <v>46</v>
      </c>
      <c r="M26" s="19" t="s">
        <v>47</v>
      </c>
      <c r="N26" s="57" t="s">
        <v>77</v>
      </c>
      <c r="O26" s="58" t="s">
        <v>48</v>
      </c>
    </row>
    <row r="27" spans="1:16">
      <c r="A27" s="13" t="s">
        <v>0</v>
      </c>
      <c r="B27" s="13" t="s">
        <v>1</v>
      </c>
      <c r="C27" s="19">
        <f t="shared" ref="C27:C39" si="1">E11*J11+F11*K11+G11*L11</f>
        <v>-2.1714317195620993</v>
      </c>
      <c r="D27" s="19">
        <f t="shared" ref="D27:D39" si="2">C27/C11</f>
        <v>-15.809135604810422</v>
      </c>
      <c r="E27" s="19">
        <f t="shared" ref="E27:E39" si="3">EXP(D27)</f>
        <v>1.36200795195204E-7</v>
      </c>
      <c r="F27" s="19">
        <f>SUM(E27:E28)</f>
        <v>2.3900421507924284E-7</v>
      </c>
      <c r="G27" s="56">
        <f>E27/F27</f>
        <v>0.56986775379691967</v>
      </c>
      <c r="H27" s="37">
        <f t="shared" ref="H27:H39" si="4">D11*I11</f>
        <v>5.5721996438932462E-5</v>
      </c>
      <c r="I27" s="19">
        <f>LN(F27)</f>
        <v>-15.246784648855595</v>
      </c>
      <c r="J27" s="19">
        <f>C11*I27</f>
        <v>-2.0941911458956417</v>
      </c>
      <c r="K27" s="37">
        <f>H27+J27</f>
        <v>-2.0941354238992029</v>
      </c>
      <c r="L27" s="19">
        <f>EXP(K27)</f>
        <v>0.12317669325561013</v>
      </c>
      <c r="M27" s="19">
        <f>SUM(L$27,L$29,L$31)</f>
        <v>0.22483291996503613</v>
      </c>
      <c r="N27" s="56">
        <f>L27/M27</f>
        <v>0.54785879787873326</v>
      </c>
      <c r="O27" s="56">
        <f>G27*N27</f>
        <v>0.31220706254503433</v>
      </c>
    </row>
    <row r="28" spans="1:16">
      <c r="A28" s="13" t="s">
        <v>18</v>
      </c>
      <c r="B28" s="13" t="s">
        <v>1</v>
      </c>
      <c r="C28" s="19">
        <f t="shared" si="1"/>
        <v>-2.2100707048506743</v>
      </c>
      <c r="D28" s="19">
        <f t="shared" si="2"/>
        <v>-16.090447217124229</v>
      </c>
      <c r="E28" s="19">
        <f t="shared" si="3"/>
        <v>1.0280341988403886E-7</v>
      </c>
      <c r="F28" s="19">
        <f>SUM(E27:E28)</f>
        <v>2.3900421507924284E-7</v>
      </c>
      <c r="G28" s="56">
        <f t="shared" ref="G28:G39" si="5">E28/F28</f>
        <v>0.43013224620308038</v>
      </c>
      <c r="H28" s="37">
        <f t="shared" si="4"/>
        <v>5.5721996438932462E-5</v>
      </c>
      <c r="I28" s="19">
        <f t="shared" ref="I28:I39" si="6">LN(F28)</f>
        <v>-15.246784648855595</v>
      </c>
      <c r="J28" s="19">
        <f t="shared" ref="J28:J39" si="7">C12*I28</f>
        <v>-2.0941911458956417</v>
      </c>
      <c r="K28" s="37">
        <f t="shared" ref="K28:K39" si="8">H28+J28</f>
        <v>-2.0941354238992029</v>
      </c>
      <c r="L28" s="19">
        <f t="shared" ref="L28:L39" si="9">EXP(K28)</f>
        <v>0.12317669325561013</v>
      </c>
      <c r="M28" s="19">
        <f t="shared" ref="M28:M34" si="10">SUM(L$27,L$29,L$31)</f>
        <v>0.22483291996503613</v>
      </c>
      <c r="N28" s="56">
        <f t="shared" ref="N28:N39" si="11">L28/M28</f>
        <v>0.54785879787873326</v>
      </c>
      <c r="O28" s="56">
        <f t="shared" ref="O28:O39" si="12">G28*N28</f>
        <v>0.23565173533369896</v>
      </c>
    </row>
    <row r="29" spans="1:16">
      <c r="A29" s="13" t="s">
        <v>4</v>
      </c>
      <c r="B29" s="13" t="s">
        <v>5</v>
      </c>
      <c r="C29" s="19">
        <f t="shared" si="1"/>
        <v>-3.2847063438808086</v>
      </c>
      <c r="D29" s="19">
        <f t="shared" si="2"/>
        <v>-34.65621726334453</v>
      </c>
      <c r="E29" s="19">
        <f t="shared" si="3"/>
        <v>8.8919308957192896E-16</v>
      </c>
      <c r="F29" s="19">
        <f>SUM(E29:E30)</f>
        <v>2.7268680677322083E-15</v>
      </c>
      <c r="G29" s="56">
        <f t="shared" si="5"/>
        <v>0.3260858492180092</v>
      </c>
      <c r="H29" s="37">
        <f t="shared" si="4"/>
        <v>2.4672923796343231E-5</v>
      </c>
      <c r="I29" s="19">
        <f t="shared" si="6"/>
        <v>-33.535622672220441</v>
      </c>
      <c r="J29" s="19">
        <f t="shared" si="7"/>
        <v>-3.1784967095628427</v>
      </c>
      <c r="K29" s="37">
        <f t="shared" si="8"/>
        <v>-3.1784720366390462</v>
      </c>
      <c r="L29" s="19">
        <f t="shared" si="9"/>
        <v>4.1649245047706715E-2</v>
      </c>
      <c r="M29" s="19">
        <f t="shared" si="10"/>
        <v>0.22483291996503613</v>
      </c>
      <c r="N29" s="56">
        <f t="shared" si="11"/>
        <v>0.1852453148506171</v>
      </c>
      <c r="O29" s="56">
        <f t="shared" si="12"/>
        <v>6.0405875806720966E-2</v>
      </c>
    </row>
    <row r="30" spans="1:16">
      <c r="A30" s="13" t="s">
        <v>15</v>
      </c>
      <c r="B30" s="13" t="s">
        <v>5</v>
      </c>
      <c r="C30" s="19">
        <f t="shared" si="1"/>
        <v>-3.2159017650881223</v>
      </c>
      <c r="D30" s="19">
        <f t="shared" si="2"/>
        <v>-33.930275221129882</v>
      </c>
      <c r="E30" s="19">
        <f t="shared" si="3"/>
        <v>1.8376749781602794E-15</v>
      </c>
      <c r="F30" s="19">
        <f>SUM(E29:E30)</f>
        <v>2.7268680677322083E-15</v>
      </c>
      <c r="G30" s="56">
        <f t="shared" si="5"/>
        <v>0.6739141507819908</v>
      </c>
      <c r="H30" s="37">
        <f t="shared" si="4"/>
        <v>2.4672923796343231E-5</v>
      </c>
      <c r="I30" s="19">
        <f t="shared" si="6"/>
        <v>-33.535622672220441</v>
      </c>
      <c r="J30" s="19">
        <f t="shared" si="7"/>
        <v>-3.1784967095628427</v>
      </c>
      <c r="K30" s="37">
        <f t="shared" si="8"/>
        <v>-3.1784720366390462</v>
      </c>
      <c r="L30" s="19">
        <f t="shared" si="9"/>
        <v>4.1649245047706715E-2</v>
      </c>
      <c r="M30" s="19">
        <f t="shared" si="10"/>
        <v>0.22483291996503613</v>
      </c>
      <c r="N30" s="56">
        <f t="shared" si="11"/>
        <v>0.1852453148506171</v>
      </c>
      <c r="O30" s="56">
        <f t="shared" si="12"/>
        <v>0.12483943904389613</v>
      </c>
    </row>
    <row r="31" spans="1:16">
      <c r="A31" s="13" t="s">
        <v>7</v>
      </c>
      <c r="B31" s="13" t="s">
        <v>8</v>
      </c>
      <c r="C31" s="19">
        <f t="shared" si="1"/>
        <v>-2.9349597754021182</v>
      </c>
      <c r="D31" s="19">
        <f t="shared" si="2"/>
        <v>-55.519911239825177</v>
      </c>
      <c r="E31" s="19">
        <f t="shared" si="3"/>
        <v>7.7269644255496937E-25</v>
      </c>
      <c r="F31" s="19">
        <f>SUM(E31:E34)</f>
        <v>7.7147722017052877E-24</v>
      </c>
      <c r="G31" s="56">
        <f t="shared" si="5"/>
        <v>0.10015803737979083</v>
      </c>
      <c r="H31" s="37">
        <f t="shared" si="4"/>
        <v>2.6890714699385318E-5</v>
      </c>
      <c r="I31" s="19">
        <f t="shared" si="6"/>
        <v>-53.218905273152515</v>
      </c>
      <c r="J31" s="19">
        <f t="shared" si="7"/>
        <v>-2.8133212532155003</v>
      </c>
      <c r="K31" s="37">
        <f t="shared" si="8"/>
        <v>-2.8132943625008009</v>
      </c>
      <c r="L31" s="19">
        <f t="shared" si="9"/>
        <v>6.0006981661719291E-2</v>
      </c>
      <c r="M31" s="19">
        <f t="shared" si="10"/>
        <v>0.22483291996503613</v>
      </c>
      <c r="N31" s="56">
        <f t="shared" si="11"/>
        <v>0.26689588727064972</v>
      </c>
      <c r="O31" s="56">
        <f t="shared" si="12"/>
        <v>2.6731768253766174E-2</v>
      </c>
    </row>
    <row r="32" spans="1:16">
      <c r="A32" s="13" t="s">
        <v>17</v>
      </c>
      <c r="B32" s="13" t="s">
        <v>8</v>
      </c>
      <c r="C32" s="19">
        <f t="shared" si="1"/>
        <v>-2.9065320779727317</v>
      </c>
      <c r="D32" s="19">
        <f t="shared" si="2"/>
        <v>-54.982151488819426</v>
      </c>
      <c r="E32" s="19">
        <f t="shared" si="3"/>
        <v>1.3229852590902416E-24</v>
      </c>
      <c r="F32" s="19">
        <f>SUM(E31:E34)</f>
        <v>7.7147722017052877E-24</v>
      </c>
      <c r="G32" s="56">
        <f t="shared" si="5"/>
        <v>0.17148727460777216</v>
      </c>
      <c r="H32" s="37">
        <f t="shared" si="4"/>
        <v>2.6890714699385318E-5</v>
      </c>
      <c r="I32" s="19">
        <f t="shared" si="6"/>
        <v>-53.218905273152515</v>
      </c>
      <c r="J32" s="19">
        <f t="shared" si="7"/>
        <v>-2.8133212532155003</v>
      </c>
      <c r="K32" s="37">
        <f t="shared" si="8"/>
        <v>-2.8132943625008009</v>
      </c>
      <c r="L32" s="19">
        <f t="shared" si="9"/>
        <v>6.0006981661719291E-2</v>
      </c>
      <c r="M32" s="19">
        <f t="shared" si="10"/>
        <v>0.22483291996503613</v>
      </c>
      <c r="N32" s="56">
        <f t="shared" si="11"/>
        <v>0.26689588727064972</v>
      </c>
      <c r="O32" s="56">
        <f t="shared" si="12"/>
        <v>4.5769248312066912E-2</v>
      </c>
    </row>
    <row r="33" spans="1:15">
      <c r="A33" s="13" t="s">
        <v>20</v>
      </c>
      <c r="B33" s="13" t="s">
        <v>8</v>
      </c>
      <c r="C33" s="19">
        <f t="shared" si="1"/>
        <v>-2.8925602818849754</v>
      </c>
      <c r="D33" s="19">
        <f t="shared" si="2"/>
        <v>-54.717850463246805</v>
      </c>
      <c r="E33" s="19">
        <f t="shared" si="3"/>
        <v>1.7232150628849666E-24</v>
      </c>
      <c r="F33" s="19">
        <f>SUM(E31:E34)</f>
        <v>7.7147722017052877E-24</v>
      </c>
      <c r="G33" s="56">
        <f t="shared" si="5"/>
        <v>0.2233656442252519</v>
      </c>
      <c r="H33" s="37">
        <f t="shared" si="4"/>
        <v>2.6890714699385318E-5</v>
      </c>
      <c r="I33" s="19">
        <f t="shared" si="6"/>
        <v>-53.218905273152515</v>
      </c>
      <c r="J33" s="19">
        <f t="shared" si="7"/>
        <v>-2.8133212532155003</v>
      </c>
      <c r="K33" s="37">
        <f t="shared" si="8"/>
        <v>-2.8132943625008009</v>
      </c>
      <c r="L33" s="19">
        <f t="shared" si="9"/>
        <v>6.0006981661719291E-2</v>
      </c>
      <c r="M33" s="19">
        <f t="shared" si="10"/>
        <v>0.22483291996503613</v>
      </c>
      <c r="N33" s="56">
        <f t="shared" si="11"/>
        <v>0.26689588727064972</v>
      </c>
      <c r="O33" s="56">
        <f t="shared" si="12"/>
        <v>5.9615371801278884E-2</v>
      </c>
    </row>
    <row r="34" spans="1:15">
      <c r="A34" s="13" t="s">
        <v>21</v>
      </c>
      <c r="B34" s="13" t="s">
        <v>8</v>
      </c>
      <c r="C34" s="19">
        <f t="shared" si="1"/>
        <v>-2.8494383669467211</v>
      </c>
      <c r="D34" s="19">
        <f t="shared" si="2"/>
        <v>-53.902123818565563</v>
      </c>
      <c r="E34" s="19">
        <f t="shared" si="3"/>
        <v>3.8958754371751105E-24</v>
      </c>
      <c r="F34" s="19">
        <f>SUM(E31:E34)</f>
        <v>7.7147722017052877E-24</v>
      </c>
      <c r="G34" s="56">
        <f t="shared" si="5"/>
        <v>0.50498904378718512</v>
      </c>
      <c r="H34" s="37">
        <f t="shared" si="4"/>
        <v>2.6890714699385318E-5</v>
      </c>
      <c r="I34" s="19">
        <f t="shared" si="6"/>
        <v>-53.218905273152515</v>
      </c>
      <c r="J34" s="19">
        <f t="shared" si="7"/>
        <v>-2.8133212532155003</v>
      </c>
      <c r="K34" s="37">
        <f t="shared" si="8"/>
        <v>-2.8132943625008009</v>
      </c>
      <c r="L34" s="19">
        <f t="shared" si="9"/>
        <v>6.0006981661719291E-2</v>
      </c>
      <c r="M34" s="19">
        <f t="shared" si="10"/>
        <v>0.22483291996503613</v>
      </c>
      <c r="N34" s="56">
        <f t="shared" si="11"/>
        <v>0.26689588727064972</v>
      </c>
      <c r="O34" s="56">
        <f t="shared" si="12"/>
        <v>0.13477949890353777</v>
      </c>
    </row>
    <row r="35" spans="1:15">
      <c r="A35" s="13" t="s">
        <v>9</v>
      </c>
      <c r="B35" s="13" t="s">
        <v>10</v>
      </c>
      <c r="C35" s="19">
        <f t="shared" si="1"/>
        <v>-2.3915720676009342</v>
      </c>
      <c r="D35" s="19">
        <f t="shared" si="2"/>
        <v>-2.3915720676009342</v>
      </c>
      <c r="E35" s="19">
        <f t="shared" si="3"/>
        <v>9.148574898752912E-2</v>
      </c>
      <c r="F35" s="19">
        <f>SUM(E35)</f>
        <v>9.148574898752912E-2</v>
      </c>
      <c r="G35" s="56">
        <f t="shared" si="5"/>
        <v>1</v>
      </c>
      <c r="H35" s="37">
        <f t="shared" si="4"/>
        <v>1.0099999999999999E-14</v>
      </c>
      <c r="I35" s="19">
        <f t="shared" si="6"/>
        <v>-2.3915720676009342</v>
      </c>
      <c r="J35" s="19">
        <f t="shared" si="7"/>
        <v>-2.3915720676009342</v>
      </c>
      <c r="K35" s="37">
        <f t="shared" si="8"/>
        <v>-2.391572067600924</v>
      </c>
      <c r="L35" s="19">
        <f t="shared" si="9"/>
        <v>9.1485748987530049E-2</v>
      </c>
      <c r="M35" s="19">
        <f>SUM(L$35,L$36)</f>
        <v>0.16583868945999303</v>
      </c>
      <c r="N35" s="56">
        <f t="shared" si="11"/>
        <v>0.55165504072317273</v>
      </c>
      <c r="O35" s="56">
        <f t="shared" si="12"/>
        <v>0.55165504072317273</v>
      </c>
    </row>
    <row r="36" spans="1:15">
      <c r="A36" s="13" t="s">
        <v>11</v>
      </c>
      <c r="B36" s="13" t="s">
        <v>12</v>
      </c>
      <c r="C36" s="19">
        <f t="shared" si="1"/>
        <v>-2.6881270948444316</v>
      </c>
      <c r="D36" s="19">
        <f t="shared" si="2"/>
        <v>-53.762541896888628</v>
      </c>
      <c r="E36" s="19">
        <f t="shared" si="3"/>
        <v>4.4794502863950234E-24</v>
      </c>
      <c r="F36" s="19">
        <f>SUM(E36:E37)</f>
        <v>2.6666312798375432E-23</v>
      </c>
      <c r="G36" s="56">
        <f t="shared" si="5"/>
        <v>0.16798161486607632</v>
      </c>
      <c r="H36" s="37">
        <f t="shared" si="4"/>
        <v>7.4999999999999996E-15</v>
      </c>
      <c r="I36" s="19">
        <f t="shared" si="6"/>
        <v>-51.978641156000293</v>
      </c>
      <c r="J36" s="19">
        <f t="shared" si="7"/>
        <v>-2.598932057800015</v>
      </c>
      <c r="K36" s="37">
        <f t="shared" si="8"/>
        <v>-2.5989320578000075</v>
      </c>
      <c r="L36" s="19">
        <f t="shared" si="9"/>
        <v>7.4352940472462964E-2</v>
      </c>
      <c r="M36" s="19">
        <f t="shared" ref="M36:M37" si="13">SUM(L$35,L$36)</f>
        <v>0.16583868945999303</v>
      </c>
      <c r="N36" s="56">
        <f t="shared" si="11"/>
        <v>0.44834495927682716</v>
      </c>
      <c r="O36" s="56">
        <f t="shared" si="12"/>
        <v>7.5313710276386656E-2</v>
      </c>
    </row>
    <row r="37" spans="1:15">
      <c r="A37" s="13" t="s">
        <v>19</v>
      </c>
      <c r="B37" s="13" t="s">
        <v>12</v>
      </c>
      <c r="C37" s="19">
        <f t="shared" si="1"/>
        <v>-2.6081270948444319</v>
      </c>
      <c r="D37" s="19">
        <f t="shared" si="2"/>
        <v>-52.162541896888634</v>
      </c>
      <c r="E37" s="19">
        <f t="shared" si="3"/>
        <v>2.2186862511980409E-23</v>
      </c>
      <c r="F37" s="19">
        <f>SUM(E36:E37)</f>
        <v>2.6666312798375432E-23</v>
      </c>
      <c r="G37" s="56">
        <f t="shared" si="5"/>
        <v>0.83201838513392368</v>
      </c>
      <c r="H37" s="37">
        <f t="shared" si="4"/>
        <v>7.4999999999999996E-15</v>
      </c>
      <c r="I37" s="19">
        <f t="shared" si="6"/>
        <v>-51.978641156000293</v>
      </c>
      <c r="J37" s="19">
        <f t="shared" si="7"/>
        <v>-2.598932057800015</v>
      </c>
      <c r="K37" s="37">
        <f t="shared" si="8"/>
        <v>-2.5989320578000075</v>
      </c>
      <c r="L37" s="19">
        <f t="shared" si="9"/>
        <v>7.4352940472462964E-2</v>
      </c>
      <c r="M37" s="19">
        <f t="shared" si="13"/>
        <v>0.16583868945999303</v>
      </c>
      <c r="N37" s="56">
        <f t="shared" si="11"/>
        <v>0.44834495927682716</v>
      </c>
      <c r="O37" s="56">
        <f t="shared" si="12"/>
        <v>0.37303124900044049</v>
      </c>
    </row>
    <row r="38" spans="1:15">
      <c r="A38" s="13" t="s">
        <v>13</v>
      </c>
      <c r="B38" s="13" t="s">
        <v>14</v>
      </c>
      <c r="C38" s="19">
        <f t="shared" si="1"/>
        <v>2.1121845757925386</v>
      </c>
      <c r="D38" s="19">
        <f t="shared" si="2"/>
        <v>2.1121845757925386</v>
      </c>
      <c r="E38" s="19">
        <f t="shared" si="3"/>
        <v>8.2662798890434352</v>
      </c>
      <c r="F38" s="19">
        <f>SUM(E38:E39)</f>
        <v>9.791953336585479</v>
      </c>
      <c r="G38" s="56">
        <f t="shared" si="5"/>
        <v>0.84419110313345747</v>
      </c>
      <c r="H38" s="37">
        <f t="shared" si="4"/>
        <v>6.2592186372571523E-5</v>
      </c>
      <c r="I38" s="19">
        <f t="shared" si="6"/>
        <v>2.2815609602955313</v>
      </c>
      <c r="J38" s="19">
        <f t="shared" si="7"/>
        <v>2.2815609602955313</v>
      </c>
      <c r="K38" s="37">
        <f t="shared" si="8"/>
        <v>2.281623552481904</v>
      </c>
      <c r="L38" s="19">
        <f t="shared" si="9"/>
        <v>9.7925662555354442</v>
      </c>
      <c r="M38" s="19">
        <f>SUM(L$38)</f>
        <v>9.7925662555354442</v>
      </c>
      <c r="N38" s="56">
        <f t="shared" si="11"/>
        <v>1</v>
      </c>
      <c r="O38" s="56">
        <f t="shared" si="12"/>
        <v>0.84419110313345747</v>
      </c>
    </row>
    <row r="39" spans="1:15">
      <c r="A39" s="13" t="s">
        <v>16</v>
      </c>
      <c r="B39" s="13" t="s">
        <v>14</v>
      </c>
      <c r="C39" s="19">
        <f t="shared" si="1"/>
        <v>0.4224359175262104</v>
      </c>
      <c r="D39" s="19">
        <f t="shared" si="2"/>
        <v>0.4224359175262104</v>
      </c>
      <c r="E39" s="19">
        <f t="shared" si="3"/>
        <v>1.5256734475420437</v>
      </c>
      <c r="F39" s="19">
        <f>SUM(E38:E39)</f>
        <v>9.791953336585479</v>
      </c>
      <c r="G39" s="56">
        <f t="shared" si="5"/>
        <v>0.15580889686654251</v>
      </c>
      <c r="H39" s="37">
        <f t="shared" si="4"/>
        <v>6.2592186372571523E-5</v>
      </c>
      <c r="I39" s="19">
        <f t="shared" si="6"/>
        <v>2.2815609602955313</v>
      </c>
      <c r="J39" s="19">
        <f t="shared" si="7"/>
        <v>2.2815609602955313</v>
      </c>
      <c r="K39" s="37">
        <f t="shared" si="8"/>
        <v>2.281623552481904</v>
      </c>
      <c r="L39" s="19">
        <f t="shared" si="9"/>
        <v>9.7925662555354442</v>
      </c>
      <c r="M39" s="19">
        <f>SUM(L$38)</f>
        <v>9.7925662555354442</v>
      </c>
      <c r="N39" s="56">
        <f t="shared" si="11"/>
        <v>1</v>
      </c>
      <c r="O39" s="56">
        <f t="shared" si="12"/>
        <v>0.15580889686654251</v>
      </c>
    </row>
    <row r="41" spans="1:15">
      <c r="A41" s="14" t="s">
        <v>83</v>
      </c>
      <c r="B41" s="12"/>
      <c r="C41" s="19" t="s">
        <v>88</v>
      </c>
      <c r="D41" s="12"/>
      <c r="E41" s="12"/>
    </row>
    <row r="42" spans="1:15">
      <c r="A42" s="17" t="s">
        <v>22</v>
      </c>
      <c r="B42" s="17" t="s">
        <v>23</v>
      </c>
      <c r="C42" s="33" t="s">
        <v>89</v>
      </c>
      <c r="D42" s="59" t="s">
        <v>61</v>
      </c>
      <c r="E42" s="59" t="s">
        <v>62</v>
      </c>
    </row>
    <row r="43" spans="1:15">
      <c r="A43" s="18" t="s">
        <v>0</v>
      </c>
      <c r="B43" s="18" t="s">
        <v>1</v>
      </c>
      <c r="C43" s="32">
        <v>11043.537988757</v>
      </c>
      <c r="D43" s="60">
        <f>C43*N27</f>
        <v>6050.299446848534</v>
      </c>
      <c r="E43" s="60">
        <f>C43*O27</f>
        <v>3447.870555574319</v>
      </c>
    </row>
    <row r="44" spans="1:15">
      <c r="A44" s="18" t="s">
        <v>18</v>
      </c>
      <c r="B44" s="18" t="s">
        <v>1</v>
      </c>
      <c r="C44" s="32">
        <v>11043.537988757</v>
      </c>
      <c r="D44" s="60">
        <f t="shared" ref="D44:D55" si="14">C44*N28</f>
        <v>6050.299446848534</v>
      </c>
      <c r="E44" s="60">
        <f t="shared" ref="E44:E55" si="15">C44*O28</f>
        <v>2602.4288912742145</v>
      </c>
    </row>
    <row r="45" spans="1:15">
      <c r="A45" s="18" t="s">
        <v>4</v>
      </c>
      <c r="B45" s="18" t="s">
        <v>5</v>
      </c>
      <c r="C45" s="32">
        <v>11043.537988757</v>
      </c>
      <c r="D45" s="60">
        <f t="shared" si="14"/>
        <v>2045.7636717920411</v>
      </c>
      <c r="E45" s="60">
        <f t="shared" si="15"/>
        <v>667.09458421566035</v>
      </c>
    </row>
    <row r="46" spans="1:15">
      <c r="A46" s="18" t="s">
        <v>15</v>
      </c>
      <c r="B46" s="18" t="s">
        <v>5</v>
      </c>
      <c r="C46" s="32">
        <v>11043.537988757</v>
      </c>
      <c r="D46" s="60">
        <f t="shared" si="14"/>
        <v>2045.7636717920411</v>
      </c>
      <c r="E46" s="60">
        <f t="shared" si="15"/>
        <v>1378.6690875763807</v>
      </c>
    </row>
    <row r="47" spans="1:15">
      <c r="A47" s="18" t="s">
        <v>7</v>
      </c>
      <c r="B47" s="18" t="s">
        <v>8</v>
      </c>
      <c r="C47" s="32">
        <v>11043.537988757</v>
      </c>
      <c r="D47" s="60">
        <f t="shared" si="14"/>
        <v>2947.4748701164258</v>
      </c>
      <c r="E47" s="60">
        <f t="shared" si="15"/>
        <v>295.2132982171151</v>
      </c>
    </row>
    <row r="48" spans="1:15">
      <c r="A48" s="18" t="s">
        <v>17</v>
      </c>
      <c r="B48" s="18" t="s">
        <v>8</v>
      </c>
      <c r="C48" s="32">
        <v>11043.537988757</v>
      </c>
      <c r="D48" s="60">
        <f t="shared" si="14"/>
        <v>2947.4748701164258</v>
      </c>
      <c r="E48" s="60">
        <f t="shared" si="15"/>
        <v>505.45443245116314</v>
      </c>
    </row>
    <row r="49" spans="1:5">
      <c r="A49" s="18" t="s">
        <v>20</v>
      </c>
      <c r="B49" s="18" t="s">
        <v>8</v>
      </c>
      <c r="C49" s="32">
        <v>11043.537988757</v>
      </c>
      <c r="D49" s="60">
        <f t="shared" si="14"/>
        <v>2947.4748701164258</v>
      </c>
      <c r="E49" s="60">
        <f t="shared" si="15"/>
        <v>658.36462320129613</v>
      </c>
    </row>
    <row r="50" spans="1:5">
      <c r="A50" s="18" t="s">
        <v>21</v>
      </c>
      <c r="B50" s="18" t="s">
        <v>8</v>
      </c>
      <c r="C50" s="32">
        <v>11043.537988757</v>
      </c>
      <c r="D50" s="60">
        <f t="shared" si="14"/>
        <v>2947.4748701164258</v>
      </c>
      <c r="E50" s="60">
        <f t="shared" si="15"/>
        <v>1488.4425162468517</v>
      </c>
    </row>
    <row r="51" spans="1:5">
      <c r="A51" s="18" t="s">
        <v>9</v>
      </c>
      <c r="B51" s="18" t="s">
        <v>10</v>
      </c>
      <c r="C51" s="32">
        <v>5325.00924646976</v>
      </c>
      <c r="D51" s="60">
        <f t="shared" si="14"/>
        <v>2937.568192712547</v>
      </c>
      <c r="E51" s="60">
        <f t="shared" si="15"/>
        <v>2937.568192712547</v>
      </c>
    </row>
    <row r="52" spans="1:5">
      <c r="A52" s="18" t="s">
        <v>11</v>
      </c>
      <c r="B52" s="18" t="s">
        <v>12</v>
      </c>
      <c r="C52" s="32">
        <v>5325.00924646976</v>
      </c>
      <c r="D52" s="60">
        <f t="shared" si="14"/>
        <v>2387.4410537572126</v>
      </c>
      <c r="E52" s="60">
        <f t="shared" si="15"/>
        <v>401.04620360770355</v>
      </c>
    </row>
    <row r="53" spans="1:5">
      <c r="A53" s="18" t="s">
        <v>19</v>
      </c>
      <c r="B53" s="18" t="s">
        <v>12</v>
      </c>
      <c r="C53" s="32">
        <v>5325.00924646976</v>
      </c>
      <c r="D53" s="60">
        <f t="shared" si="14"/>
        <v>2387.4410537572126</v>
      </c>
      <c r="E53" s="60">
        <f t="shared" si="15"/>
        <v>1986.394850149509</v>
      </c>
    </row>
    <row r="54" spans="1:5">
      <c r="A54" s="18" t="s">
        <v>13</v>
      </c>
      <c r="B54" s="18" t="s">
        <v>14</v>
      </c>
      <c r="C54" s="32">
        <v>4589.6151212347104</v>
      </c>
      <c r="D54" s="60">
        <f t="shared" si="14"/>
        <v>4589.6151212347104</v>
      </c>
      <c r="E54" s="60">
        <f t="shared" si="15"/>
        <v>3874.5122521531271</v>
      </c>
    </row>
    <row r="55" spans="1:5">
      <c r="A55" s="18" t="s">
        <v>16</v>
      </c>
      <c r="B55" s="18" t="s">
        <v>14</v>
      </c>
      <c r="C55" s="32">
        <v>4589.6151212347104</v>
      </c>
      <c r="D55" s="60">
        <f t="shared" si="14"/>
        <v>4589.6151212347104</v>
      </c>
      <c r="E55" s="60">
        <f t="shared" si="15"/>
        <v>715.10286908158298</v>
      </c>
    </row>
    <row r="57" spans="1:5">
      <c r="A57" s="50"/>
      <c r="B57" s="51"/>
    </row>
    <row r="58" spans="1:5">
      <c r="A58" s="52"/>
      <c r="B58" s="52"/>
    </row>
    <row r="59" spans="1:5">
      <c r="A59" s="52"/>
      <c r="B59" s="53"/>
    </row>
    <row r="60" spans="1:5">
      <c r="A60" s="52"/>
      <c r="B60" s="53"/>
    </row>
    <row r="61" spans="1:5">
      <c r="A61" s="52"/>
      <c r="B61" s="53"/>
    </row>
    <row r="62" spans="1:5">
      <c r="A62" s="52"/>
      <c r="B62" s="53"/>
    </row>
    <row r="63" spans="1:5">
      <c r="A63" s="52"/>
      <c r="B63" s="53"/>
    </row>
    <row r="64" spans="1:5">
      <c r="A64" s="52"/>
      <c r="B64" s="53"/>
    </row>
    <row r="65" spans="1:2">
      <c r="A65" s="52"/>
      <c r="B65" s="53"/>
    </row>
    <row r="66" spans="1:2">
      <c r="A66" s="52"/>
      <c r="B66" s="5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03C6-5887-47F7-9778-268EFF312BEE}">
  <dimension ref="A1:Q85"/>
  <sheetViews>
    <sheetView tabSelected="1" topLeftCell="A5" zoomScale="55" zoomScaleNormal="55" workbookViewId="0">
      <selection activeCell="A35" sqref="A35"/>
    </sheetView>
  </sheetViews>
  <sheetFormatPr defaultRowHeight="14.5"/>
  <cols>
    <col min="1" max="1" width="62.1796875" bestFit="1" customWidth="1"/>
    <col min="2" max="3" width="31.6328125" bestFit="1" customWidth="1"/>
    <col min="4" max="4" width="17.26953125" bestFit="1" customWidth="1"/>
    <col min="5" max="5" width="40.08984375" bestFit="1" customWidth="1"/>
    <col min="6" max="6" width="24.54296875" bestFit="1" customWidth="1"/>
    <col min="7" max="7" width="84.36328125" bestFit="1" customWidth="1"/>
    <col min="8" max="8" width="22.6328125" bestFit="1" customWidth="1"/>
    <col min="9" max="9" width="27.26953125" bestFit="1" customWidth="1"/>
    <col min="10" max="10" width="25.6328125" bestFit="1" customWidth="1"/>
    <col min="11" max="11" width="27.26953125" bestFit="1" customWidth="1"/>
    <col min="12" max="12" width="28.90625" bestFit="1" customWidth="1"/>
    <col min="13" max="13" width="24.54296875" bestFit="1" customWidth="1"/>
  </cols>
  <sheetData>
    <row r="1" spans="1:16" ht="23">
      <c r="A1" s="102" t="s">
        <v>94</v>
      </c>
      <c r="B1" s="12"/>
      <c r="C1" s="12"/>
      <c r="D1" s="12"/>
      <c r="E1" s="12"/>
      <c r="F1" s="12"/>
      <c r="G1" s="12"/>
      <c r="H1" s="12"/>
      <c r="I1" s="12"/>
      <c r="J1" s="12"/>
    </row>
    <row r="2" spans="1:16">
      <c r="A2" s="36" t="s">
        <v>22</v>
      </c>
      <c r="B2" s="36" t="s">
        <v>23</v>
      </c>
      <c r="C2" s="89" t="s">
        <v>84</v>
      </c>
      <c r="D2" s="89" t="s">
        <v>85</v>
      </c>
      <c r="E2" s="31" t="s">
        <v>86</v>
      </c>
      <c r="F2" s="58" t="s">
        <v>87</v>
      </c>
      <c r="G2" s="61" t="s">
        <v>92</v>
      </c>
      <c r="H2" s="31" t="s">
        <v>90</v>
      </c>
      <c r="I2" s="62" t="s">
        <v>91</v>
      </c>
      <c r="J2" s="61" t="s">
        <v>93</v>
      </c>
      <c r="N2" s="9"/>
      <c r="O2" s="9" t="s">
        <v>56</v>
      </c>
      <c r="P2" s="9" t="s">
        <v>57</v>
      </c>
    </row>
    <row r="3" spans="1:16">
      <c r="A3" s="13" t="s">
        <v>0</v>
      </c>
      <c r="B3" s="13" t="s">
        <v>1</v>
      </c>
      <c r="C3" s="89">
        <v>4</v>
      </c>
      <c r="D3" s="89">
        <v>5</v>
      </c>
      <c r="E3" s="66">
        <f>BEFORE_ADJ!O11</f>
        <v>3221.3371030796402</v>
      </c>
      <c r="F3" s="67">
        <f>'STEP 1'!E43</f>
        <v>3447.870555574319</v>
      </c>
      <c r="G3" s="65">
        <f>F3-E3</f>
        <v>226.53345249467884</v>
      </c>
      <c r="H3" s="64">
        <f>BEFORE_ADJ!R11</f>
        <v>6019.9970622475403</v>
      </c>
      <c r="I3" s="63">
        <f>'STEP 1'!D43</f>
        <v>6050.299446848534</v>
      </c>
      <c r="J3" s="65">
        <f>I3-H3</f>
        <v>30.302384600993719</v>
      </c>
      <c r="N3" s="5" t="s">
        <v>1</v>
      </c>
      <c r="O3" s="5">
        <v>6019.9970622475403</v>
      </c>
      <c r="P3" s="5">
        <v>6167.1103285525396</v>
      </c>
    </row>
    <row r="4" spans="1:16">
      <c r="A4" s="13" t="s">
        <v>18</v>
      </c>
      <c r="B4" s="13" t="s">
        <v>1</v>
      </c>
      <c r="C4" s="89">
        <v>3</v>
      </c>
      <c r="D4" s="89">
        <v>3</v>
      </c>
      <c r="E4" s="66">
        <f>BEFORE_ADJ!O12</f>
        <v>2798.6599591679001</v>
      </c>
      <c r="F4" s="67">
        <f>'STEP 1'!E44</f>
        <v>2602.4288912742145</v>
      </c>
      <c r="G4" s="65">
        <f>F4-E4</f>
        <v>-196.23106789368558</v>
      </c>
      <c r="H4" s="64">
        <f>BEFORE_ADJ!R12</f>
        <v>6019.9970622475403</v>
      </c>
      <c r="I4" s="63">
        <f>'STEP 1'!D44</f>
        <v>6050.299446848534</v>
      </c>
      <c r="J4" s="65">
        <f>I4-H4</f>
        <v>30.302384600993719</v>
      </c>
      <c r="N4" s="5" t="s">
        <v>5</v>
      </c>
      <c r="O4" s="5">
        <v>2057.4262358262299</v>
      </c>
      <c r="P4" s="5">
        <v>2079.0302331352</v>
      </c>
    </row>
    <row r="5" spans="1:16">
      <c r="A5" s="13" t="s">
        <v>4</v>
      </c>
      <c r="B5" s="13" t="s">
        <v>5</v>
      </c>
      <c r="C5" s="89">
        <v>4</v>
      </c>
      <c r="D5" s="89">
        <v>5</v>
      </c>
      <c r="E5" s="66">
        <f>BEFORE_ADJ!O13</f>
        <v>670.89758131280701</v>
      </c>
      <c r="F5" s="67">
        <f>'STEP 1'!E45</f>
        <v>667.09458421566035</v>
      </c>
      <c r="G5" s="65">
        <f>F5-E5</f>
        <v>-3.8029970971466582</v>
      </c>
      <c r="H5" s="64">
        <f>BEFORE_ADJ!R13</f>
        <v>2057.4262358262299</v>
      </c>
      <c r="I5" s="63">
        <f>'STEP 1'!D45</f>
        <v>2045.7636717920411</v>
      </c>
      <c r="J5" s="65">
        <f>I5-H5</f>
        <v>-11.66256403418879</v>
      </c>
      <c r="N5" s="5" t="s">
        <v>8</v>
      </c>
      <c r="O5" s="5">
        <v>2966.1146906832901</v>
      </c>
      <c r="P5" s="5">
        <v>2961.7588583397701</v>
      </c>
    </row>
    <row r="6" spans="1:16">
      <c r="A6" s="13" t="s">
        <v>15</v>
      </c>
      <c r="B6" s="13" t="s">
        <v>5</v>
      </c>
      <c r="C6" s="89">
        <v>2</v>
      </c>
      <c r="D6" s="89">
        <v>1</v>
      </c>
      <c r="E6" s="66">
        <f>BEFORE_ADJ!O14</f>
        <v>1386.52865451342</v>
      </c>
      <c r="F6" s="67">
        <f>'STEP 1'!E46</f>
        <v>1378.6690875763807</v>
      </c>
      <c r="G6" s="65">
        <f>F6-E6</f>
        <v>-7.8595669370392898</v>
      </c>
      <c r="H6" s="64">
        <f>BEFORE_ADJ!R14</f>
        <v>2057.4262358262299</v>
      </c>
      <c r="I6" s="63">
        <f>'STEP 1'!D46</f>
        <v>2045.7636717920411</v>
      </c>
      <c r="J6" s="65">
        <f>I6-H6</f>
        <v>-11.66256403418879</v>
      </c>
      <c r="N6" s="5" t="s">
        <v>10</v>
      </c>
      <c r="O6" s="5">
        <v>2929.5563999781202</v>
      </c>
      <c r="P6" s="5">
        <v>2933.5386873322</v>
      </c>
    </row>
    <row r="7" spans="1:16">
      <c r="A7" s="13" t="s">
        <v>7</v>
      </c>
      <c r="B7" s="13" t="s">
        <v>8</v>
      </c>
      <c r="C7" s="89">
        <v>4</v>
      </c>
      <c r="D7" s="89">
        <v>5</v>
      </c>
      <c r="E7" s="66">
        <f>BEFORE_ADJ!O15</f>
        <v>257.26123425411902</v>
      </c>
      <c r="F7" s="67">
        <f>'STEP 1'!E47</f>
        <v>295.2132982171151</v>
      </c>
      <c r="G7" s="65">
        <f>F7-E7</f>
        <v>37.952063962996078</v>
      </c>
      <c r="H7" s="64">
        <f>BEFORE_ADJ!R15</f>
        <v>2966.1146906832901</v>
      </c>
      <c r="I7" s="63">
        <f>'STEP 1'!D47</f>
        <v>2947.4748701164258</v>
      </c>
      <c r="J7" s="65">
        <f>I7-H7</f>
        <v>-18.639820566864273</v>
      </c>
      <c r="N7" s="5" t="s">
        <v>12</v>
      </c>
      <c r="O7" s="5">
        <v>2395.4528464916398</v>
      </c>
      <c r="P7" s="5">
        <v>2427.7552426480302</v>
      </c>
    </row>
    <row r="8" spans="1:16">
      <c r="A8" s="13" t="s">
        <v>17</v>
      </c>
      <c r="B8" s="13" t="s">
        <v>8</v>
      </c>
      <c r="C8" s="89">
        <v>2</v>
      </c>
      <c r="D8" s="89">
        <v>1</v>
      </c>
      <c r="E8" s="66">
        <f>BEFORE_ADJ!O16</f>
        <v>573.72651088856605</v>
      </c>
      <c r="F8" s="67">
        <f>'STEP 1'!E48</f>
        <v>505.45443245116314</v>
      </c>
      <c r="G8" s="65">
        <f>F8-E8</f>
        <v>-68.272078437402911</v>
      </c>
      <c r="H8" s="64">
        <f>BEFORE_ADJ!R16</f>
        <v>2966.1146906832901</v>
      </c>
      <c r="I8" s="63">
        <f>'STEP 1'!D48</f>
        <v>2947.4748701164258</v>
      </c>
      <c r="J8" s="65">
        <f>I8-H8</f>
        <v>-18.639820566864273</v>
      </c>
      <c r="N8" s="5" t="s">
        <v>14</v>
      </c>
      <c r="O8" s="5">
        <v>4589.6151212347104</v>
      </c>
      <c r="P8" s="5">
        <v>4571.8743112662996</v>
      </c>
    </row>
    <row r="9" spans="1:16">
      <c r="A9" s="13" t="s">
        <v>20</v>
      </c>
      <c r="B9" s="13" t="s">
        <v>8</v>
      </c>
      <c r="C9" s="89">
        <v>3</v>
      </c>
      <c r="D9" s="89">
        <v>3</v>
      </c>
      <c r="E9" s="66">
        <f>BEFORE_ADJ!O17</f>
        <v>654.782640302343</v>
      </c>
      <c r="F9" s="67">
        <f>'STEP 1'!E49</f>
        <v>658.36462320129613</v>
      </c>
      <c r="G9" s="65">
        <f>F9-E9</f>
        <v>3.5819828989531288</v>
      </c>
      <c r="H9" s="64">
        <f>BEFORE_ADJ!R17</f>
        <v>2966.1146906832901</v>
      </c>
      <c r="I9" s="63">
        <f>'STEP 1'!D49</f>
        <v>2947.4748701164258</v>
      </c>
      <c r="J9" s="65">
        <f>I9-H9</f>
        <v>-18.639820566864273</v>
      </c>
    </row>
    <row r="10" spans="1:16">
      <c r="A10" s="13" t="s">
        <v>21</v>
      </c>
      <c r="B10" s="13" t="s">
        <v>8</v>
      </c>
      <c r="C10" s="89">
        <v>2</v>
      </c>
      <c r="D10" s="89">
        <v>2</v>
      </c>
      <c r="E10" s="66">
        <f>BEFORE_ADJ!O18</f>
        <v>1480.3443052382599</v>
      </c>
      <c r="F10" s="67">
        <f>'STEP 1'!E50</f>
        <v>1488.4425162468517</v>
      </c>
      <c r="G10" s="65">
        <f>F10-E10</f>
        <v>8.0982110085917611</v>
      </c>
      <c r="H10" s="64">
        <f>BEFORE_ADJ!R18</f>
        <v>2966.1146906832901</v>
      </c>
      <c r="I10" s="63">
        <f>'STEP 1'!D50</f>
        <v>2947.4748701164258</v>
      </c>
      <c r="J10" s="65">
        <f>I10-H10</f>
        <v>-18.639820566864273</v>
      </c>
    </row>
    <row r="11" spans="1:16">
      <c r="A11" s="13" t="s">
        <v>9</v>
      </c>
      <c r="B11" s="13" t="s">
        <v>10</v>
      </c>
      <c r="C11" s="89">
        <v>4</v>
      </c>
      <c r="D11" s="89">
        <v>5</v>
      </c>
      <c r="E11" s="66">
        <f>BEFORE_ADJ!O19</f>
        <v>2929.5563999781202</v>
      </c>
      <c r="F11" s="67">
        <f>'STEP 1'!E51</f>
        <v>2937.568192712547</v>
      </c>
      <c r="G11" s="65">
        <f>F11-E11</f>
        <v>8.0117927344267628</v>
      </c>
      <c r="H11" s="64">
        <f>BEFORE_ADJ!R19</f>
        <v>2929.5563999781202</v>
      </c>
      <c r="I11" s="63">
        <f>'STEP 1'!D51</f>
        <v>2937.568192712547</v>
      </c>
      <c r="J11" s="65">
        <f>I11-H11</f>
        <v>8.0117927344267628</v>
      </c>
    </row>
    <row r="12" spans="1:16">
      <c r="A12" s="13" t="s">
        <v>11</v>
      </c>
      <c r="B12" s="13" t="s">
        <v>12</v>
      </c>
      <c r="C12" s="89">
        <v>4</v>
      </c>
      <c r="D12" s="89">
        <v>5</v>
      </c>
      <c r="E12" s="66">
        <f>BEFORE_ADJ!O20</f>
        <v>402.39203748920301</v>
      </c>
      <c r="F12" s="67">
        <f>'STEP 1'!E52</f>
        <v>401.04620360770355</v>
      </c>
      <c r="G12" s="65">
        <f>F12-E12</f>
        <v>-1.345833881499459</v>
      </c>
      <c r="H12" s="64">
        <f>BEFORE_ADJ!R20</f>
        <v>2395.4528464916398</v>
      </c>
      <c r="I12" s="63">
        <f>'STEP 1'!D52</f>
        <v>2387.4410537572126</v>
      </c>
      <c r="J12" s="65">
        <f>I12-H12</f>
        <v>-8.0117927344272175</v>
      </c>
    </row>
    <row r="13" spans="1:16">
      <c r="A13" s="13" t="s">
        <v>19</v>
      </c>
      <c r="B13" s="13" t="s">
        <v>12</v>
      </c>
      <c r="C13" s="89">
        <v>3</v>
      </c>
      <c r="D13" s="89">
        <v>3</v>
      </c>
      <c r="E13" s="66">
        <f>BEFORE_ADJ!O21</f>
        <v>1993.06080900244</v>
      </c>
      <c r="F13" s="67">
        <f>'STEP 1'!E53</f>
        <v>1986.394850149509</v>
      </c>
      <c r="G13" s="65">
        <f>F13-E13</f>
        <v>-6.6659588529309985</v>
      </c>
      <c r="H13" s="64">
        <f>BEFORE_ADJ!R21</f>
        <v>2395.4528464916398</v>
      </c>
      <c r="I13" s="63">
        <f>'STEP 1'!D53</f>
        <v>2387.4410537572126</v>
      </c>
      <c r="J13" s="65">
        <f>I13-H13</f>
        <v>-8.0117927344272175</v>
      </c>
    </row>
    <row r="14" spans="1:16">
      <c r="A14" s="13" t="s">
        <v>13</v>
      </c>
      <c r="B14" s="13" t="s">
        <v>14</v>
      </c>
      <c r="C14" s="89">
        <v>4</v>
      </c>
      <c r="D14" s="89">
        <v>5</v>
      </c>
      <c r="E14" s="66">
        <f>BEFORE_ADJ!O22</f>
        <v>3210.39360736558</v>
      </c>
      <c r="F14" s="67">
        <f>'STEP 1'!E54</f>
        <v>3874.5122521531271</v>
      </c>
      <c r="G14" s="65">
        <f>F14-E14</f>
        <v>664.11864478754705</v>
      </c>
      <c r="H14" s="64">
        <f>BEFORE_ADJ!R22</f>
        <v>4589.6151212347104</v>
      </c>
      <c r="I14" s="63">
        <f>'STEP 1'!D54</f>
        <v>4589.6151212347104</v>
      </c>
      <c r="J14" s="65">
        <f>I14-H14</f>
        <v>0</v>
      </c>
    </row>
    <row r="15" spans="1:16">
      <c r="A15" s="13" t="s">
        <v>16</v>
      </c>
      <c r="B15" s="13" t="s">
        <v>14</v>
      </c>
      <c r="C15" s="89">
        <v>2</v>
      </c>
      <c r="D15" s="89">
        <v>1</v>
      </c>
      <c r="E15" s="66">
        <f>BEFORE_ADJ!O23</f>
        <v>1379.2215138691199</v>
      </c>
      <c r="F15" s="67">
        <f>'STEP 1'!E55</f>
        <v>715.10286908158298</v>
      </c>
      <c r="G15" s="65">
        <f>F15-E15</f>
        <v>-664.11864478753694</v>
      </c>
      <c r="H15" s="64">
        <f>BEFORE_ADJ!R23</f>
        <v>4589.6151212347104</v>
      </c>
      <c r="I15" s="63">
        <f>'STEP 1'!D55</f>
        <v>4589.6151212347104</v>
      </c>
      <c r="J15" s="65">
        <f>I15-H15</f>
        <v>0</v>
      </c>
    </row>
    <row r="17" spans="1:17" ht="21">
      <c r="A17" s="103" t="s">
        <v>113</v>
      </c>
      <c r="E17" t="s">
        <v>96</v>
      </c>
      <c r="G17" s="103" t="s">
        <v>114</v>
      </c>
      <c r="N17" s="1"/>
      <c r="O17" s="8" t="s">
        <v>23</v>
      </c>
      <c r="P17" s="8" t="s">
        <v>58</v>
      </c>
      <c r="Q17" s="4" t="s">
        <v>59</v>
      </c>
    </row>
    <row r="18" spans="1:17">
      <c r="A18" s="17" t="s">
        <v>22</v>
      </c>
      <c r="B18" s="17" t="s">
        <v>23</v>
      </c>
      <c r="C18" s="19" t="s">
        <v>84</v>
      </c>
      <c r="D18" s="19" t="s">
        <v>85</v>
      </c>
      <c r="E18" s="19" t="s">
        <v>60</v>
      </c>
      <c r="F18" s="70" t="s">
        <v>97</v>
      </c>
      <c r="G18" s="69" t="s">
        <v>72</v>
      </c>
      <c r="H18" s="61" t="s">
        <v>98</v>
      </c>
      <c r="N18" s="1"/>
      <c r="O18" s="8" t="s">
        <v>1</v>
      </c>
      <c r="P18" s="8">
        <v>7</v>
      </c>
      <c r="Q18" s="8">
        <v>8</v>
      </c>
    </row>
    <row r="19" spans="1:17">
      <c r="A19" s="18" t="s">
        <v>0</v>
      </c>
      <c r="B19" s="18" t="s">
        <v>1</v>
      </c>
      <c r="C19" s="12">
        <f>VLOOKUP(B19,$O$17:$Q$23,2,0)</f>
        <v>7</v>
      </c>
      <c r="D19" s="12">
        <f>VLOOKUP(B19,$O$17:$Q$23,3,0)</f>
        <v>8</v>
      </c>
      <c r="E19" s="68">
        <f>BEFORE_ADJ!H11*1000</f>
        <v>881.01576122179108</v>
      </c>
      <c r="F19" s="71">
        <f>E19*(D19-C19)</f>
        <v>881.01576122179108</v>
      </c>
      <c r="G19" s="104">
        <f>'STEP 1'!G27</f>
        <v>0.56986775379691967</v>
      </c>
      <c r="H19" s="65">
        <f>G19*F19</f>
        <v>502.06247290714543</v>
      </c>
      <c r="N19" s="1"/>
      <c r="O19" s="8" t="s">
        <v>5</v>
      </c>
      <c r="P19" s="8">
        <v>6</v>
      </c>
      <c r="Q19" s="8">
        <v>6</v>
      </c>
    </row>
    <row r="20" spans="1:17">
      <c r="A20" s="18" t="s">
        <v>18</v>
      </c>
      <c r="B20" s="18" t="s">
        <v>1</v>
      </c>
      <c r="C20" s="12">
        <f t="shared" ref="C20:C31" si="0">VLOOKUP(B20,$O$17:$Q$23,2,0)</f>
        <v>7</v>
      </c>
      <c r="D20" s="12">
        <f t="shared" ref="D20:D31" si="1">VLOOKUP(B20,$O$17:$Q$23,3,0)</f>
        <v>8</v>
      </c>
      <c r="E20" s="68">
        <f>BEFORE_ADJ!H12*1000</f>
        <v>881.01576122179108</v>
      </c>
      <c r="F20" s="71">
        <f t="shared" ref="F20:F31" si="2">E20*(D20-C20)</f>
        <v>881.01576122179108</v>
      </c>
      <c r="G20" s="104">
        <f>'STEP 1'!G28</f>
        <v>0.43013224620308038</v>
      </c>
      <c r="H20" s="65">
        <f t="shared" ref="H20:H31" si="3">G20*F20</f>
        <v>378.9532883146457</v>
      </c>
      <c r="N20" s="1"/>
      <c r="O20" s="8" t="s">
        <v>8</v>
      </c>
      <c r="P20" s="8">
        <v>11</v>
      </c>
      <c r="Q20" s="8">
        <v>11</v>
      </c>
    </row>
    <row r="21" spans="1:17">
      <c r="A21" s="18" t="s">
        <v>4</v>
      </c>
      <c r="B21" s="18" t="s">
        <v>5</v>
      </c>
      <c r="C21" s="12">
        <f t="shared" si="0"/>
        <v>6</v>
      </c>
      <c r="D21" s="12">
        <f t="shared" si="1"/>
        <v>6</v>
      </c>
      <c r="E21" s="68">
        <f>BEFORE_ADJ!H13*1000</f>
        <v>346.50503885586795</v>
      </c>
      <c r="F21" s="71">
        <f t="shared" si="2"/>
        <v>0</v>
      </c>
      <c r="G21" s="104">
        <f>'STEP 1'!G29</f>
        <v>0.3260858492180092</v>
      </c>
      <c r="H21" s="65">
        <f t="shared" si="3"/>
        <v>0</v>
      </c>
      <c r="N21" s="1"/>
      <c r="O21" s="8" t="s">
        <v>10</v>
      </c>
      <c r="P21" s="8">
        <v>4</v>
      </c>
      <c r="Q21" s="8">
        <v>5</v>
      </c>
    </row>
    <row r="22" spans="1:17">
      <c r="A22" s="18" t="s">
        <v>15</v>
      </c>
      <c r="B22" s="18" t="s">
        <v>5</v>
      </c>
      <c r="C22" s="12">
        <f t="shared" si="0"/>
        <v>6</v>
      </c>
      <c r="D22" s="12">
        <f t="shared" si="1"/>
        <v>6</v>
      </c>
      <c r="E22" s="68">
        <f>BEFORE_ADJ!H14*1000</f>
        <v>346.50503885586795</v>
      </c>
      <c r="F22" s="71">
        <f t="shared" si="2"/>
        <v>0</v>
      </c>
      <c r="G22" s="104">
        <f>'STEP 1'!G30</f>
        <v>0.6739141507819908</v>
      </c>
      <c r="H22" s="65">
        <f t="shared" si="3"/>
        <v>0</v>
      </c>
      <c r="N22" s="1"/>
      <c r="O22" s="8" t="s">
        <v>12</v>
      </c>
      <c r="P22" s="8">
        <v>7</v>
      </c>
      <c r="Q22" s="8">
        <v>8</v>
      </c>
    </row>
    <row r="23" spans="1:17">
      <c r="A23" s="18" t="s">
        <v>7</v>
      </c>
      <c r="B23" s="18" t="s">
        <v>8</v>
      </c>
      <c r="C23" s="12">
        <f t="shared" si="0"/>
        <v>11</v>
      </c>
      <c r="D23" s="12">
        <f t="shared" si="1"/>
        <v>11</v>
      </c>
      <c r="E23" s="68">
        <f>BEFORE_ADJ!H15*1000</f>
        <v>269.250805303616</v>
      </c>
      <c r="F23" s="71">
        <f t="shared" si="2"/>
        <v>0</v>
      </c>
      <c r="G23" s="104">
        <f>'STEP 1'!G31</f>
        <v>0.10015803737979083</v>
      </c>
      <c r="H23" s="65">
        <f t="shared" si="3"/>
        <v>0</v>
      </c>
      <c r="N23" s="1"/>
      <c r="O23" s="8" t="s">
        <v>14</v>
      </c>
      <c r="P23" s="8">
        <v>6</v>
      </c>
      <c r="Q23" s="5">
        <v>6</v>
      </c>
    </row>
    <row r="24" spans="1:17">
      <c r="A24" s="18" t="s">
        <v>17</v>
      </c>
      <c r="B24" s="18" t="s">
        <v>8</v>
      </c>
      <c r="C24" s="12">
        <f t="shared" si="0"/>
        <v>11</v>
      </c>
      <c r="D24" s="12">
        <f t="shared" si="1"/>
        <v>11</v>
      </c>
      <c r="E24" s="68">
        <f>BEFORE_ADJ!H16*1000</f>
        <v>269.250805303616</v>
      </c>
      <c r="F24" s="71">
        <f t="shared" si="2"/>
        <v>0</v>
      </c>
      <c r="G24" s="104">
        <f>'STEP 1'!G32</f>
        <v>0.17148727460777216</v>
      </c>
      <c r="H24" s="65">
        <f t="shared" si="3"/>
        <v>0</v>
      </c>
    </row>
    <row r="25" spans="1:17">
      <c r="A25" s="18" t="s">
        <v>20</v>
      </c>
      <c r="B25" s="18" t="s">
        <v>8</v>
      </c>
      <c r="C25" s="12">
        <f t="shared" si="0"/>
        <v>11</v>
      </c>
      <c r="D25" s="12">
        <f t="shared" si="1"/>
        <v>11</v>
      </c>
      <c r="E25" s="68">
        <f>BEFORE_ADJ!H17*1000</f>
        <v>269.250805303616</v>
      </c>
      <c r="F25" s="71">
        <f t="shared" si="2"/>
        <v>0</v>
      </c>
      <c r="G25" s="104">
        <f>'STEP 1'!G33</f>
        <v>0.2233656442252519</v>
      </c>
      <c r="H25" s="65">
        <f t="shared" si="3"/>
        <v>0</v>
      </c>
    </row>
    <row r="26" spans="1:17">
      <c r="A26" s="18" t="s">
        <v>21</v>
      </c>
      <c r="B26" s="18" t="s">
        <v>8</v>
      </c>
      <c r="C26" s="12">
        <f t="shared" si="0"/>
        <v>11</v>
      </c>
      <c r="D26" s="12">
        <f t="shared" si="1"/>
        <v>11</v>
      </c>
      <c r="E26" s="68">
        <f>BEFORE_ADJ!H18*1000</f>
        <v>269.250805303616</v>
      </c>
      <c r="F26" s="71">
        <f t="shared" si="2"/>
        <v>0</v>
      </c>
      <c r="G26" s="104">
        <f>'STEP 1'!G34</f>
        <v>0.50498904378718512</v>
      </c>
      <c r="H26" s="65">
        <f t="shared" si="3"/>
        <v>0</v>
      </c>
    </row>
    <row r="27" spans="1:17">
      <c r="A27" s="18" t="s">
        <v>9</v>
      </c>
      <c r="B27" s="18" t="s">
        <v>10</v>
      </c>
      <c r="C27" s="12">
        <f t="shared" si="0"/>
        <v>4</v>
      </c>
      <c r="D27" s="12">
        <f t="shared" si="1"/>
        <v>5</v>
      </c>
      <c r="E27" s="68">
        <f>BEFORE_ADJ!H19*1000</f>
        <v>733.38467183305102</v>
      </c>
      <c r="F27" s="71">
        <f t="shared" si="2"/>
        <v>733.38467183305102</v>
      </c>
      <c r="G27" s="104">
        <f>'STEP 1'!G35</f>
        <v>1</v>
      </c>
      <c r="H27" s="65">
        <f t="shared" si="3"/>
        <v>733.38467183305102</v>
      </c>
    </row>
    <row r="28" spans="1:17">
      <c r="A28" s="18" t="s">
        <v>11</v>
      </c>
      <c r="B28" s="18" t="s">
        <v>12</v>
      </c>
      <c r="C28" s="12">
        <f t="shared" si="0"/>
        <v>7</v>
      </c>
      <c r="D28" s="12">
        <f t="shared" si="1"/>
        <v>8</v>
      </c>
      <c r="E28" s="68">
        <f>BEFORE_ADJ!H20*1000</f>
        <v>346.82217752114803</v>
      </c>
      <c r="F28" s="71">
        <f t="shared" si="2"/>
        <v>346.82217752114803</v>
      </c>
      <c r="G28" s="104">
        <f>'STEP 1'!G36</f>
        <v>0.16798161486607632</v>
      </c>
      <c r="H28" s="65">
        <f t="shared" si="3"/>
        <v>58.259749451371441</v>
      </c>
    </row>
    <row r="29" spans="1:17">
      <c r="A29" s="18" t="s">
        <v>19</v>
      </c>
      <c r="B29" s="18" t="s">
        <v>12</v>
      </c>
      <c r="C29" s="12">
        <f t="shared" si="0"/>
        <v>7</v>
      </c>
      <c r="D29" s="12">
        <f t="shared" si="1"/>
        <v>8</v>
      </c>
      <c r="E29" s="68">
        <f>BEFORE_ADJ!H21*1000</f>
        <v>346.82217752114803</v>
      </c>
      <c r="F29" s="71">
        <f t="shared" si="2"/>
        <v>346.82217752114803</v>
      </c>
      <c r="G29" s="104">
        <f>'STEP 1'!G37</f>
        <v>0.83201838513392368</v>
      </c>
      <c r="H29" s="65">
        <f t="shared" si="3"/>
        <v>288.56242806977662</v>
      </c>
    </row>
    <row r="30" spans="1:17">
      <c r="A30" s="18" t="s">
        <v>13</v>
      </c>
      <c r="B30" s="18" t="s">
        <v>14</v>
      </c>
      <c r="C30" s="12">
        <f t="shared" si="0"/>
        <v>6</v>
      </c>
      <c r="D30" s="12">
        <f t="shared" si="1"/>
        <v>6</v>
      </c>
      <c r="E30" s="68">
        <f>BEFORE_ADJ!H22*1000</f>
        <v>761.97905187771698</v>
      </c>
      <c r="F30" s="71">
        <f t="shared" si="2"/>
        <v>0</v>
      </c>
      <c r="G30" s="104">
        <f>'STEP 1'!G38</f>
        <v>0.84419110313345747</v>
      </c>
      <c r="H30" s="65">
        <f t="shared" si="3"/>
        <v>0</v>
      </c>
    </row>
    <row r="31" spans="1:17">
      <c r="A31" s="18" t="s">
        <v>16</v>
      </c>
      <c r="B31" s="18" t="s">
        <v>14</v>
      </c>
      <c r="C31" s="12">
        <f t="shared" si="0"/>
        <v>6</v>
      </c>
      <c r="D31" s="12">
        <f t="shared" si="1"/>
        <v>6</v>
      </c>
      <c r="E31" s="68">
        <f>BEFORE_ADJ!H23*1000</f>
        <v>761.97905187771698</v>
      </c>
      <c r="F31" s="71">
        <f t="shared" si="2"/>
        <v>0</v>
      </c>
      <c r="G31" s="104">
        <f>'STEP 1'!G39</f>
        <v>0.15580889686654251</v>
      </c>
      <c r="H31" s="65">
        <f t="shared" si="3"/>
        <v>0</v>
      </c>
    </row>
    <row r="34" spans="1:13">
      <c r="A34" s="72"/>
      <c r="B34" s="73"/>
      <c r="C34" s="74"/>
      <c r="D34" s="74"/>
      <c r="E34" s="74"/>
      <c r="F34" s="74"/>
      <c r="G34" s="74"/>
      <c r="H34" s="74"/>
    </row>
    <row r="35" spans="1:13" ht="21">
      <c r="A35" s="103" t="s">
        <v>115</v>
      </c>
      <c r="B35" s="75"/>
      <c r="C35" s="73"/>
      <c r="D35" s="76"/>
      <c r="E35" s="76"/>
      <c r="F35" s="79"/>
      <c r="G35" s="80"/>
      <c r="H35" s="76"/>
      <c r="J35" s="11"/>
      <c r="K35" s="11"/>
    </row>
    <row r="36" spans="1:13">
      <c r="A36" s="77"/>
      <c r="B36" s="77"/>
      <c r="C36" s="78"/>
      <c r="D36" s="73"/>
      <c r="E36" s="73"/>
      <c r="F36" s="78"/>
      <c r="G36" s="73"/>
      <c r="H36" s="73"/>
    </row>
    <row r="37" spans="1:13">
      <c r="A37" s="14"/>
      <c r="B37" s="19"/>
      <c r="C37" s="105" t="s">
        <v>71</v>
      </c>
      <c r="D37" s="16"/>
      <c r="E37" s="16"/>
      <c r="F37" s="16"/>
      <c r="G37" s="16"/>
      <c r="H37" s="16"/>
      <c r="I37" s="16"/>
      <c r="J37" s="16"/>
      <c r="K37" s="12"/>
      <c r="L37" s="12"/>
      <c r="M37" s="12"/>
    </row>
    <row r="38" spans="1:13">
      <c r="A38" s="18" t="s">
        <v>22</v>
      </c>
      <c r="B38" s="19" t="s">
        <v>101</v>
      </c>
      <c r="C38" s="106" t="s">
        <v>63</v>
      </c>
      <c r="D38" s="24" t="s">
        <v>64</v>
      </c>
      <c r="E38" s="24" t="s">
        <v>65</v>
      </c>
      <c r="F38" s="24" t="s">
        <v>66</v>
      </c>
      <c r="G38" s="24" t="s">
        <v>67</v>
      </c>
      <c r="H38" s="24" t="s">
        <v>68</v>
      </c>
      <c r="I38" s="24" t="s">
        <v>69</v>
      </c>
      <c r="J38" s="24" t="s">
        <v>70</v>
      </c>
      <c r="K38" s="89" t="s">
        <v>85</v>
      </c>
      <c r="L38" s="89" t="s">
        <v>84</v>
      </c>
      <c r="M38" s="107" t="s">
        <v>87</v>
      </c>
    </row>
    <row r="39" spans="1:13">
      <c r="A39" s="18" t="s">
        <v>0</v>
      </c>
      <c r="B39" s="19">
        <v>0</v>
      </c>
      <c r="C39" s="24">
        <v>1</v>
      </c>
      <c r="D39" s="16"/>
      <c r="E39" s="16"/>
      <c r="F39" s="16"/>
      <c r="G39" s="16"/>
      <c r="H39" s="16"/>
      <c r="I39" s="16"/>
      <c r="J39" s="16"/>
      <c r="K39" s="90">
        <f>VLOOKUP(A39,$A$2:$J$15,4,0)</f>
        <v>5</v>
      </c>
      <c r="L39" s="91">
        <f>VLOOKUP(A39,$A$2:$J$15,3,0)</f>
        <v>4</v>
      </c>
      <c r="M39" s="108">
        <f>VLOOKUP(A39,$A$2:$J$15,6,0)</f>
        <v>3447.870555574319</v>
      </c>
    </row>
    <row r="40" spans="1:13">
      <c r="A40" s="18" t="s">
        <v>4</v>
      </c>
      <c r="B40" s="19">
        <v>0</v>
      </c>
      <c r="C40" s="24">
        <v>1</v>
      </c>
      <c r="D40" s="16">
        <v>1</v>
      </c>
      <c r="E40" s="16"/>
      <c r="F40" s="16"/>
      <c r="G40" s="16"/>
      <c r="H40" s="16"/>
      <c r="I40" s="16"/>
      <c r="J40" s="16"/>
      <c r="K40" s="90">
        <f>VLOOKUP(A40,$A$2:$J$15,4,0)</f>
        <v>5</v>
      </c>
      <c r="L40" s="91">
        <f>VLOOKUP(A40,$A$2:$J$15,3,0)</f>
        <v>4</v>
      </c>
      <c r="M40" s="108">
        <f>VLOOKUP(A40,$A$2:$J$15,6,0)</f>
        <v>667.09458421566035</v>
      </c>
    </row>
    <row r="41" spans="1:13">
      <c r="A41" s="18" t="s">
        <v>7</v>
      </c>
      <c r="B41" s="19">
        <v>0</v>
      </c>
      <c r="C41" s="24">
        <v>1</v>
      </c>
      <c r="D41" s="16">
        <v>1</v>
      </c>
      <c r="E41" s="16">
        <v>1</v>
      </c>
      <c r="F41" s="16"/>
      <c r="G41" s="16"/>
      <c r="H41" s="16"/>
      <c r="I41" s="16"/>
      <c r="J41" s="16"/>
      <c r="K41" s="90">
        <f>VLOOKUP(A41,$A$2:$J$15,4,0)</f>
        <v>5</v>
      </c>
      <c r="L41" s="91">
        <f>VLOOKUP(A41,$A$2:$J$15,3,0)</f>
        <v>4</v>
      </c>
      <c r="M41" s="108">
        <f>VLOOKUP(A41,$A$2:$J$15,6,0)</f>
        <v>295.2132982171151</v>
      </c>
    </row>
    <row r="42" spans="1:13">
      <c r="A42" s="18" t="s">
        <v>9</v>
      </c>
      <c r="B42" s="19">
        <v>0</v>
      </c>
      <c r="C42" s="16"/>
      <c r="D42" s="24">
        <v>1</v>
      </c>
      <c r="E42" s="16"/>
      <c r="F42" s="16"/>
      <c r="G42" s="16"/>
      <c r="H42" s="16"/>
      <c r="I42" s="16"/>
      <c r="J42" s="16"/>
      <c r="K42" s="90">
        <f>VLOOKUP(A42,$A$2:$J$15,4,0)</f>
        <v>5</v>
      </c>
      <c r="L42" s="91">
        <f>VLOOKUP(A42,$A$2:$J$15,3,0)</f>
        <v>4</v>
      </c>
      <c r="M42" s="108">
        <f>VLOOKUP(A42,$A$2:$J$15,6,0)</f>
        <v>2937.568192712547</v>
      </c>
    </row>
    <row r="43" spans="1:13">
      <c r="A43" s="18" t="s">
        <v>11</v>
      </c>
      <c r="B43" s="19">
        <v>0</v>
      </c>
      <c r="C43" s="16"/>
      <c r="D43" s="24">
        <v>1</v>
      </c>
      <c r="E43" s="16">
        <v>1</v>
      </c>
      <c r="F43" s="16"/>
      <c r="G43" s="16"/>
      <c r="H43" s="16"/>
      <c r="I43" s="16"/>
      <c r="J43" s="16"/>
      <c r="K43" s="90">
        <f>VLOOKUP(A43,$A$2:$J$15,4,0)</f>
        <v>5</v>
      </c>
      <c r="L43" s="91">
        <f>VLOOKUP(A43,$A$2:$J$15,3,0)</f>
        <v>4</v>
      </c>
      <c r="M43" s="108">
        <f>VLOOKUP(A43,$A$2:$J$15,6,0)</f>
        <v>401.04620360770355</v>
      </c>
    </row>
    <row r="44" spans="1:13">
      <c r="A44" s="18" t="s">
        <v>13</v>
      </c>
      <c r="B44" s="19">
        <v>0</v>
      </c>
      <c r="C44" s="16"/>
      <c r="D44" s="16"/>
      <c r="E44" s="24">
        <v>1</v>
      </c>
      <c r="F44" s="16"/>
      <c r="G44" s="16"/>
      <c r="H44" s="16"/>
      <c r="I44" s="16"/>
      <c r="J44" s="16"/>
      <c r="K44" s="90">
        <f>VLOOKUP(A44,$A$2:$J$15,4,0)</f>
        <v>5</v>
      </c>
      <c r="L44" s="91">
        <f>VLOOKUP(A44,$A$2:$J$15,3,0)</f>
        <v>4</v>
      </c>
      <c r="M44" s="108">
        <f>VLOOKUP(A44,$A$2:$J$15,6,0)</f>
        <v>3874.5122521531271</v>
      </c>
    </row>
    <row r="45" spans="1:13">
      <c r="A45" s="81" t="s">
        <v>15</v>
      </c>
      <c r="B45" s="19">
        <v>1</v>
      </c>
      <c r="C45" s="16"/>
      <c r="D45" s="16"/>
      <c r="E45" s="16"/>
      <c r="F45" s="24">
        <v>1</v>
      </c>
      <c r="G45" s="16"/>
      <c r="H45" s="16"/>
      <c r="I45" s="16"/>
      <c r="J45" s="16"/>
      <c r="K45" s="90">
        <f>VLOOKUP(A45,$A$2:$J$15,4,0)</f>
        <v>1</v>
      </c>
      <c r="L45" s="91">
        <f>VLOOKUP(A45,$A$2:$J$15,3,0)</f>
        <v>2</v>
      </c>
      <c r="M45" s="108">
        <f>VLOOKUP(A45,$A$2:$J$15,6,0)</f>
        <v>1378.6690875763807</v>
      </c>
    </row>
    <row r="46" spans="1:13">
      <c r="A46" s="81" t="s">
        <v>16</v>
      </c>
      <c r="B46" s="19">
        <v>1</v>
      </c>
      <c r="C46" s="16"/>
      <c r="D46" s="16"/>
      <c r="E46" s="16"/>
      <c r="F46" s="16"/>
      <c r="G46" s="24">
        <v>1</v>
      </c>
      <c r="H46" s="16"/>
      <c r="I46" s="16"/>
      <c r="J46" s="16"/>
      <c r="K46" s="90">
        <f>VLOOKUP(A46,$A$2:$J$15,4,0)</f>
        <v>1</v>
      </c>
      <c r="L46" s="91">
        <f>VLOOKUP(A46,$A$2:$J$15,3,0)</f>
        <v>2</v>
      </c>
      <c r="M46" s="108">
        <f>VLOOKUP(A46,$A$2:$J$15,6,0)</f>
        <v>715.10286908158298</v>
      </c>
    </row>
    <row r="47" spans="1:13">
      <c r="A47" s="81" t="s">
        <v>17</v>
      </c>
      <c r="B47" s="19">
        <v>1</v>
      </c>
      <c r="C47" s="16"/>
      <c r="D47" s="16"/>
      <c r="E47" s="16"/>
      <c r="F47" s="24">
        <v>1</v>
      </c>
      <c r="G47" s="16">
        <v>1</v>
      </c>
      <c r="H47" s="16"/>
      <c r="I47" s="16"/>
      <c r="J47" s="16"/>
      <c r="K47" s="90">
        <f>VLOOKUP(A47,$A$2:$J$15,4,0)</f>
        <v>1</v>
      </c>
      <c r="L47" s="91">
        <f>VLOOKUP(A47,$A$2:$J$15,3,0)</f>
        <v>2</v>
      </c>
      <c r="M47" s="108">
        <f>VLOOKUP(A47,$A$2:$J$15,6,0)</f>
        <v>505.45443245116314</v>
      </c>
    </row>
    <row r="48" spans="1:13">
      <c r="A48" s="18" t="s">
        <v>18</v>
      </c>
      <c r="B48" s="19">
        <v>2</v>
      </c>
      <c r="C48" s="16"/>
      <c r="D48" s="16"/>
      <c r="E48" s="16"/>
      <c r="F48" s="16"/>
      <c r="G48" s="16"/>
      <c r="H48" s="24">
        <v>1</v>
      </c>
      <c r="I48" s="16"/>
      <c r="J48" s="16"/>
      <c r="K48" s="90">
        <f>VLOOKUP(A48,$A$2:$J$15,4,0)</f>
        <v>3</v>
      </c>
      <c r="L48" s="91">
        <f>VLOOKUP(A48,$A$2:$J$15,3,0)</f>
        <v>3</v>
      </c>
      <c r="M48" s="108">
        <f>VLOOKUP(A48,$A$2:$J$15,6,0)</f>
        <v>2602.4288912742145</v>
      </c>
    </row>
    <row r="49" spans="1:13">
      <c r="A49" s="18" t="s">
        <v>19</v>
      </c>
      <c r="B49" s="19">
        <v>2</v>
      </c>
      <c r="C49" s="16"/>
      <c r="D49" s="16"/>
      <c r="E49" s="16"/>
      <c r="F49" s="16"/>
      <c r="G49" s="16"/>
      <c r="H49" s="16"/>
      <c r="I49" s="24">
        <v>1</v>
      </c>
      <c r="J49" s="16"/>
      <c r="K49" s="90">
        <f>VLOOKUP(A49,$A$2:$J$15,4,0)</f>
        <v>3</v>
      </c>
      <c r="L49" s="91">
        <f>VLOOKUP(A49,$A$2:$J$15,3,0)</f>
        <v>3</v>
      </c>
      <c r="M49" s="108">
        <f>VLOOKUP(A49,$A$2:$J$15,6,0)</f>
        <v>1986.394850149509</v>
      </c>
    </row>
    <row r="50" spans="1:13">
      <c r="A50" s="18" t="s">
        <v>20</v>
      </c>
      <c r="B50" s="19">
        <v>2</v>
      </c>
      <c r="C50" s="16"/>
      <c r="D50" s="16"/>
      <c r="E50" s="16"/>
      <c r="F50" s="16"/>
      <c r="G50" s="16"/>
      <c r="H50" s="24">
        <v>1</v>
      </c>
      <c r="I50" s="16">
        <v>1</v>
      </c>
      <c r="J50" s="16"/>
      <c r="K50" s="90">
        <f>VLOOKUP(A50,$A$2:$J$15,4,0)</f>
        <v>3</v>
      </c>
      <c r="L50" s="91">
        <f>VLOOKUP(A50,$A$2:$J$15,3,0)</f>
        <v>3</v>
      </c>
      <c r="M50" s="108">
        <f>VLOOKUP(A50,$A$2:$J$15,6,0)</f>
        <v>658.36462320129613</v>
      </c>
    </row>
    <row r="51" spans="1:13">
      <c r="A51" s="18" t="s">
        <v>21</v>
      </c>
      <c r="B51" s="19">
        <v>3</v>
      </c>
      <c r="C51" s="16"/>
      <c r="D51" s="16"/>
      <c r="E51" s="16"/>
      <c r="F51" s="16"/>
      <c r="G51" s="16"/>
      <c r="H51" s="16"/>
      <c r="I51" s="16"/>
      <c r="J51" s="24">
        <v>1</v>
      </c>
      <c r="K51" s="90">
        <f>VLOOKUP(A51,$A$2:$J$15,4,0)</f>
        <v>2</v>
      </c>
      <c r="L51" s="91">
        <f>VLOOKUP(A51,$A$2:$J$15,3,0)</f>
        <v>2</v>
      </c>
      <c r="M51" s="108">
        <f>VLOOKUP(A51,$A$2:$J$15,6,0)</f>
        <v>1488.4425162468517</v>
      </c>
    </row>
    <row r="52" spans="1:13">
      <c r="C52" s="18" t="s">
        <v>63</v>
      </c>
      <c r="D52" s="18" t="s">
        <v>64</v>
      </c>
      <c r="E52" s="18" t="s">
        <v>65</v>
      </c>
      <c r="F52" s="18" t="s">
        <v>66</v>
      </c>
      <c r="G52" s="18" t="s">
        <v>67</v>
      </c>
      <c r="H52" s="18" t="s">
        <v>68</v>
      </c>
      <c r="I52" s="18" t="s">
        <v>69</v>
      </c>
      <c r="J52" s="18" t="s">
        <v>70</v>
      </c>
    </row>
    <row r="53" spans="1:13">
      <c r="C53" s="82">
        <f>C39*$M39</f>
        <v>3447.870555574319</v>
      </c>
      <c r="D53" s="82">
        <f>D39*$M39</f>
        <v>0</v>
      </c>
      <c r="E53" s="82">
        <f>E39*$M39</f>
        <v>0</v>
      </c>
      <c r="F53" s="82">
        <f>F39*$M39</f>
        <v>0</v>
      </c>
      <c r="G53" s="82">
        <f>G39*$M39</f>
        <v>0</v>
      </c>
      <c r="H53" s="82">
        <f>H39*$M39</f>
        <v>0</v>
      </c>
      <c r="I53" s="82">
        <f>I39*$M39</f>
        <v>0</v>
      </c>
      <c r="J53" s="82">
        <f>J39*$M39</f>
        <v>0</v>
      </c>
    </row>
    <row r="54" spans="1:13">
      <c r="C54" s="82">
        <f>C40*$M40</f>
        <v>667.09458421566035</v>
      </c>
      <c r="D54" s="82">
        <f>D40*$M40</f>
        <v>667.09458421566035</v>
      </c>
      <c r="E54" s="82">
        <f>E40*$M40</f>
        <v>0</v>
      </c>
      <c r="F54" s="82">
        <f>F40*$M40</f>
        <v>0</v>
      </c>
      <c r="G54" s="82">
        <f>G40*$M40</f>
        <v>0</v>
      </c>
      <c r="H54" s="82">
        <f>H40*$M40</f>
        <v>0</v>
      </c>
      <c r="I54" s="82">
        <f>I40*$M40</f>
        <v>0</v>
      </c>
      <c r="J54" s="82">
        <f>J40*$M40</f>
        <v>0</v>
      </c>
    </row>
    <row r="55" spans="1:13">
      <c r="C55" s="82">
        <f>C41*$M41</f>
        <v>295.2132982171151</v>
      </c>
      <c r="D55" s="82">
        <f>D41*$M41</f>
        <v>295.2132982171151</v>
      </c>
      <c r="E55" s="82">
        <f>E41*$M41</f>
        <v>295.2132982171151</v>
      </c>
      <c r="F55" s="82">
        <f>F41*$M41</f>
        <v>0</v>
      </c>
      <c r="G55" s="82">
        <f>G41*$M41</f>
        <v>0</v>
      </c>
      <c r="H55" s="82">
        <f>H41*$M41</f>
        <v>0</v>
      </c>
      <c r="I55" s="82">
        <f>I41*$M41</f>
        <v>0</v>
      </c>
      <c r="J55" s="82">
        <f>J41*$M41</f>
        <v>0</v>
      </c>
    </row>
    <row r="56" spans="1:13">
      <c r="C56" s="82">
        <f>C42*$M42</f>
        <v>0</v>
      </c>
      <c r="D56" s="82">
        <f>D42*$M42</f>
        <v>2937.568192712547</v>
      </c>
      <c r="E56" s="82">
        <f>E42*$M42</f>
        <v>0</v>
      </c>
      <c r="F56" s="82">
        <f>F42*$M42</f>
        <v>0</v>
      </c>
      <c r="G56" s="82">
        <f>G42*$M42</f>
        <v>0</v>
      </c>
      <c r="H56" s="82">
        <f>H42*$M42</f>
        <v>0</v>
      </c>
      <c r="I56" s="82">
        <f>I42*$M42</f>
        <v>0</v>
      </c>
      <c r="J56" s="82">
        <f>J42*$M42</f>
        <v>0</v>
      </c>
    </row>
    <row r="57" spans="1:13">
      <c r="C57" s="82">
        <f>C43*$M43</f>
        <v>0</v>
      </c>
      <c r="D57" s="82">
        <f>D43*$M43</f>
        <v>401.04620360770355</v>
      </c>
      <c r="E57" s="82">
        <f>E43*$M43</f>
        <v>401.04620360770355</v>
      </c>
      <c r="F57" s="82">
        <f>F43*$M43</f>
        <v>0</v>
      </c>
      <c r="G57" s="82">
        <f>G43*$M43</f>
        <v>0</v>
      </c>
      <c r="H57" s="82">
        <f>H43*$M43</f>
        <v>0</v>
      </c>
      <c r="I57" s="82">
        <f>I43*$M43</f>
        <v>0</v>
      </c>
      <c r="J57" s="82">
        <f>J43*$M43</f>
        <v>0</v>
      </c>
    </row>
    <row r="58" spans="1:13">
      <c r="C58" s="82">
        <f>C44*$M44</f>
        <v>0</v>
      </c>
      <c r="D58" s="82">
        <f>D44*$M44</f>
        <v>0</v>
      </c>
      <c r="E58" s="82">
        <f>E44*$M44</f>
        <v>3874.5122521531271</v>
      </c>
      <c r="F58" s="82">
        <f>F44*$M44</f>
        <v>0</v>
      </c>
      <c r="G58" s="82">
        <f>G44*$M44</f>
        <v>0</v>
      </c>
      <c r="H58" s="82">
        <f>H44*$M44</f>
        <v>0</v>
      </c>
      <c r="I58" s="82">
        <f>I44*$M44</f>
        <v>0</v>
      </c>
      <c r="J58" s="82">
        <f>J44*$M44</f>
        <v>0</v>
      </c>
    </row>
    <row r="59" spans="1:13">
      <c r="C59" s="82">
        <f>C45*$M45</f>
        <v>0</v>
      </c>
      <c r="D59" s="82">
        <f>D45*$M45</f>
        <v>0</v>
      </c>
      <c r="E59" s="82">
        <f>E45*$M45</f>
        <v>0</v>
      </c>
      <c r="F59" s="82">
        <f>F45*$M45</f>
        <v>1378.6690875763807</v>
      </c>
      <c r="G59" s="82">
        <f>G45*$M45</f>
        <v>0</v>
      </c>
      <c r="H59" s="82">
        <f>H45*$M45</f>
        <v>0</v>
      </c>
      <c r="I59" s="82">
        <f>I45*$M45</f>
        <v>0</v>
      </c>
      <c r="J59" s="82">
        <f>J45*$M45</f>
        <v>0</v>
      </c>
    </row>
    <row r="60" spans="1:13">
      <c r="C60" s="82">
        <f>C46*$M46</f>
        <v>0</v>
      </c>
      <c r="D60" s="82">
        <f>D46*$M46</f>
        <v>0</v>
      </c>
      <c r="E60" s="82">
        <f>E46*$M46</f>
        <v>0</v>
      </c>
      <c r="F60" s="82">
        <f>F46*$M46</f>
        <v>0</v>
      </c>
      <c r="G60" s="82">
        <f>G46*$M46</f>
        <v>715.10286908158298</v>
      </c>
      <c r="H60" s="82">
        <f>H46*$M46</f>
        <v>0</v>
      </c>
      <c r="I60" s="82">
        <f>I46*$M46</f>
        <v>0</v>
      </c>
      <c r="J60" s="82">
        <f>J46*$M46</f>
        <v>0</v>
      </c>
    </row>
    <row r="61" spans="1:13">
      <c r="C61" s="82">
        <f>C47*$M47</f>
        <v>0</v>
      </c>
      <c r="D61" s="82">
        <f>D47*$M47</f>
        <v>0</v>
      </c>
      <c r="E61" s="82">
        <f>E47*$M47</f>
        <v>0</v>
      </c>
      <c r="F61" s="82">
        <f>F47*$M47</f>
        <v>505.45443245116314</v>
      </c>
      <c r="G61" s="82">
        <f>G47*$M47</f>
        <v>505.45443245116314</v>
      </c>
      <c r="H61" s="82">
        <f>H47*$M47</f>
        <v>0</v>
      </c>
      <c r="I61" s="82">
        <f>I47*$M47</f>
        <v>0</v>
      </c>
      <c r="J61" s="82">
        <f>J47*$M47</f>
        <v>0</v>
      </c>
    </row>
    <row r="62" spans="1:13">
      <c r="C62" s="82">
        <f>C48*$M48</f>
        <v>0</v>
      </c>
      <c r="D62" s="82">
        <f>D48*$M48</f>
        <v>0</v>
      </c>
      <c r="E62" s="82">
        <f>E48*$M48</f>
        <v>0</v>
      </c>
      <c r="F62" s="82">
        <f>F48*$M48</f>
        <v>0</v>
      </c>
      <c r="G62" s="82">
        <f>G48*$M48</f>
        <v>0</v>
      </c>
      <c r="H62" s="82">
        <f>H48*$M48</f>
        <v>2602.4288912742145</v>
      </c>
      <c r="I62" s="82">
        <f>I48*$M48</f>
        <v>0</v>
      </c>
      <c r="J62" s="82">
        <f>J48*$M48</f>
        <v>0</v>
      </c>
    </row>
    <row r="63" spans="1:13">
      <c r="C63" s="82">
        <f>C49*$M49</f>
        <v>0</v>
      </c>
      <c r="D63" s="82">
        <f>D49*$M49</f>
        <v>0</v>
      </c>
      <c r="E63" s="82">
        <f>E49*$M49</f>
        <v>0</v>
      </c>
      <c r="F63" s="82">
        <f>F49*$M49</f>
        <v>0</v>
      </c>
      <c r="G63" s="82">
        <f>G49*$M49</f>
        <v>0</v>
      </c>
      <c r="H63" s="82">
        <f>H49*$M49</f>
        <v>0</v>
      </c>
      <c r="I63" s="82">
        <f>I49*$M49</f>
        <v>1986.394850149509</v>
      </c>
      <c r="J63" s="82">
        <f>J49*$M49</f>
        <v>0</v>
      </c>
    </row>
    <row r="64" spans="1:13">
      <c r="C64" s="82">
        <f>C50*$M50</f>
        <v>0</v>
      </c>
      <c r="D64" s="82">
        <f>D50*$M50</f>
        <v>0</v>
      </c>
      <c r="E64" s="82">
        <f>E50*$M50</f>
        <v>0</v>
      </c>
      <c r="F64" s="82">
        <f>F50*$M50</f>
        <v>0</v>
      </c>
      <c r="G64" s="82">
        <f>G50*$M50</f>
        <v>0</v>
      </c>
      <c r="H64" s="82">
        <f>H50*$M50</f>
        <v>658.36462320129613</v>
      </c>
      <c r="I64" s="82">
        <f>I50*$M50</f>
        <v>658.36462320129613</v>
      </c>
      <c r="J64" s="82">
        <f>J50*$M50</f>
        <v>0</v>
      </c>
    </row>
    <row r="65" spans="1:12">
      <c r="C65" s="82">
        <f>C51*$M51</f>
        <v>0</v>
      </c>
      <c r="D65" s="82">
        <f>D51*$M51</f>
        <v>0</v>
      </c>
      <c r="E65" s="82">
        <f>E51*$M51</f>
        <v>0</v>
      </c>
      <c r="F65" s="82">
        <f>F51*$M51</f>
        <v>0</v>
      </c>
      <c r="G65" s="82">
        <f>G51*$M51</f>
        <v>0</v>
      </c>
      <c r="H65" s="82">
        <f>H51*$M51</f>
        <v>0</v>
      </c>
      <c r="I65" s="82">
        <f>I51*$M51</f>
        <v>0</v>
      </c>
      <c r="J65" s="82">
        <f>J51*$M51</f>
        <v>1488.4425162468517</v>
      </c>
    </row>
    <row r="66" spans="1:12">
      <c r="C66" s="13" t="s">
        <v>63</v>
      </c>
      <c r="D66" s="13" t="s">
        <v>64</v>
      </c>
      <c r="E66" s="13" t="s">
        <v>65</v>
      </c>
      <c r="F66" s="13" t="s">
        <v>66</v>
      </c>
      <c r="G66" s="13" t="s">
        <v>67</v>
      </c>
      <c r="H66" s="13" t="s">
        <v>68</v>
      </c>
      <c r="I66" s="13" t="s">
        <v>69</v>
      </c>
      <c r="J66" s="13" t="s">
        <v>70</v>
      </c>
    </row>
    <row r="67" spans="1:12">
      <c r="C67" s="85">
        <f>SUM(C53:C65)</f>
        <v>4410.1784380070949</v>
      </c>
      <c r="D67" s="85">
        <f t="shared" ref="D67:J67" si="4">SUM(D53:D65)</f>
        <v>4300.9222787530261</v>
      </c>
      <c r="E67" s="85">
        <f t="shared" si="4"/>
        <v>4570.771753977946</v>
      </c>
      <c r="F67" s="85">
        <f t="shared" si="4"/>
        <v>1884.1235200275437</v>
      </c>
      <c r="G67" s="85">
        <f t="shared" si="4"/>
        <v>1220.5573015327461</v>
      </c>
      <c r="H67" s="85">
        <f t="shared" si="4"/>
        <v>3260.7935144755106</v>
      </c>
      <c r="I67" s="85">
        <f t="shared" si="4"/>
        <v>2644.7594733508049</v>
      </c>
      <c r="J67" s="85">
        <f t="shared" si="4"/>
        <v>1488.4425162468517</v>
      </c>
    </row>
    <row r="68" spans="1:12">
      <c r="B68" s="83"/>
      <c r="C68" s="51"/>
      <c r="D68" s="51"/>
      <c r="E68" s="51"/>
      <c r="F68" s="80"/>
      <c r="G68" s="80"/>
      <c r="H68" s="80"/>
      <c r="I68" s="80"/>
      <c r="J68" s="80"/>
    </row>
    <row r="69" spans="1:12">
      <c r="B69" s="83"/>
      <c r="C69" s="94" t="s">
        <v>111</v>
      </c>
      <c r="D69" s="51"/>
      <c r="E69" s="51"/>
      <c r="F69" s="80"/>
      <c r="G69" s="80"/>
      <c r="H69" s="80"/>
      <c r="I69" s="80"/>
      <c r="J69" s="94" t="s">
        <v>112</v>
      </c>
    </row>
    <row r="70" spans="1:12">
      <c r="A70" s="19" t="s">
        <v>99</v>
      </c>
      <c r="B70" s="97" t="s">
        <v>103</v>
      </c>
      <c r="C70" s="94" t="s">
        <v>102</v>
      </c>
      <c r="D70" s="46" t="s">
        <v>101</v>
      </c>
      <c r="E70" s="92" t="s">
        <v>84</v>
      </c>
      <c r="F70" s="92" t="s">
        <v>85</v>
      </c>
      <c r="G70" s="19" t="s">
        <v>105</v>
      </c>
      <c r="H70" s="19" t="s">
        <v>106</v>
      </c>
      <c r="I70" s="19" t="s">
        <v>109</v>
      </c>
      <c r="J70" s="94" t="s">
        <v>110</v>
      </c>
      <c r="K70" s="19" t="s">
        <v>107</v>
      </c>
      <c r="L70" s="19" t="s">
        <v>108</v>
      </c>
    </row>
    <row r="71" spans="1:12">
      <c r="A71" s="19" t="str">
        <f>C66</f>
        <v>0-A-B</v>
      </c>
      <c r="B71" s="98">
        <f>VLOOKUP(A71,BEFORE_ADJ!$A$42:$C$50,2,FALSE)</f>
        <v>4149.4959186465603</v>
      </c>
      <c r="C71" s="95">
        <f>C67</f>
        <v>4410.1784380070949</v>
      </c>
      <c r="D71" s="99">
        <v>0</v>
      </c>
      <c r="E71" s="92">
        <f>VLOOKUP(D71,$B$38:$L$51,11,FALSE)</f>
        <v>4</v>
      </c>
      <c r="F71" s="92">
        <f>VLOOKUP(D71,$B$38:$K$51,10,FALSE)</f>
        <v>5</v>
      </c>
      <c r="G71" s="19">
        <f>E71*1200</f>
        <v>4800</v>
      </c>
      <c r="H71" s="19">
        <f>F71*1200</f>
        <v>6000</v>
      </c>
      <c r="I71" s="86">
        <f>MIN(G71,B71)</f>
        <v>4149.4959186465603</v>
      </c>
      <c r="J71" s="109">
        <f>MIN(C71,H71)</f>
        <v>4410.1784380070949</v>
      </c>
      <c r="K71" s="86">
        <f>I71-B71</f>
        <v>0</v>
      </c>
      <c r="L71" s="86">
        <f>J71-C71</f>
        <v>0</v>
      </c>
    </row>
    <row r="72" spans="1:12">
      <c r="A72" s="19" t="str">
        <f>D66</f>
        <v>0-B-C</v>
      </c>
      <c r="B72" s="98">
        <f>VLOOKUP(A72,BEFORE_ADJ!$A$42:$C$50,2,FALSE)</f>
        <v>4260.1072530342499</v>
      </c>
      <c r="C72" s="96">
        <f>D67</f>
        <v>4300.9222787530261</v>
      </c>
      <c r="D72" s="100">
        <v>0</v>
      </c>
      <c r="E72" s="92">
        <f t="shared" ref="E72:E78" si="5">VLOOKUP(D72,$B$38:$L$51,11,FALSE)</f>
        <v>4</v>
      </c>
      <c r="F72" s="92">
        <f>VLOOKUP(D72,$B$38:$K$51,10,FALSE)</f>
        <v>5</v>
      </c>
      <c r="G72" s="19">
        <f t="shared" ref="G72:G78" si="6">E72*1200</f>
        <v>4800</v>
      </c>
      <c r="H72" s="19">
        <f>F72*1200</f>
        <v>6000</v>
      </c>
      <c r="I72" s="86">
        <f t="shared" ref="I72:I78" si="7">MIN(G72,B72)</f>
        <v>4260.1072530342499</v>
      </c>
      <c r="J72" s="109">
        <f>MIN(C72,H72)</f>
        <v>4300.9222787530261</v>
      </c>
      <c r="K72" s="86">
        <f t="shared" ref="K72:K78" si="8">I72-B72</f>
        <v>0</v>
      </c>
      <c r="L72" s="86">
        <f>J72-C72</f>
        <v>0</v>
      </c>
    </row>
    <row r="73" spans="1:12">
      <c r="A73" s="19" t="str">
        <f>E66</f>
        <v>0-C-D</v>
      </c>
      <c r="B73" s="98">
        <f>VLOOKUP(A73,BEFORE_ADJ!$A$42:$C$50,2,FALSE)</f>
        <v>3870.0468791089002</v>
      </c>
      <c r="C73" s="95">
        <f>E67</f>
        <v>4570.771753977946</v>
      </c>
      <c r="D73" s="100">
        <v>0</v>
      </c>
      <c r="E73" s="92">
        <f t="shared" si="5"/>
        <v>4</v>
      </c>
      <c r="F73" s="92">
        <f>VLOOKUP(D73,$B$38:$K$51,10,FALSE)</f>
        <v>5</v>
      </c>
      <c r="G73" s="19">
        <f t="shared" si="6"/>
        <v>4800</v>
      </c>
      <c r="H73" s="19">
        <f>F73*1200</f>
        <v>6000</v>
      </c>
      <c r="I73" s="86">
        <f t="shared" si="7"/>
        <v>3870.0468791089002</v>
      </c>
      <c r="J73" s="109">
        <f>MIN(C73,H73)</f>
        <v>4570.771753977946</v>
      </c>
      <c r="K73" s="86">
        <f t="shared" si="8"/>
        <v>0</v>
      </c>
      <c r="L73" s="86">
        <f>J73-C73</f>
        <v>0</v>
      </c>
    </row>
    <row r="74" spans="1:12">
      <c r="A74" s="19" t="str">
        <f>F66</f>
        <v>1-A-C</v>
      </c>
      <c r="B74" s="98">
        <f>VLOOKUP(A74,BEFORE_ADJ!$A$42:$C$50,2,FALSE)</f>
        <v>1960.2551654019901</v>
      </c>
      <c r="C74" s="96">
        <f>F67</f>
        <v>1884.1235200275437</v>
      </c>
      <c r="D74" s="100">
        <v>1</v>
      </c>
      <c r="E74" s="92">
        <f t="shared" si="5"/>
        <v>2</v>
      </c>
      <c r="F74" s="92">
        <f>VLOOKUP(D74,$B$38:$K$51,10,FALSE)</f>
        <v>1</v>
      </c>
      <c r="G74" s="19">
        <f t="shared" si="6"/>
        <v>2400</v>
      </c>
      <c r="H74" s="19">
        <f>F74*1200</f>
        <v>1200</v>
      </c>
      <c r="I74" s="86">
        <f t="shared" si="7"/>
        <v>1960.2551654019901</v>
      </c>
      <c r="J74" s="109">
        <f>MIN(C74,H74)</f>
        <v>1200</v>
      </c>
      <c r="K74" s="86">
        <f t="shared" si="8"/>
        <v>0</v>
      </c>
      <c r="L74" s="93">
        <f>J74-C74</f>
        <v>-684.12352002754369</v>
      </c>
    </row>
    <row r="75" spans="1:12">
      <c r="A75" s="19" t="str">
        <f>G66</f>
        <v>1-C-D</v>
      </c>
      <c r="B75" s="98">
        <f>VLOOKUP(A75,BEFORE_ADJ!$A$42:$C$50,2,FALSE)</f>
        <v>1952.9480247576901</v>
      </c>
      <c r="C75" s="95">
        <f>G67</f>
        <v>1220.5573015327461</v>
      </c>
      <c r="D75" s="100">
        <v>1</v>
      </c>
      <c r="E75" s="92">
        <f t="shared" si="5"/>
        <v>2</v>
      </c>
      <c r="F75" s="92">
        <f>VLOOKUP(D75,$B$38:$K$51,10,FALSE)</f>
        <v>1</v>
      </c>
      <c r="G75" s="19">
        <f t="shared" si="6"/>
        <v>2400</v>
      </c>
      <c r="H75" s="19">
        <f>F75*1200</f>
        <v>1200</v>
      </c>
      <c r="I75" s="86">
        <f t="shared" si="7"/>
        <v>1952.9480247576901</v>
      </c>
      <c r="J75" s="109">
        <f>MIN(C75,H75)</f>
        <v>1200</v>
      </c>
      <c r="K75" s="86">
        <f t="shared" si="8"/>
        <v>0</v>
      </c>
      <c r="L75" s="93">
        <f>J75-C75</f>
        <v>-20.557301532746123</v>
      </c>
    </row>
    <row r="76" spans="1:12">
      <c r="A76" s="19" t="str">
        <f>H66</f>
        <v>2-A-B</v>
      </c>
      <c r="B76" s="98">
        <f>VLOOKUP(A76,BEFORE_ADJ!$A$42:$C$50,2,FALSE)</f>
        <v>3453.4425994702401</v>
      </c>
      <c r="C76" s="96">
        <f>H67</f>
        <v>3260.7935144755106</v>
      </c>
      <c r="D76" s="100">
        <v>2</v>
      </c>
      <c r="E76" s="92">
        <f t="shared" si="5"/>
        <v>3</v>
      </c>
      <c r="F76" s="92">
        <f>VLOOKUP(D76,$B$38:$K$51,10,FALSE)</f>
        <v>3</v>
      </c>
      <c r="G76" s="19">
        <f t="shared" si="6"/>
        <v>3600</v>
      </c>
      <c r="H76" s="19">
        <f>F76*1200</f>
        <v>3600</v>
      </c>
      <c r="I76" s="86">
        <f t="shared" si="7"/>
        <v>3453.4425994702401</v>
      </c>
      <c r="J76" s="109">
        <f>MIN(C76,H76)</f>
        <v>3260.7935144755106</v>
      </c>
      <c r="K76" s="86">
        <f t="shared" si="8"/>
        <v>0</v>
      </c>
      <c r="L76" s="86">
        <f>J76-C76</f>
        <v>0</v>
      </c>
    </row>
    <row r="77" spans="1:12">
      <c r="A77" s="19" t="str">
        <f>I66</f>
        <v>2-B-D</v>
      </c>
      <c r="B77" s="98">
        <f>VLOOKUP(A77,BEFORE_ADJ!$A$42:$C$50,2,FALSE)</f>
        <v>2647.8434493047798</v>
      </c>
      <c r="C77" s="95">
        <f>I67</f>
        <v>2644.7594733508049</v>
      </c>
      <c r="D77" s="100">
        <v>2</v>
      </c>
      <c r="E77" s="92">
        <f t="shared" si="5"/>
        <v>3</v>
      </c>
      <c r="F77" s="92">
        <f>VLOOKUP(D77,$B$38:$K$51,10,FALSE)</f>
        <v>3</v>
      </c>
      <c r="G77" s="19">
        <f t="shared" si="6"/>
        <v>3600</v>
      </c>
      <c r="H77" s="19">
        <f>F77*1200</f>
        <v>3600</v>
      </c>
      <c r="I77" s="86">
        <f t="shared" si="7"/>
        <v>2647.8434493047798</v>
      </c>
      <c r="J77" s="109">
        <f>MIN(C77,H77)</f>
        <v>2644.7594733508049</v>
      </c>
      <c r="K77" s="86">
        <f t="shared" si="8"/>
        <v>0</v>
      </c>
      <c r="L77" s="86">
        <f>J77-C77</f>
        <v>0</v>
      </c>
    </row>
    <row r="78" spans="1:12">
      <c r="A78" s="19" t="str">
        <f>J66</f>
        <v>3-A-D</v>
      </c>
      <c r="B78" s="98">
        <f>VLOOKUP(A78,BEFORE_ADJ!$A$42:$C$50,2,FALSE)</f>
        <v>1480.3443052382599</v>
      </c>
      <c r="C78" s="96">
        <f>J67</f>
        <v>1488.4425162468517</v>
      </c>
      <c r="D78" s="100">
        <v>3</v>
      </c>
      <c r="E78" s="92">
        <f t="shared" si="5"/>
        <v>2</v>
      </c>
      <c r="F78" s="92">
        <f>VLOOKUP(D78,$B$38:$K$51,10,FALSE)</f>
        <v>2</v>
      </c>
      <c r="G78" s="19">
        <f t="shared" si="6"/>
        <v>2400</v>
      </c>
      <c r="H78" s="19">
        <f>F78*1200</f>
        <v>2400</v>
      </c>
      <c r="I78" s="86">
        <f t="shared" si="7"/>
        <v>1480.3443052382599</v>
      </c>
      <c r="J78" s="109">
        <f>MIN(C78,H78)</f>
        <v>1488.4425162468517</v>
      </c>
      <c r="K78" s="86">
        <f t="shared" si="8"/>
        <v>0</v>
      </c>
      <c r="L78" s="86">
        <f>J78-C78</f>
        <v>0</v>
      </c>
    </row>
    <row r="79" spans="1:12">
      <c r="B79" s="84"/>
      <c r="C79" s="84"/>
      <c r="D79" s="84"/>
      <c r="E79" s="87"/>
      <c r="F79" s="84"/>
      <c r="G79" s="84"/>
      <c r="H79" s="84"/>
      <c r="I79" s="84"/>
    </row>
    <row r="80" spans="1:12">
      <c r="B80" s="84"/>
      <c r="C80" s="84"/>
      <c r="D80" s="84"/>
      <c r="E80" s="84"/>
      <c r="F80" s="84"/>
      <c r="G80" s="84"/>
      <c r="H80" s="84"/>
      <c r="I80" s="84"/>
    </row>
    <row r="81" spans="2:9">
      <c r="B81" s="84"/>
      <c r="C81" s="84"/>
      <c r="D81" s="84"/>
      <c r="E81" s="84"/>
      <c r="F81" s="84"/>
      <c r="G81" s="84"/>
      <c r="H81" s="84"/>
      <c r="I81" s="84"/>
    </row>
    <row r="82" spans="2:9">
      <c r="B82" s="84"/>
      <c r="C82" s="84"/>
      <c r="D82" s="84"/>
      <c r="E82" s="84"/>
      <c r="F82" s="84"/>
      <c r="G82" s="84"/>
      <c r="H82" s="84"/>
      <c r="I82" s="84"/>
    </row>
    <row r="83" spans="2:9">
      <c r="B83" s="84"/>
      <c r="C83" s="84"/>
      <c r="D83" s="84"/>
      <c r="E83" s="84"/>
      <c r="F83" s="84"/>
      <c r="G83" s="84"/>
      <c r="H83" s="84"/>
      <c r="I83" s="84"/>
    </row>
    <row r="84" spans="2:9">
      <c r="B84" s="84"/>
      <c r="C84" s="84"/>
      <c r="D84" s="84"/>
      <c r="E84" s="84"/>
      <c r="F84" s="84"/>
      <c r="G84" s="84"/>
      <c r="H84" s="84"/>
      <c r="I84" s="84"/>
    </row>
    <row r="85" spans="2:9">
      <c r="B85" s="84"/>
      <c r="C85" s="84"/>
      <c r="D85" s="84"/>
      <c r="E85" s="84"/>
      <c r="F85" s="84"/>
      <c r="G85" s="84"/>
      <c r="H85" s="84"/>
      <c r="I85" s="84"/>
    </row>
  </sheetData>
  <mergeCells count="2">
    <mergeCell ref="C34:E34"/>
    <mergeCell ref="F34:H34"/>
  </mergeCells>
  <phoneticPr fontId="1" type="noConversion"/>
  <conditionalFormatting sqref="G2:G15">
    <cfRule type="cellIs" dxfId="3" priority="4" operator="lessThan">
      <formula>0</formula>
    </cfRule>
  </conditionalFormatting>
  <conditionalFormatting sqref="J2">
    <cfRule type="cellIs" dxfId="2" priority="3" operator="lessThan">
      <formula>0</formula>
    </cfRule>
  </conditionalFormatting>
  <conditionalFormatting sqref="J3:J15">
    <cfRule type="cellIs" dxfId="1" priority="2" operator="lessThan">
      <formula>0</formula>
    </cfRule>
  </conditionalFormatting>
  <conditionalFormatting sqref="F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BEFORE_ADJ</vt:lpstr>
      <vt:lpstr>STEP 1</vt:lpstr>
      <vt:lpstr>STEP2-5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Loconine</dc:creator>
  <cp:lastModifiedBy>Xin Wu</cp:lastModifiedBy>
  <dcterms:created xsi:type="dcterms:W3CDTF">2015-06-05T18:19:34Z</dcterms:created>
  <dcterms:modified xsi:type="dcterms:W3CDTF">2025-04-12T19:05:26Z</dcterms:modified>
</cp:coreProperties>
</file>