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ransit_Equity_Credits\one_od_example\"/>
    </mc:Choice>
  </mc:AlternateContent>
  <xr:revisionPtr revIDLastSave="0" documentId="13_ncr:1_{8EB6515E-45DA-454D-AACB-009CF5A3F349}" xr6:coauthVersionLast="36" xr6:coauthVersionMax="36" xr10:uidLastSave="{00000000-0000-0000-0000-000000000000}"/>
  <bookViews>
    <workbookView xWindow="0" yWindow="0" windowWidth="2430" windowHeight="450" xr2:uid="{361AD6C6-96ED-433B-8280-A93BFE4C0F84}"/>
  </bookViews>
  <sheets>
    <sheet name="one OD example" sheetId="3" r:id="rId1"/>
  </sheets>
  <definedNames>
    <definedName name="solver_adj" localSheetId="0" hidden="1">'one OD example'!$P$7:$P$9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'one OD example'!$O$7:$O$9</definedName>
    <definedName name="solver_lhs2" localSheetId="0" hidden="1">'one OD example'!$Z$11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'one OD example'!$AA$11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300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0" i="3" l="1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R57" i="3"/>
  <c r="R59" i="3" s="1"/>
  <c r="M57" i="3"/>
  <c r="M59" i="3" s="1"/>
  <c r="L57" i="3"/>
  <c r="L59" i="3" s="1"/>
  <c r="E57" i="3"/>
  <c r="E59" i="3" s="1"/>
  <c r="D57" i="3"/>
  <c r="D59" i="3" s="1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N47" i="3"/>
  <c r="N49" i="3" s="1"/>
  <c r="M47" i="3"/>
  <c r="M49" i="3" s="1"/>
  <c r="K47" i="3"/>
  <c r="K49" i="3" s="1"/>
  <c r="F47" i="3"/>
  <c r="F49" i="3" s="1"/>
  <c r="E47" i="3"/>
  <c r="E49" i="3" s="1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O39" i="3" s="1"/>
  <c r="N37" i="3"/>
  <c r="N39" i="3" s="1"/>
  <c r="G37" i="3"/>
  <c r="G39" i="3" s="1"/>
  <c r="F37" i="3"/>
  <c r="F39" i="3" s="1"/>
  <c r="E37" i="3"/>
  <c r="E39" i="3" s="1"/>
  <c r="D37" i="3"/>
  <c r="D39" i="3" s="1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A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A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A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A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A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A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A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14" i="3"/>
  <c r="Q57" i="3" s="1"/>
  <c r="Q59" i="3" s="1"/>
  <c r="P11" i="3"/>
  <c r="O11" i="3"/>
  <c r="N11" i="3"/>
  <c r="M11" i="3"/>
  <c r="L11" i="3"/>
  <c r="K11" i="3"/>
  <c r="J11" i="3"/>
  <c r="I11" i="3"/>
  <c r="H11" i="3"/>
  <c r="G11" i="3"/>
  <c r="E11" i="3"/>
  <c r="D11" i="3"/>
  <c r="B11" i="3"/>
  <c r="P10" i="3"/>
  <c r="O10" i="3"/>
  <c r="N10" i="3"/>
  <c r="M10" i="3"/>
  <c r="L10" i="3"/>
  <c r="K10" i="3"/>
  <c r="J10" i="3"/>
  <c r="I10" i="3"/>
  <c r="H10" i="3"/>
  <c r="G10" i="3"/>
  <c r="E10" i="3"/>
  <c r="D10" i="3"/>
  <c r="B10" i="3"/>
  <c r="S9" i="3"/>
  <c r="T9" i="3" s="1"/>
  <c r="Q9" i="3"/>
  <c r="R9" i="3" s="1"/>
  <c r="Z9" i="3" s="1"/>
  <c r="N9" i="3"/>
  <c r="M9" i="3"/>
  <c r="L9" i="3"/>
  <c r="K9" i="3"/>
  <c r="I9" i="3"/>
  <c r="H9" i="3"/>
  <c r="G9" i="3"/>
  <c r="E9" i="3"/>
  <c r="D9" i="3"/>
  <c r="S8" i="3"/>
  <c r="T8" i="3" s="1"/>
  <c r="Q8" i="3"/>
  <c r="R8" i="3" s="1"/>
  <c r="N8" i="3"/>
  <c r="M8" i="3"/>
  <c r="L8" i="3"/>
  <c r="K8" i="3"/>
  <c r="I8" i="3"/>
  <c r="H8" i="3"/>
  <c r="G8" i="3"/>
  <c r="E8" i="3"/>
  <c r="D8" i="3"/>
  <c r="S7" i="3"/>
  <c r="Q7" i="3"/>
  <c r="N7" i="3"/>
  <c r="M7" i="3"/>
  <c r="L7" i="3"/>
  <c r="K7" i="3"/>
  <c r="I7" i="3"/>
  <c r="H7" i="3"/>
  <c r="G7" i="3"/>
  <c r="E7" i="3"/>
  <c r="D7" i="3"/>
  <c r="C4" i="3"/>
  <c r="C3" i="3"/>
  <c r="B57" i="3" l="1"/>
  <c r="B59" i="3" s="1"/>
  <c r="Q11" i="3"/>
  <c r="S10" i="3"/>
  <c r="T7" i="3"/>
  <c r="T10" i="3" s="1"/>
  <c r="S11" i="3"/>
  <c r="Z8" i="3"/>
  <c r="W8" i="3"/>
  <c r="R7" i="3"/>
  <c r="Q10" i="3"/>
  <c r="W9" i="3"/>
  <c r="L47" i="3"/>
  <c r="L49" i="3" s="1"/>
  <c r="C57" i="3"/>
  <c r="C59" i="3" s="1"/>
  <c r="H37" i="3"/>
  <c r="H39" i="3" s="1"/>
  <c r="O47" i="3"/>
  <c r="O49" i="3" s="1"/>
  <c r="F57" i="3"/>
  <c r="F59" i="3" s="1"/>
  <c r="I37" i="3"/>
  <c r="I39" i="3" s="1"/>
  <c r="P47" i="3"/>
  <c r="P49" i="3" s="1"/>
  <c r="G57" i="3"/>
  <c r="G59" i="3" s="1"/>
  <c r="J37" i="3"/>
  <c r="J39" i="3" s="1"/>
  <c r="Q47" i="3"/>
  <c r="Q49" i="3" s="1"/>
  <c r="H57" i="3"/>
  <c r="H59" i="3" s="1"/>
  <c r="K37" i="3"/>
  <c r="K39" i="3" s="1"/>
  <c r="B47" i="3"/>
  <c r="B49" i="3" s="1"/>
  <c r="R47" i="3"/>
  <c r="R49" i="3" s="1"/>
  <c r="I57" i="3"/>
  <c r="I59" i="3" s="1"/>
  <c r="L37" i="3"/>
  <c r="L39" i="3" s="1"/>
  <c r="C47" i="3"/>
  <c r="C49" i="3" s="1"/>
  <c r="J57" i="3"/>
  <c r="J59" i="3" s="1"/>
  <c r="M37" i="3"/>
  <c r="M39" i="3" s="1"/>
  <c r="D47" i="3"/>
  <c r="D49" i="3" s="1"/>
  <c r="K57" i="3"/>
  <c r="K59" i="3" s="1"/>
  <c r="P37" i="3"/>
  <c r="P39" i="3" s="1"/>
  <c r="G47" i="3"/>
  <c r="G49" i="3" s="1"/>
  <c r="N57" i="3"/>
  <c r="N59" i="3" s="1"/>
  <c r="Q37" i="3"/>
  <c r="Q39" i="3" s="1"/>
  <c r="H47" i="3"/>
  <c r="H49" i="3" s="1"/>
  <c r="O57" i="3"/>
  <c r="O59" i="3" s="1"/>
  <c r="B37" i="3"/>
  <c r="B39" i="3" s="1"/>
  <c r="R37" i="3"/>
  <c r="R39" i="3" s="1"/>
  <c r="I47" i="3"/>
  <c r="I49" i="3" s="1"/>
  <c r="P57" i="3"/>
  <c r="P59" i="3" s="1"/>
  <c r="C37" i="3"/>
  <c r="C39" i="3" s="1"/>
  <c r="J47" i="3"/>
  <c r="J49" i="3" s="1"/>
  <c r="T11" i="3" l="1"/>
  <c r="R10" i="3"/>
  <c r="Z7" i="3"/>
  <c r="Z11" i="3" s="1"/>
  <c r="W7" i="3"/>
  <c r="R11" i="3"/>
  <c r="U9" i="3" l="1"/>
  <c r="V9" i="3" s="1"/>
  <c r="U8" i="3"/>
  <c r="V8" i="3" s="1"/>
  <c r="U7" i="3"/>
  <c r="W11" i="3"/>
  <c r="W10" i="3"/>
  <c r="U10" i="3" l="1"/>
  <c r="V7" i="3"/>
  <c r="U11" i="3"/>
  <c r="V10" i="3" l="1"/>
  <c r="V11" i="3"/>
  <c r="X11" i="3" s="1"/>
  <c r="Y11" i="3" s="1"/>
  <c r="AA11" i="3" s="1"/>
</calcChain>
</file>

<file path=xl/sharedStrings.xml><?xml version="1.0" encoding="utf-8"?>
<sst xmlns="http://schemas.openxmlformats.org/spreadsheetml/2006/main" count="96" uniqueCount="69">
  <si>
    <t>Group 1</t>
  </si>
  <si>
    <t>Cost (dollar)</t>
  </si>
  <si>
    <t>Travel time (hour)</t>
  </si>
  <si>
    <t>Group1</t>
  </si>
  <si>
    <t>Group2</t>
  </si>
  <si>
    <t>VOT</t>
  </si>
  <si>
    <t>Mean</t>
  </si>
  <si>
    <t>Group3</t>
  </si>
  <si>
    <t>Auto utility</t>
  </si>
  <si>
    <t xml:space="preserve"> Base transit utility</t>
  </si>
  <si>
    <t>Base accessibility</t>
  </si>
  <si>
    <t>Base entropy</t>
  </si>
  <si>
    <t>population share</t>
  </si>
  <si>
    <t>Theil base</t>
  </si>
  <si>
    <t>Sum</t>
  </si>
  <si>
    <t>Base accessibility-pop weighted</t>
  </si>
  <si>
    <t>Points</t>
  </si>
  <si>
    <t>Hourly salary (dollar)</t>
  </si>
  <si>
    <t>Adjusted transit utitliy1</t>
  </si>
  <si>
    <t>Adjusted transit utitliy2</t>
  </si>
  <si>
    <t>Adjusted transit utitliy3</t>
  </si>
  <si>
    <t>Reward points value</t>
  </si>
  <si>
    <t>Base prob transit</t>
  </si>
  <si>
    <t>Adjusted prob1</t>
  </si>
  <si>
    <t>Adjusted prob2</t>
  </si>
  <si>
    <t>Adjusted prob3</t>
  </si>
  <si>
    <t>Adjusted accessibility 1</t>
  </si>
  <si>
    <t>Adjusted accessibility 2</t>
  </si>
  <si>
    <t>Adjusted accessibility 3</t>
  </si>
  <si>
    <t>Adjusted mean 1</t>
  </si>
  <si>
    <t>Adjusted mean 2</t>
  </si>
  <si>
    <t>Adjusted mean 3</t>
  </si>
  <si>
    <t>Adjusted entropy1</t>
  </si>
  <si>
    <t>Adjusted entropy2</t>
  </si>
  <si>
    <t>Adjusted entropy3</t>
  </si>
  <si>
    <t>Adjusted Theil</t>
  </si>
  <si>
    <t>Revenue</t>
  </si>
  <si>
    <t>Euity improvement</t>
  </si>
  <si>
    <t>Total revenue</t>
  </si>
  <si>
    <t>Equity improvement value</t>
  </si>
  <si>
    <t>Group 2</t>
  </si>
  <si>
    <t xml:space="preserve">Subsidy </t>
  </si>
  <si>
    <t xml:space="preserve">Transit utility </t>
  </si>
  <si>
    <t>Accessibility</t>
  </si>
  <si>
    <t>Pop weighed accessibility</t>
  </si>
  <si>
    <t>Entropy</t>
  </si>
  <si>
    <t xml:space="preserve">Theil </t>
  </si>
  <si>
    <t>Prob</t>
  </si>
  <si>
    <t>Equity improvement</t>
  </si>
  <si>
    <t>subsidy*pop</t>
  </si>
  <si>
    <t>Auto</t>
  </si>
  <si>
    <t xml:space="preserve">Transit </t>
  </si>
  <si>
    <t>Total OD volume from A to B</t>
  </si>
  <si>
    <t xml:space="preserve">Utility function </t>
  </si>
  <si>
    <t xml:space="preserve">Equirty metric </t>
  </si>
  <si>
    <t xml:space="preserve">Market price of 1 equity metric </t>
  </si>
  <si>
    <t>Total number of travelers sbetween A and B</t>
  </si>
  <si>
    <t>points value</t>
  </si>
  <si>
    <t xml:space="preserve">Price per 0.00001 equity metric </t>
  </si>
  <si>
    <t>subsidy</t>
  </si>
  <si>
    <t>Subsidy cost</t>
  </si>
  <si>
    <t>Baseline</t>
  </si>
  <si>
    <t>price</t>
  </si>
  <si>
    <t>Transit income</t>
  </si>
  <si>
    <t>Inequality metric</t>
  </si>
  <si>
    <t>TEC  income</t>
  </si>
  <si>
    <t>group1</t>
  </si>
  <si>
    <t>group2</t>
  </si>
  <si>
    <t>group3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</si>
</sst>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%"/>
    <numFmt numFmtId="166" formatCode="0.000"/>
    <numFmt numFmtId="167" formatCode="0.000000000"/>
    <numFmt numFmtId="168" formatCode="&quot;$&quot;#,##0.00"/>
    <numFmt numFmtId="169" formatCode="0.0"/>
    <numFmt numFmtId="171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6" borderId="2" applyNumberFormat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6" borderId="2" xfId="2" applyAlignment="1">
      <alignment horizontal="center"/>
    </xf>
    <xf numFmtId="164" fontId="3" fillId="6" borderId="2" xfId="2" applyNumberFormat="1" applyAlignment="1">
      <alignment horizontal="center"/>
    </xf>
    <xf numFmtId="0" fontId="3" fillId="6" borderId="2" xfId="2"/>
    <xf numFmtId="2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6" fontId="3" fillId="6" borderId="2" xfId="2" applyNumberFormat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4" fillId="6" borderId="2" xfId="2" applyNumberFormat="1" applyFont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4" fontId="4" fillId="6" borderId="2" xfId="2" applyNumberFormat="1" applyFont="1"/>
    <xf numFmtId="167" fontId="3" fillId="6" borderId="2" xfId="2" applyNumberFormat="1"/>
    <xf numFmtId="0" fontId="4" fillId="6" borderId="2" xfId="2" applyFont="1"/>
    <xf numFmtId="171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71" fontId="5" fillId="5" borderId="0" xfId="0" applyNumberFormat="1" applyFont="1" applyFill="1" applyAlignment="1">
      <alignment horizontal="center"/>
    </xf>
    <xf numFmtId="171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OD example'!$A$49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OD example'!$B$49:$AD$49</c:f>
              <c:numCache>
                <c:formatCode>General</c:formatCode>
                <c:ptCount val="29"/>
                <c:pt idx="0">
                  <c:v>963.8132528041823</c:v>
                </c:pt>
                <c:pt idx="1">
                  <c:v>967.28866060242171</c:v>
                </c:pt>
                <c:pt idx="2">
                  <c:v>968.52428270737266</c:v>
                </c:pt>
                <c:pt idx="3">
                  <c:v>967.39834544910946</c:v>
                </c:pt>
                <c:pt idx="4">
                  <c:v>963.80204154044816</c:v>
                </c:pt>
                <c:pt idx="5">
                  <c:v>957.64222976534165</c:v>
                </c:pt>
                <c:pt idx="6">
                  <c:v>948.84372678653233</c:v>
                </c:pt>
                <c:pt idx="7">
                  <c:v>937.35108560787853</c:v>
                </c:pt>
                <c:pt idx="8">
                  <c:v>923.12978234787386</c:v>
                </c:pt>
                <c:pt idx="9">
                  <c:v>906.16676596861964</c:v>
                </c:pt>
                <c:pt idx="10">
                  <c:v>886.47036152626356</c:v>
                </c:pt>
                <c:pt idx="11">
                  <c:v>864.06955314656159</c:v>
                </c:pt>
                <c:pt idx="12">
                  <c:v>839.01270519780292</c:v>
                </c:pt>
                <c:pt idx="13">
                  <c:v>811.36580646355287</c:v>
                </c:pt>
                <c:pt idx="14">
                  <c:v>781.21034073442979</c:v>
                </c:pt>
                <c:pt idx="15">
                  <c:v>748.64089731028866</c:v>
                </c:pt>
                <c:pt idx="16">
                  <c:v>713.76263654035779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B-4C3D-A541-5156C853D322}"/>
            </c:ext>
          </c:extLst>
        </c:ser>
        <c:ser>
          <c:idx val="1"/>
          <c:order val="1"/>
          <c:tx>
            <c:strRef>
              <c:f>'one OD example'!$A$59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 OD example'!$B$59:$AD$59</c:f>
              <c:numCache>
                <c:formatCode>0.000000</c:formatCode>
                <c:ptCount val="29"/>
                <c:pt idx="0">
                  <c:v>963.8132528041649</c:v>
                </c:pt>
                <c:pt idx="1">
                  <c:v>978.18071443512918</c:v>
                </c:pt>
                <c:pt idx="2">
                  <c:v>988.81803447031905</c:v>
                </c:pt>
                <c:pt idx="3">
                  <c:v>995.82038426158169</c:v>
                </c:pt>
                <c:pt idx="4">
                  <c:v>999.29796921813363</c:v>
                </c:pt>
                <c:pt idx="5">
                  <c:v>999.37324545359047</c:v>
                </c:pt>
                <c:pt idx="6">
                  <c:v>996.1781134141246</c:v>
                </c:pt>
                <c:pt idx="7">
                  <c:v>989.85119024320397</c:v>
                </c:pt>
                <c:pt idx="8">
                  <c:v>980.53524373654363</c:v>
                </c:pt>
                <c:pt idx="9">
                  <c:v>968.37485034739734</c:v>
                </c:pt>
                <c:pt idx="10">
                  <c:v>953.51431952658481</c:v>
                </c:pt>
                <c:pt idx="11">
                  <c:v>936.09590804323238</c:v>
                </c:pt>
                <c:pt idx="12">
                  <c:v>916.25833173390743</c:v>
                </c:pt>
                <c:pt idx="13">
                  <c:v>894.13556886660876</c:v>
                </c:pt>
                <c:pt idx="14">
                  <c:v>869.85593913787989</c:v>
                </c:pt>
                <c:pt idx="15">
                  <c:v>843.54143513216331</c:v>
                </c:pt>
                <c:pt idx="16">
                  <c:v>815.30727856914973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B-4C3D-A541-5156C853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102112"/>
        <c:axId val="46928592"/>
      </c:lineChart>
      <c:catAx>
        <c:axId val="186610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8592"/>
        <c:crosses val="autoZero"/>
        <c:auto val="1"/>
        <c:lblAlgn val="ctr"/>
        <c:lblOffset val="100"/>
        <c:noMultiLvlLbl val="0"/>
      </c:catAx>
      <c:valAx>
        <c:axId val="469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639535</xdr:colOff>
      <xdr:row>0</xdr:row>
      <xdr:rowOff>176893</xdr:rowOff>
    </xdr:from>
    <xdr:to>
      <xdr:col>3</xdr:col>
      <xdr:colOff>1020535</xdr:colOff>
      <xdr:row>2</xdr:row>
      <xdr:rowOff>149679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075464" y="176893"/>
          <a:ext cx="381000" cy="3537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5</xdr:col>
      <xdr:colOff>723899</xdr:colOff>
      <xdr:row>1</xdr:row>
      <xdr:rowOff>2721</xdr:rowOff>
    </xdr:from>
    <xdr:to>
      <xdr:col>5</xdr:col>
      <xdr:colOff>1104899</xdr:colOff>
      <xdr:row>2</xdr:row>
      <xdr:rowOff>166007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45185" y="193221"/>
          <a:ext cx="381000" cy="3537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</a:p>
      </xdr:txBody>
    </xdr:sp>
    <xdr:clientData/>
  </xdr:twoCellAnchor>
  <xdr:twoCellAnchor>
    <xdr:from>
      <xdr:col>3</xdr:col>
      <xdr:colOff>1020535</xdr:colOff>
      <xdr:row>1</xdr:row>
      <xdr:rowOff>163286</xdr:rowOff>
    </xdr:from>
    <xdr:to>
      <xdr:col>5</xdr:col>
      <xdr:colOff>723899</xdr:colOff>
      <xdr:row>1</xdr:row>
      <xdr:rowOff>179614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stCxn id="2" idx="6"/>
          <a:endCxn id="3" idx="2"/>
        </xdr:cNvCxnSpPr>
      </xdr:nvCxnSpPr>
      <xdr:spPr>
        <a:xfrm>
          <a:off x="5456464" y="353786"/>
          <a:ext cx="2288721" cy="16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898071</xdr:colOff>
      <xdr:row>0</xdr:row>
      <xdr:rowOff>176893</xdr:rowOff>
    </xdr:from>
    <xdr:to>
      <xdr:col>10</xdr:col>
      <xdr:colOff>721179</xdr:colOff>
      <xdr:row>3</xdr:row>
      <xdr:rowOff>54429</xdr:rowOff>
    </xdr:to>
    <xdr:sp macro="" textlink="">
      <xdr:nvSpPr>
        <xdr:cNvPr id="7" name="Callout: Double Bent Lin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967357" y="176893"/>
          <a:ext cx="4993822" cy="449036"/>
        </a:xfrm>
        <a:prstGeom prst="borderCallout3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Is Utility Function? Utility describes the benefits gained or satisfaction experienced with the consumption of goods or services. </a:t>
          </a:r>
          <a:endParaRPr lang="en-US" sz="1100"/>
        </a:p>
      </xdr:txBody>
    </xdr:sp>
    <xdr:clientData/>
  </xdr:twoCellAnchor>
  <xdr:twoCellAnchor>
    <xdr:from>
      <xdr:col>7</xdr:col>
      <xdr:colOff>1061356</xdr:colOff>
      <xdr:row>12</xdr:row>
      <xdr:rowOff>81642</xdr:rowOff>
    </xdr:from>
    <xdr:to>
      <xdr:col>11</xdr:col>
      <xdr:colOff>557892</xdr:colOff>
      <xdr:row>15</xdr:row>
      <xdr:rowOff>136071</xdr:rowOff>
    </xdr:to>
    <xdr:sp macro="" textlink="">
      <xdr:nvSpPr>
        <xdr:cNvPr id="8" name="Callout: Double Bent Line with Accent Ba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2423320" y="2462892"/>
          <a:ext cx="4667251" cy="625929"/>
        </a:xfrm>
        <a:prstGeom prst="accentCallout3">
          <a:avLst>
            <a:gd name="adj1" fmla="val 18750"/>
            <a:gd name="adj2" fmla="val -8333"/>
            <a:gd name="adj3" fmla="val 18750"/>
            <a:gd name="adj4" fmla="val -16667"/>
            <a:gd name="adj5" fmla="val 52174"/>
            <a:gd name="adj6" fmla="val -17677"/>
            <a:gd name="adj7" fmla="val -28341"/>
            <a:gd name="adj8" fmla="val -1969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 utitliy = -cost </a:t>
          </a:r>
          <a:r>
            <a:rPr lang="en-US" sz="1100" baseline="0"/>
            <a:t> - VOT (group)* travel time</a:t>
          </a:r>
        </a:p>
        <a:p>
          <a:pPr algn="l"/>
          <a:r>
            <a:rPr lang="en-US" sz="1100" baseline="0"/>
            <a:t>Base transit utility = - fare - VOT (group)* travel time </a:t>
          </a:r>
        </a:p>
        <a:p>
          <a:pPr algn="l"/>
          <a:r>
            <a:rPr lang="en-US" sz="1100" baseline="0"/>
            <a:t> Ajusted transit utitliy = -fare - VOT(group)*travel time + rewarding point s </a:t>
          </a:r>
          <a:endParaRPr lang="en-US" sz="1100"/>
        </a:p>
      </xdr:txBody>
    </xdr:sp>
    <xdr:clientData/>
  </xdr:twoCellAnchor>
  <xdr:twoCellAnchor>
    <xdr:from>
      <xdr:col>11</xdr:col>
      <xdr:colOff>1238249</xdr:colOff>
      <xdr:row>1</xdr:row>
      <xdr:rowOff>27215</xdr:rowOff>
    </xdr:from>
    <xdr:to>
      <xdr:col>13</xdr:col>
      <xdr:colOff>666749</xdr:colOff>
      <xdr:row>3</xdr:row>
      <xdr:rowOff>81643</xdr:rowOff>
    </xdr:to>
    <xdr:sp macro="" textlink="">
      <xdr:nvSpPr>
        <xdr:cNvPr id="9" name="Callout: Double Bent Lin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7770928" y="217715"/>
          <a:ext cx="2013857" cy="435428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100000"/>
            <a:gd name="adj6" fmla="val -16667"/>
            <a:gd name="adj7" fmla="val 147338"/>
            <a:gd name="adj8" fmla="val -8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1 - (cost + VOT(average)* travel time-subsidy)/hourly salary </a:t>
          </a:r>
        </a:p>
      </xdr:txBody>
    </xdr:sp>
    <xdr:clientData/>
  </xdr:twoCellAnchor>
  <xdr:twoCellAnchor>
    <xdr:from>
      <xdr:col>22</xdr:col>
      <xdr:colOff>1020535</xdr:colOff>
      <xdr:row>1</xdr:row>
      <xdr:rowOff>136071</xdr:rowOff>
    </xdr:from>
    <xdr:to>
      <xdr:col>25</xdr:col>
      <xdr:colOff>394607</xdr:colOff>
      <xdr:row>4</xdr:row>
      <xdr:rowOff>0</xdr:rowOff>
    </xdr:to>
    <xdr:sp macro="" textlink="">
      <xdr:nvSpPr>
        <xdr:cNvPr id="10" name="Callout: Lin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2711571" y="326571"/>
          <a:ext cx="4231822" cy="435429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Prob*total</a:t>
          </a:r>
          <a:r>
            <a:rPr lang="en-US" sz="1100" baseline="0"/>
            <a:t> number of travelers of the group*fare  </a:t>
          </a:r>
          <a:endParaRPr lang="en-US" sz="1100"/>
        </a:p>
      </xdr:txBody>
    </xdr:sp>
    <xdr:clientData/>
  </xdr:twoCellAnchor>
  <xdr:twoCellAnchor>
    <xdr:from>
      <xdr:col>3</xdr:col>
      <xdr:colOff>719137</xdr:colOff>
      <xdr:row>31</xdr:row>
      <xdr:rowOff>171450</xdr:rowOff>
    </xdr:from>
    <xdr:to>
      <xdr:col>5</xdr:col>
      <xdr:colOff>414337</xdr:colOff>
      <xdr:row>52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5EFE-9675-4525-9880-330FC1221CBC}">
  <dimension ref="A1:AG61"/>
  <sheetViews>
    <sheetView tabSelected="1" zoomScaleNormal="100" workbookViewId="0">
      <selection activeCell="D13" sqref="D13"/>
    </sheetView>
  </sheetViews>
  <sheetFormatPr defaultRowHeight="15" x14ac:dyDescent="0.25"/>
  <cols>
    <col min="1" max="1" width="29.7109375" style="1" bestFit="1" customWidth="1"/>
    <col min="2" max="3" width="19.28515625" style="1" customWidth="1"/>
    <col min="4" max="4" width="21" style="1" bestFit="1" customWidth="1"/>
    <col min="5" max="5" width="52.140625" style="1" bestFit="1" customWidth="1"/>
    <col min="6" max="15" width="19.28515625" style="1" customWidth="1"/>
    <col min="16" max="16" width="17.140625" style="1" bestFit="1" customWidth="1"/>
    <col min="17" max="18" width="17.7109375" style="1" bestFit="1" customWidth="1"/>
    <col min="19" max="19" width="31.7109375" style="1" bestFit="1" customWidth="1"/>
    <col min="20" max="21" width="18.85546875" style="1" bestFit="1" customWidth="1"/>
    <col min="22" max="22" width="17.7109375" bestFit="1" customWidth="1"/>
    <col min="23" max="23" width="24" bestFit="1" customWidth="1"/>
    <col min="24" max="24" width="31" bestFit="1" customWidth="1"/>
    <col min="25" max="25" width="24.85546875" bestFit="1" customWidth="1"/>
    <col min="26" max="26" width="19.42578125" bestFit="1" customWidth="1"/>
    <col min="27" max="27" width="24.85546875" bestFit="1" customWidth="1"/>
    <col min="28" max="28" width="16.28515625" bestFit="1" customWidth="1"/>
    <col min="29" max="29" width="14.140625" bestFit="1" customWidth="1"/>
    <col min="30" max="30" width="19.42578125" bestFit="1" customWidth="1"/>
    <col min="31" max="31" width="11.5703125" bestFit="1" customWidth="1"/>
    <col min="32" max="32" width="11.85546875" bestFit="1" customWidth="1"/>
    <col min="33" max="33" width="13.42578125" bestFit="1" customWidth="1"/>
  </cols>
  <sheetData>
    <row r="1" spans="1:33" x14ac:dyDescent="0.25">
      <c r="A1" s="1" t="s">
        <v>52</v>
      </c>
      <c r="B1" s="1">
        <v>1200</v>
      </c>
    </row>
    <row r="2" spans="1:33" x14ac:dyDescent="0.25">
      <c r="A2" s="4"/>
      <c r="B2" s="4" t="s">
        <v>1</v>
      </c>
      <c r="C2" s="4" t="s">
        <v>2</v>
      </c>
    </row>
    <row r="3" spans="1:33" x14ac:dyDescent="0.25">
      <c r="A3" s="4" t="s">
        <v>50</v>
      </c>
      <c r="B3" s="15">
        <v>4</v>
      </c>
      <c r="C3" s="19">
        <f>15/60</f>
        <v>0.25</v>
      </c>
      <c r="D3" s="2"/>
      <c r="E3" s="2"/>
      <c r="F3" s="2"/>
      <c r="G3" s="2"/>
      <c r="H3" s="2"/>
      <c r="I3" s="2"/>
      <c r="J3" s="2"/>
      <c r="K3" s="2"/>
      <c r="L3" s="2"/>
    </row>
    <row r="4" spans="1:33" x14ac:dyDescent="0.25">
      <c r="A4" s="4" t="s">
        <v>51</v>
      </c>
      <c r="B4" s="15">
        <v>2</v>
      </c>
      <c r="C4" s="22">
        <f>30/60</f>
        <v>0.5</v>
      </c>
    </row>
    <row r="5" spans="1:33" ht="15.75" thickBot="1" x14ac:dyDescent="0.3">
      <c r="G5" s="1" t="s">
        <v>53</v>
      </c>
      <c r="N5" s="1" t="s">
        <v>54</v>
      </c>
      <c r="V5" s="1"/>
      <c r="W5" s="1"/>
      <c r="X5" s="1"/>
      <c r="Y5" s="1"/>
      <c r="Z5" s="1"/>
    </row>
    <row r="6" spans="1:33" ht="16.5" thickTop="1" thickBot="1" x14ac:dyDescent="0.3">
      <c r="A6" s="29"/>
      <c r="B6" s="30" t="s">
        <v>5</v>
      </c>
      <c r="D6" s="23" t="s">
        <v>12</v>
      </c>
      <c r="E6" s="24" t="s">
        <v>56</v>
      </c>
      <c r="G6" s="20" t="s">
        <v>8</v>
      </c>
      <c r="H6" s="7" t="s">
        <v>9</v>
      </c>
      <c r="I6" s="7" t="s">
        <v>22</v>
      </c>
      <c r="J6" s="4" t="s">
        <v>17</v>
      </c>
      <c r="K6" s="7" t="s">
        <v>10</v>
      </c>
      <c r="L6" s="7" t="s">
        <v>15</v>
      </c>
      <c r="M6" s="4" t="s">
        <v>11</v>
      </c>
      <c r="N6" s="4" t="s">
        <v>13</v>
      </c>
      <c r="O6" s="4" t="s">
        <v>57</v>
      </c>
      <c r="P6" s="4" t="s">
        <v>41</v>
      </c>
      <c r="Q6" s="16" t="s">
        <v>42</v>
      </c>
      <c r="R6" s="16" t="s">
        <v>47</v>
      </c>
      <c r="S6" s="16" t="s">
        <v>43</v>
      </c>
      <c r="T6" s="16" t="s">
        <v>44</v>
      </c>
      <c r="U6" s="16" t="s">
        <v>45</v>
      </c>
      <c r="V6" s="16" t="s">
        <v>46</v>
      </c>
      <c r="W6" s="16" t="s">
        <v>36</v>
      </c>
      <c r="X6" s="16" t="s">
        <v>48</v>
      </c>
      <c r="Y6" s="16" t="s">
        <v>39</v>
      </c>
      <c r="Z6" s="16" t="s">
        <v>49</v>
      </c>
      <c r="AA6" s="16" t="s">
        <v>38</v>
      </c>
      <c r="AB6" s="1"/>
      <c r="AC6" s="1"/>
      <c r="AD6" s="1"/>
    </row>
    <row r="7" spans="1:33" ht="16.5" thickTop="1" thickBot="1" x14ac:dyDescent="0.3">
      <c r="A7" s="31" t="s">
        <v>3</v>
      </c>
      <c r="B7" s="26">
        <v>15</v>
      </c>
      <c r="C7" s="3"/>
      <c r="D7" s="25">
        <f>1/3</f>
        <v>0.33333333333333331</v>
      </c>
      <c r="E7" s="26">
        <f>$B$1*D7</f>
        <v>400</v>
      </c>
      <c r="F7" s="31" t="s">
        <v>3</v>
      </c>
      <c r="G7" s="21">
        <f>-($B$3+B7*$C$3)</f>
        <v>-7.75</v>
      </c>
      <c r="H7" s="8">
        <f>-($B$4+B7*$C$4)</f>
        <v>-9.5</v>
      </c>
      <c r="I7" s="38">
        <f>EXP(H7)/(EXP(G7)+EXP(H7))</f>
        <v>0.1480471980316895</v>
      </c>
      <c r="J7" s="5">
        <v>35</v>
      </c>
      <c r="K7" s="36">
        <f>1-($B$4+$B$10*$C$4)/J7</f>
        <v>0.8</v>
      </c>
      <c r="L7" s="8">
        <f>K7*D7</f>
        <v>0.26666666666666666</v>
      </c>
      <c r="M7" s="5">
        <f>LN($L$11/K7)</f>
        <v>-0.10074156980153187</v>
      </c>
      <c r="N7" s="4">
        <f>M7*$D7</f>
        <v>-3.3580523267177288E-2</v>
      </c>
      <c r="O7" s="4">
        <v>0</v>
      </c>
      <c r="P7" s="4">
        <v>0</v>
      </c>
      <c r="Q7" s="17">
        <f>H7+P7</f>
        <v>-9.5</v>
      </c>
      <c r="R7" s="37">
        <f>EXP(Q7)/(EXP(Q7)+EXP(G7))</f>
        <v>0.1480471980316895</v>
      </c>
      <c r="S7" s="37">
        <f>1-($B$4+$B$10*$C$4-P7)/J7</f>
        <v>0.8</v>
      </c>
      <c r="T7" s="16">
        <f>S7*D7</f>
        <v>0.26666666666666666</v>
      </c>
      <c r="U7" s="16">
        <f>LN($T$11/S7)</f>
        <v>-8.4340934503335324E-2</v>
      </c>
      <c r="V7" s="16">
        <f>U7*D7</f>
        <v>-2.8113644834445107E-2</v>
      </c>
      <c r="W7" s="16">
        <f>E7*R7*$B$4</f>
        <v>118.4377584253516</v>
      </c>
      <c r="X7" s="18"/>
      <c r="Y7" s="18"/>
      <c r="Z7" s="18">
        <f>P7*R7*E7</f>
        <v>0</v>
      </c>
      <c r="AA7" s="18"/>
    </row>
    <row r="8" spans="1:33" ht="16.5" thickTop="1" thickBot="1" x14ac:dyDescent="0.3">
      <c r="A8" s="31" t="s">
        <v>4</v>
      </c>
      <c r="B8" s="26">
        <v>10</v>
      </c>
      <c r="C8" s="3"/>
      <c r="D8" s="25">
        <f>1/3</f>
        <v>0.33333333333333331</v>
      </c>
      <c r="E8" s="26">
        <f>$B$1*D8</f>
        <v>400</v>
      </c>
      <c r="F8" s="31" t="s">
        <v>4</v>
      </c>
      <c r="G8" s="21">
        <f>-($B$3+B8*$C$3)</f>
        <v>-6.5</v>
      </c>
      <c r="H8" s="8">
        <f>-($B$4+B8*$C$4)</f>
        <v>-7</v>
      </c>
      <c r="I8" s="38">
        <f>EXP(H8)/(EXP(G8)+EXP(H8))</f>
        <v>0.37754066879814546</v>
      </c>
      <c r="J8" s="5">
        <v>25</v>
      </c>
      <c r="K8" s="36">
        <f>1-($B$4+$B$10*$C$4)/J8</f>
        <v>0.72</v>
      </c>
      <c r="L8" s="8">
        <f>K8*D8</f>
        <v>0.24</v>
      </c>
      <c r="M8" s="5">
        <f>LN($L$11/K8)</f>
        <v>4.6189458562944583E-3</v>
      </c>
      <c r="N8" s="4">
        <f>M8*$D8</f>
        <v>1.5396486187648193E-3</v>
      </c>
      <c r="O8" s="4">
        <v>0</v>
      </c>
      <c r="P8" s="4">
        <v>0.28716817084964691</v>
      </c>
      <c r="Q8" s="17">
        <f>H8+P8</f>
        <v>-6.7128318291503533</v>
      </c>
      <c r="R8" s="37">
        <f>EXP(Q8)/(EXP(Q8)+EXP(G8))</f>
        <v>0.44699198552745245</v>
      </c>
      <c r="S8" s="37">
        <f>1-($B$4+$B$10*$C$4-P8)/J8</f>
        <v>0.73148672683398586</v>
      </c>
      <c r="T8" s="16">
        <f>S8*D8</f>
        <v>0.24382890894466194</v>
      </c>
      <c r="U8" s="16">
        <f>LN($T$11/S8)</f>
        <v>5.1917180037121058E-3</v>
      </c>
      <c r="V8" s="16">
        <f>U8*D8</f>
        <v>1.7305726679040351E-3</v>
      </c>
      <c r="W8" s="16">
        <f>E8*R8*$B$4</f>
        <v>357.59358842196195</v>
      </c>
      <c r="X8" s="18"/>
      <c r="Y8" s="18"/>
      <c r="Z8" s="18">
        <f>P8*R8*E8</f>
        <v>51.344748347348144</v>
      </c>
      <c r="AA8" s="18"/>
    </row>
    <row r="9" spans="1:33" ht="16.5" thickTop="1" thickBot="1" x14ac:dyDescent="0.3">
      <c r="A9" s="31" t="s">
        <v>7</v>
      </c>
      <c r="B9" s="26">
        <v>5</v>
      </c>
      <c r="C9" s="3"/>
      <c r="D9" s="25">
        <f>1/3</f>
        <v>0.33333333333333331</v>
      </c>
      <c r="E9" s="26">
        <f>$B$1*D9</f>
        <v>400</v>
      </c>
      <c r="F9" s="31" t="s">
        <v>7</v>
      </c>
      <c r="G9" s="21">
        <f>-($B$3+B9*$C$3)</f>
        <v>-5.25</v>
      </c>
      <c r="H9" s="8">
        <f>-($B$4+B9*$C$4)</f>
        <v>-4.5</v>
      </c>
      <c r="I9" s="38">
        <f>EXP(H9)/(EXP(G9)+EXP(H9))</f>
        <v>0.67917869917539297</v>
      </c>
      <c r="J9" s="5">
        <v>20</v>
      </c>
      <c r="K9" s="36">
        <f>1-($B$4+$B$10*$C$4)/J9</f>
        <v>0.65</v>
      </c>
      <c r="L9" s="8">
        <f>K9*D9</f>
        <v>0.21666666666666667</v>
      </c>
      <c r="M9" s="5">
        <f>LN($L$11/K9)</f>
        <v>0.10689779497671259</v>
      </c>
      <c r="N9" s="4">
        <f>M9*$D9</f>
        <v>3.5632598325570863E-2</v>
      </c>
      <c r="O9" s="4">
        <v>0</v>
      </c>
      <c r="P9" s="4">
        <v>0.48792196025138868</v>
      </c>
      <c r="Q9" s="17">
        <f>H9+P9</f>
        <v>-4.0120780397486113</v>
      </c>
      <c r="R9" s="37">
        <f>EXP(Q9)/(EXP(Q9)+EXP(G9))</f>
        <v>0.77520209425610198</v>
      </c>
      <c r="S9" s="37">
        <f>1-($B$4+$B$10*$C$4-P9)/J9</f>
        <v>0.67439609801256939</v>
      </c>
      <c r="T9" s="16">
        <f>S9*D9</f>
        <v>0.22479869933752311</v>
      </c>
      <c r="U9" s="16">
        <f>LN($T$11/S9)</f>
        <v>8.6453172358795002E-2</v>
      </c>
      <c r="V9" s="16">
        <f>U9*D9</f>
        <v>2.8817724119598334E-2</v>
      </c>
      <c r="W9" s="16">
        <f>E9*R9*$B$4</f>
        <v>620.16167540488163</v>
      </c>
      <c r="X9" s="18"/>
      <c r="Y9" s="18"/>
      <c r="Z9" s="18">
        <f>P9*R9*E9</f>
        <v>151.29525016816763</v>
      </c>
      <c r="AA9" s="18"/>
    </row>
    <row r="10" spans="1:33" ht="16.5" thickTop="1" thickBot="1" x14ac:dyDescent="0.3">
      <c r="A10" s="32" t="s">
        <v>6</v>
      </c>
      <c r="B10" s="33">
        <f>AVERAGE(B7:B9)</f>
        <v>10</v>
      </c>
      <c r="C10" s="3"/>
      <c r="D10" s="25">
        <f t="shared" ref="D10:I10" si="0">AVERAGE(D7:D9)</f>
        <v>0.33333333333333331</v>
      </c>
      <c r="E10" s="26">
        <f t="shared" si="0"/>
        <v>400</v>
      </c>
      <c r="F10" s="3"/>
      <c r="G10" s="21">
        <f t="shared" si="0"/>
        <v>-6.5</v>
      </c>
      <c r="H10" s="8">
        <f t="shared" si="0"/>
        <v>-7</v>
      </c>
      <c r="I10" s="38">
        <f t="shared" si="0"/>
        <v>0.40158885533507593</v>
      </c>
      <c r="J10" s="5">
        <f t="shared" ref="J10:O10" si="1">AVERAGE(J7:J9)</f>
        <v>26.666666666666668</v>
      </c>
      <c r="K10" s="8">
        <f t="shared" si="1"/>
        <v>0.72333333333333327</v>
      </c>
      <c r="L10" s="8">
        <f t="shared" si="1"/>
        <v>0.24111111111111108</v>
      </c>
      <c r="M10" s="5">
        <f t="shared" si="1"/>
        <v>3.5917236771583947E-3</v>
      </c>
      <c r="N10" s="5">
        <f t="shared" si="1"/>
        <v>1.1972412257194656E-3</v>
      </c>
      <c r="O10" s="5">
        <f t="shared" si="1"/>
        <v>0</v>
      </c>
      <c r="P10" s="5">
        <f t="shared" ref="P10:W10" si="2">AVERAGE(P7:P9)</f>
        <v>0.25836337703367857</v>
      </c>
      <c r="Q10" s="17">
        <f t="shared" si="2"/>
        <v>-6.7416366229663218</v>
      </c>
      <c r="R10" s="37">
        <f t="shared" si="2"/>
        <v>0.45674709260508134</v>
      </c>
      <c r="S10" s="17">
        <f t="shared" si="2"/>
        <v>0.7352942749488518</v>
      </c>
      <c r="T10" s="17">
        <f t="shared" si="2"/>
        <v>0.24509809164961727</v>
      </c>
      <c r="U10" s="17">
        <f t="shared" si="2"/>
        <v>2.4346519530572632E-3</v>
      </c>
      <c r="V10" s="17">
        <f t="shared" si="2"/>
        <v>8.1155065101908702E-4</v>
      </c>
      <c r="W10" s="17">
        <f t="shared" si="2"/>
        <v>365.39767408406505</v>
      </c>
      <c r="X10" s="17"/>
      <c r="Y10" s="17"/>
      <c r="Z10" s="17"/>
      <c r="AA10" s="18"/>
    </row>
    <row r="11" spans="1:33" ht="16.5" thickTop="1" thickBot="1" x14ac:dyDescent="0.3">
      <c r="A11" s="34" t="s">
        <v>14</v>
      </c>
      <c r="B11" s="35">
        <f>SUM(B7:B9)</f>
        <v>30</v>
      </c>
      <c r="C11" s="3"/>
      <c r="D11" s="27">
        <f t="shared" ref="D11:L11" si="3">SUM(D7:D9)</f>
        <v>1</v>
      </c>
      <c r="E11" s="28">
        <f t="shared" si="3"/>
        <v>1200</v>
      </c>
      <c r="F11" s="3"/>
      <c r="G11" s="21">
        <f t="shared" si="3"/>
        <v>-19.5</v>
      </c>
      <c r="H11" s="8">
        <f t="shared" si="3"/>
        <v>-21</v>
      </c>
      <c r="I11" s="38">
        <f t="shared" si="3"/>
        <v>1.2047665660052278</v>
      </c>
      <c r="J11" s="5">
        <f t="shared" si="3"/>
        <v>80</v>
      </c>
      <c r="K11" s="8">
        <f t="shared" si="3"/>
        <v>2.17</v>
      </c>
      <c r="L11" s="8">
        <f t="shared" si="3"/>
        <v>0.72333333333333327</v>
      </c>
      <c r="M11" s="5">
        <f>SUM(M7:M9)</f>
        <v>1.0775171031475184E-2</v>
      </c>
      <c r="N11" s="6">
        <f>SUM(N7:N9)</f>
        <v>3.5917236771583969E-3</v>
      </c>
      <c r="O11" s="6">
        <f>SUM(O7:O9)</f>
        <v>0</v>
      </c>
      <c r="P11" s="5">
        <f t="shared" ref="P11:W11" si="4">SUM(P7:P9)</f>
        <v>0.77509013110103564</v>
      </c>
      <c r="Q11" s="17">
        <f t="shared" si="4"/>
        <v>-20.224909868898965</v>
      </c>
      <c r="R11" s="37">
        <f t="shared" si="4"/>
        <v>1.370241277815244</v>
      </c>
      <c r="S11" s="17">
        <f t="shared" si="4"/>
        <v>2.2058828248465554</v>
      </c>
      <c r="T11" s="17">
        <f t="shared" si="4"/>
        <v>0.7352942749488518</v>
      </c>
      <c r="U11" s="17">
        <f t="shared" si="4"/>
        <v>7.3039558591717901E-3</v>
      </c>
      <c r="V11" s="39">
        <f t="shared" si="4"/>
        <v>2.4346519530572611E-3</v>
      </c>
      <c r="W11" s="39">
        <f t="shared" si="4"/>
        <v>1096.1930222521951</v>
      </c>
      <c r="X11" s="45">
        <f>1*N11-V11</f>
        <v>1.1570717241011358E-3</v>
      </c>
      <c r="Y11" s="46">
        <f>X11*B14</f>
        <v>115.70717241011359</v>
      </c>
      <c r="Z11" s="46">
        <f>SUM(Z7:Z9)</f>
        <v>202.63999851551577</v>
      </c>
      <c r="AA11" s="44">
        <f>Y11+W11-Z11</f>
        <v>1009.2601961467929</v>
      </c>
    </row>
    <row r="12" spans="1:33" ht="15.75" thickBot="1" x14ac:dyDescent="0.3"/>
    <row r="13" spans="1:33" x14ac:dyDescent="0.25">
      <c r="A13" s="40" t="s">
        <v>58</v>
      </c>
      <c r="B13" s="41">
        <v>1</v>
      </c>
      <c r="W13" s="4" t="s">
        <v>62</v>
      </c>
      <c r="X13" s="4" t="s">
        <v>66</v>
      </c>
      <c r="Y13" s="4" t="s">
        <v>67</v>
      </c>
      <c r="Z13" s="4" t="s">
        <v>68</v>
      </c>
      <c r="AA13" s="4" t="s">
        <v>61</v>
      </c>
      <c r="AB13" s="4" t="s">
        <v>64</v>
      </c>
      <c r="AC13" s="4" t="s">
        <v>63</v>
      </c>
      <c r="AD13" s="4" t="s">
        <v>48</v>
      </c>
      <c r="AE13" s="4" t="s">
        <v>65</v>
      </c>
      <c r="AF13" s="4" t="s">
        <v>60</v>
      </c>
      <c r="AG13" s="4" t="s">
        <v>38</v>
      </c>
    </row>
    <row r="14" spans="1:33" ht="15.75" thickBot="1" x14ac:dyDescent="0.3">
      <c r="A14" s="42" t="s">
        <v>55</v>
      </c>
      <c r="B14" s="43">
        <f>B13*100000</f>
        <v>100000</v>
      </c>
      <c r="W14" s="4">
        <v>0</v>
      </c>
      <c r="X14" s="48">
        <v>0.66283045204810831</v>
      </c>
      <c r="Y14" s="48">
        <v>0.23375130550173329</v>
      </c>
      <c r="Z14" s="48">
        <v>0</v>
      </c>
      <c r="AA14" s="4">
        <v>3.5999999999999999E-3</v>
      </c>
      <c r="AB14" s="5">
        <v>4.4437103153370655E-3</v>
      </c>
      <c r="AC14" s="51">
        <v>1092.1268886098569</v>
      </c>
      <c r="AD14" s="50">
        <v>-8.5198663817866865E-4</v>
      </c>
      <c r="AE14" s="51">
        <v>0</v>
      </c>
      <c r="AF14" s="51">
        <v>107.41668522656093</v>
      </c>
      <c r="AG14" s="51">
        <v>984.71020338329595</v>
      </c>
    </row>
    <row r="15" spans="1:33" x14ac:dyDescent="0.25">
      <c r="W15" s="4">
        <v>0.1</v>
      </c>
      <c r="X15" s="48">
        <v>0.51780253059483028</v>
      </c>
      <c r="Y15" s="48">
        <v>0.23656654672983471</v>
      </c>
      <c r="Z15" s="48">
        <v>0</v>
      </c>
      <c r="AA15" s="4">
        <v>3.5999999999999999E-3</v>
      </c>
      <c r="AB15" s="5">
        <v>4.247723247368218E-3</v>
      </c>
      <c r="AC15" s="51">
        <v>1071.5965003665051</v>
      </c>
      <c r="AD15" s="50">
        <v>-6.5599957020982119E-4</v>
      </c>
      <c r="AE15" s="51">
        <v>-6.5599957020982123</v>
      </c>
      <c r="AF15" s="51">
        <v>87.884460207212896</v>
      </c>
      <c r="AG15" s="51">
        <v>977.15204445719405</v>
      </c>
    </row>
    <row r="16" spans="1:33" x14ac:dyDescent="0.25">
      <c r="W16" s="4">
        <v>0.2</v>
      </c>
      <c r="X16" s="48">
        <v>0.34652880096153288</v>
      </c>
      <c r="Y16" s="48">
        <v>0.23482389851368479</v>
      </c>
      <c r="Z16" s="48">
        <v>0</v>
      </c>
      <c r="AA16" s="4">
        <v>3.5999999999999999E-3</v>
      </c>
      <c r="AB16" s="5">
        <v>4.0230789898805519E-3</v>
      </c>
      <c r="AC16" s="51">
        <v>1048.4290397557736</v>
      </c>
      <c r="AD16" s="50">
        <v>-4.3135531272215505E-4</v>
      </c>
      <c r="AE16" s="51">
        <v>-8.6271062544431008</v>
      </c>
      <c r="AF16" s="51">
        <v>68.117368235484065</v>
      </c>
      <c r="AG16" s="51">
        <v>971.68456526584646</v>
      </c>
    </row>
    <row r="17" spans="1:33" x14ac:dyDescent="0.25">
      <c r="A17" s="1" t="s">
        <v>21</v>
      </c>
      <c r="B17" s="1">
        <v>0.1</v>
      </c>
      <c r="W17" s="4">
        <v>0.3</v>
      </c>
      <c r="X17" s="48">
        <v>0.12770985946491972</v>
      </c>
      <c r="Y17" s="48">
        <v>0.22718115046985032</v>
      </c>
      <c r="Z17" s="48">
        <v>0</v>
      </c>
      <c r="AA17" s="4">
        <v>3.5999999999999999E-3</v>
      </c>
      <c r="AB17" s="5">
        <v>3.74610790843425E-3</v>
      </c>
      <c r="AC17" s="51">
        <v>1021.0265382515737</v>
      </c>
      <c r="AD17" s="50">
        <v>-1.543842312758531E-4</v>
      </c>
      <c r="AE17" s="51">
        <v>-4.6315269382755933</v>
      </c>
      <c r="AF17" s="51">
        <v>47.699651243052017</v>
      </c>
      <c r="AG17" s="51">
        <v>968.69536007024612</v>
      </c>
    </row>
    <row r="18" spans="1:33" x14ac:dyDescent="0.25">
      <c r="A18" s="1" t="s">
        <v>16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W18" s="4">
        <v>0.4</v>
      </c>
      <c r="X18" s="48">
        <v>0</v>
      </c>
      <c r="Y18" s="48">
        <v>0.22210181099222789</v>
      </c>
      <c r="Z18" s="48">
        <v>3.536152761714715E-2</v>
      </c>
      <c r="AA18" s="4">
        <v>3.5999999999999999E-3</v>
      </c>
      <c r="AB18" s="5">
        <v>3.4952359180925111E-3</v>
      </c>
      <c r="AC18" s="51">
        <v>1012.6806613108085</v>
      </c>
      <c r="AD18" s="50">
        <v>9.6487759065885803E-5</v>
      </c>
      <c r="AE18" s="51">
        <v>3.8595103626354321</v>
      </c>
      <c r="AF18" s="51">
        <v>48.002614383212901</v>
      </c>
      <c r="AG18" s="51">
        <v>968.53755729023112</v>
      </c>
    </row>
    <row r="19" spans="1:33" x14ac:dyDescent="0.25">
      <c r="A19" s="1" t="s">
        <v>18</v>
      </c>
      <c r="B19" s="3">
        <f>$H7+B$18*$B$17</f>
        <v>-9.5</v>
      </c>
      <c r="C19" s="3">
        <f t="shared" ref="C19:N19" si="5">$H7+C$18*$B$17</f>
        <v>-9.4</v>
      </c>
      <c r="D19" s="3">
        <f t="shared" si="5"/>
        <v>-9.3000000000000007</v>
      </c>
      <c r="E19" s="3">
        <f t="shared" si="5"/>
        <v>-9.1999999999999993</v>
      </c>
      <c r="F19" s="3">
        <f t="shared" si="5"/>
        <v>-9.1</v>
      </c>
      <c r="G19" s="3">
        <f t="shared" si="5"/>
        <v>-9</v>
      </c>
      <c r="H19" s="3">
        <f t="shared" si="5"/>
        <v>-8.9</v>
      </c>
      <c r="I19" s="3">
        <f t="shared" si="5"/>
        <v>-8.8000000000000007</v>
      </c>
      <c r="J19" s="3">
        <f t="shared" si="5"/>
        <v>-8.6999999999999993</v>
      </c>
      <c r="K19" s="3">
        <f t="shared" si="5"/>
        <v>-8.6</v>
      </c>
      <c r="L19" s="3">
        <f t="shared" si="5"/>
        <v>-8.5</v>
      </c>
      <c r="M19" s="3">
        <f t="shared" si="5"/>
        <v>-8.4</v>
      </c>
      <c r="N19" s="3">
        <f t="shared" si="5"/>
        <v>-8.3000000000000007</v>
      </c>
      <c r="O19" s="3">
        <f t="shared" ref="O19:R21" si="6">$H7+O$18*$B$17</f>
        <v>-8.1999999999999993</v>
      </c>
      <c r="P19" s="3">
        <f t="shared" si="6"/>
        <v>-8.1</v>
      </c>
      <c r="Q19" s="3">
        <f t="shared" si="6"/>
        <v>-8</v>
      </c>
      <c r="R19" s="3">
        <f t="shared" si="6"/>
        <v>-7.9</v>
      </c>
      <c r="W19" s="4">
        <v>0.5</v>
      </c>
      <c r="X19" s="48">
        <v>0</v>
      </c>
      <c r="Y19" s="48">
        <v>0.22855862835170196</v>
      </c>
      <c r="Z19" s="48">
        <v>0.12269781171125869</v>
      </c>
      <c r="AA19" s="4">
        <v>3.5999999999999999E-3</v>
      </c>
      <c r="AB19" s="5">
        <v>3.2699937802673357E-3</v>
      </c>
      <c r="AC19" s="51">
        <v>1028.7257771830882</v>
      </c>
      <c r="AD19" s="50">
        <v>3.2172989689106118E-4</v>
      </c>
      <c r="AE19" s="51">
        <v>16.086494844553059</v>
      </c>
      <c r="AF19" s="51">
        <v>74.16135263336156</v>
      </c>
      <c r="AG19" s="51">
        <v>970.65091939427975</v>
      </c>
    </row>
    <row r="20" spans="1:33" x14ac:dyDescent="0.25">
      <c r="A20" s="1" t="s">
        <v>19</v>
      </c>
      <c r="B20" s="3">
        <f t="shared" ref="B20:N20" si="7">$H8+B$18*$B$17</f>
        <v>-7</v>
      </c>
      <c r="C20" s="3">
        <f t="shared" si="7"/>
        <v>-6.9</v>
      </c>
      <c r="D20" s="3">
        <f t="shared" si="7"/>
        <v>-6.8</v>
      </c>
      <c r="E20" s="3">
        <f t="shared" si="7"/>
        <v>-6.7</v>
      </c>
      <c r="F20" s="3">
        <f t="shared" si="7"/>
        <v>-6.6</v>
      </c>
      <c r="G20" s="3">
        <f t="shared" si="7"/>
        <v>-6.5</v>
      </c>
      <c r="H20" s="3">
        <f t="shared" si="7"/>
        <v>-6.4</v>
      </c>
      <c r="I20" s="3">
        <f t="shared" si="7"/>
        <v>-6.3</v>
      </c>
      <c r="J20" s="3">
        <f t="shared" si="7"/>
        <v>-6.2</v>
      </c>
      <c r="K20" s="3">
        <f t="shared" si="7"/>
        <v>-6.1</v>
      </c>
      <c r="L20" s="3">
        <f t="shared" si="7"/>
        <v>-6</v>
      </c>
      <c r="M20" s="3">
        <f t="shared" si="7"/>
        <v>-5.9</v>
      </c>
      <c r="N20" s="3">
        <f t="shared" si="7"/>
        <v>-5.8</v>
      </c>
      <c r="O20" s="3">
        <f t="shared" si="6"/>
        <v>-5.7</v>
      </c>
      <c r="P20" s="3">
        <f t="shared" si="6"/>
        <v>-5.6</v>
      </c>
      <c r="Q20" s="3">
        <f t="shared" si="6"/>
        <v>-5.5</v>
      </c>
      <c r="R20" s="3">
        <f t="shared" si="6"/>
        <v>-5.4</v>
      </c>
      <c r="W20" s="4">
        <v>0.6</v>
      </c>
      <c r="X20" s="48">
        <v>0</v>
      </c>
      <c r="Y20" s="48">
        <v>0.23729868647006325</v>
      </c>
      <c r="Z20" s="48">
        <v>0.20429044860434495</v>
      </c>
      <c r="AA20" s="4">
        <v>3.5999999999999999E-3</v>
      </c>
      <c r="AB20" s="5">
        <v>3.0688687037099122E-3</v>
      </c>
      <c r="AC20" s="51">
        <v>1043.7793461131914</v>
      </c>
      <c r="AD20" s="50">
        <v>5.2285497344848469E-4</v>
      </c>
      <c r="AE20" s="51">
        <v>31.37129840690908</v>
      </c>
      <c r="AF20" s="51">
        <v>100.25869354996496</v>
      </c>
      <c r="AG20" s="51">
        <v>974.89195097013555</v>
      </c>
    </row>
    <row r="21" spans="1:33" x14ac:dyDescent="0.25">
      <c r="A21" s="1" t="s">
        <v>20</v>
      </c>
      <c r="B21" s="3">
        <f t="shared" ref="B21:N21" si="8">$H9+B$18*$B$17</f>
        <v>-4.5</v>
      </c>
      <c r="C21" s="3">
        <f t="shared" si="8"/>
        <v>-4.4000000000000004</v>
      </c>
      <c r="D21" s="3">
        <f t="shared" si="8"/>
        <v>-4.3</v>
      </c>
      <c r="E21" s="3">
        <f t="shared" si="8"/>
        <v>-4.2</v>
      </c>
      <c r="F21" s="3">
        <f t="shared" si="8"/>
        <v>-4.0999999999999996</v>
      </c>
      <c r="G21" s="3">
        <f t="shared" si="8"/>
        <v>-4</v>
      </c>
      <c r="H21" s="3">
        <f t="shared" si="8"/>
        <v>-3.9</v>
      </c>
      <c r="I21" s="3">
        <f t="shared" si="8"/>
        <v>-3.8</v>
      </c>
      <c r="J21" s="3">
        <f t="shared" si="8"/>
        <v>-3.7</v>
      </c>
      <c r="K21" s="3">
        <f t="shared" si="8"/>
        <v>-3.6</v>
      </c>
      <c r="L21" s="3">
        <f t="shared" si="8"/>
        <v>-3.5</v>
      </c>
      <c r="M21" s="3">
        <f t="shared" si="8"/>
        <v>-3.4</v>
      </c>
      <c r="N21" s="3">
        <f t="shared" si="8"/>
        <v>-3.3</v>
      </c>
      <c r="O21" s="3">
        <f t="shared" si="6"/>
        <v>-3.2</v>
      </c>
      <c r="P21" s="3">
        <f t="shared" si="6"/>
        <v>-3.0999999999999996</v>
      </c>
      <c r="Q21" s="3">
        <f t="shared" si="6"/>
        <v>-3</v>
      </c>
      <c r="R21" s="3">
        <f t="shared" si="6"/>
        <v>-2.9</v>
      </c>
      <c r="W21" s="4">
        <v>0</v>
      </c>
      <c r="X21" s="48">
        <v>0.66283045204810831</v>
      </c>
      <c r="Y21" s="48">
        <v>0.23375130550173329</v>
      </c>
      <c r="Z21" s="48">
        <v>0</v>
      </c>
      <c r="AA21" s="4">
        <f t="shared" ref="AA21:AA27" si="9">AA14*0.9</f>
        <v>3.2399999999999998E-3</v>
      </c>
      <c r="AB21" s="5">
        <v>4.4437103153304944E-3</v>
      </c>
      <c r="AC21" s="51">
        <v>1092.1268884757874</v>
      </c>
      <c r="AD21" s="50">
        <v>-1.2111590058879371E-3</v>
      </c>
      <c r="AE21" s="51">
        <v>0</v>
      </c>
      <c r="AF21" s="51">
        <v>107.41668509249143</v>
      </c>
      <c r="AG21" s="51">
        <v>984.71020338329595</v>
      </c>
    </row>
    <row r="22" spans="1:33" x14ac:dyDescent="0.25">
      <c r="A22" s="1" t="s">
        <v>23</v>
      </c>
      <c r="B22" s="1">
        <f>EXP(B19)/(EXP(B19)+EXP($G7))</f>
        <v>0.1480471980316895</v>
      </c>
      <c r="C22" s="1">
        <f t="shared" ref="C22:N22" si="10">EXP(C19)/(EXP(C19)+EXP($G7))</f>
        <v>0.16110894957658517</v>
      </c>
      <c r="D22" s="1">
        <f t="shared" si="10"/>
        <v>0.17508626816403969</v>
      </c>
      <c r="E22" s="1">
        <f t="shared" si="10"/>
        <v>0.19000156601531309</v>
      </c>
      <c r="F22" s="1">
        <f t="shared" si="10"/>
        <v>0.20587037180094742</v>
      </c>
      <c r="G22" s="1">
        <f t="shared" si="10"/>
        <v>0.2227001388253089</v>
      </c>
      <c r="H22" s="1">
        <f t="shared" si="10"/>
        <v>0.24048908305088884</v>
      </c>
      <c r="I22" s="1">
        <f t="shared" si="10"/>
        <v>0.25922510081784589</v>
      </c>
      <c r="J22" s="1">
        <f t="shared" si="10"/>
        <v>0.2788848219771371</v>
      </c>
      <c r="K22" s="1">
        <f t="shared" si="10"/>
        <v>0.29943285752602711</v>
      </c>
      <c r="L22" s="1">
        <f t="shared" si="10"/>
        <v>0.32082130082460703</v>
      </c>
      <c r="M22" s="1">
        <f t="shared" si="10"/>
        <v>0.34298953732650117</v>
      </c>
      <c r="N22" s="1">
        <f t="shared" si="10"/>
        <v>0.36586440898919914</v>
      </c>
      <c r="O22" s="1">
        <f t="shared" ref="O22:R24" si="11">EXP(O19)/(EXP(O19)+EXP($G7))</f>
        <v>0.38936076605077818</v>
      </c>
      <c r="P22" s="1">
        <f t="shared" si="11"/>
        <v>0.41338242108267009</v>
      </c>
      <c r="Q22" s="1">
        <f t="shared" si="11"/>
        <v>0.43782349911420193</v>
      </c>
      <c r="R22" s="1">
        <f t="shared" si="11"/>
        <v>0.46257015465625034</v>
      </c>
      <c r="W22" s="4">
        <v>0.1</v>
      </c>
      <c r="X22" s="48">
        <v>0.51780248915659755</v>
      </c>
      <c r="Y22" s="48">
        <v>0.23656597420371636</v>
      </c>
      <c r="Z22" s="48">
        <v>0</v>
      </c>
      <c r="AA22" s="4">
        <f t="shared" si="9"/>
        <v>3.2399999999999998E-3</v>
      </c>
      <c r="AB22" s="5">
        <v>4.2477232200106019E-3</v>
      </c>
      <c r="AC22" s="51">
        <v>1071.5963818489201</v>
      </c>
      <c r="AD22" s="50">
        <v>-1.0151719105680446E-3</v>
      </c>
      <c r="AE22" s="51">
        <v>-10.151719105680446</v>
      </c>
      <c r="AF22" s="51">
        <v>87.884341963175018</v>
      </c>
      <c r="AG22" s="51">
        <v>973.56032078006456</v>
      </c>
    </row>
    <row r="23" spans="1:33" x14ac:dyDescent="0.25">
      <c r="A23" s="1" t="s">
        <v>24</v>
      </c>
      <c r="B23" s="1">
        <f>EXP(B20)/(EXP(B20)+EXP($G8))</f>
        <v>0.37754066879814546</v>
      </c>
      <c r="C23" s="1">
        <f t="shared" ref="C23:N23" si="12">EXP(C20)/(EXP(C20)+EXP($G8))</f>
        <v>0.40131233988754794</v>
      </c>
      <c r="D23" s="1">
        <f t="shared" si="12"/>
        <v>0.42555748318834108</v>
      </c>
      <c r="E23" s="1">
        <f t="shared" si="12"/>
        <v>0.45016600268752205</v>
      </c>
      <c r="F23" s="1">
        <f t="shared" si="12"/>
        <v>0.4750208125210601</v>
      </c>
      <c r="G23" s="1">
        <f t="shared" si="12"/>
        <v>0.5</v>
      </c>
      <c r="H23" s="1">
        <f t="shared" si="12"/>
        <v>0.5249791874789399</v>
      </c>
      <c r="I23" s="1">
        <f t="shared" si="12"/>
        <v>0.54983399731247795</v>
      </c>
      <c r="J23" s="1">
        <f t="shared" si="12"/>
        <v>0.57444251681165892</v>
      </c>
      <c r="K23" s="1">
        <f t="shared" si="12"/>
        <v>0.59868766011245211</v>
      </c>
      <c r="L23" s="1">
        <f t="shared" si="12"/>
        <v>0.62245933120185448</v>
      </c>
      <c r="M23" s="1">
        <f t="shared" si="12"/>
        <v>0.6456563062257954</v>
      </c>
      <c r="N23" s="1">
        <f t="shared" si="12"/>
        <v>0.66818777216816616</v>
      </c>
      <c r="O23" s="1">
        <f t="shared" si="11"/>
        <v>0.6899744811276125</v>
      </c>
      <c r="P23" s="1">
        <f t="shared" si="11"/>
        <v>0.710949502625004</v>
      </c>
      <c r="Q23" s="1">
        <f t="shared" si="11"/>
        <v>0.7310585786300049</v>
      </c>
      <c r="R23" s="1">
        <f t="shared" si="11"/>
        <v>0.75026010559511758</v>
      </c>
      <c r="W23" s="4">
        <v>0.2</v>
      </c>
      <c r="X23" s="48">
        <v>0.34652880464345576</v>
      </c>
      <c r="Y23" s="48">
        <v>0.2348239142929264</v>
      </c>
      <c r="Z23" s="48">
        <v>0</v>
      </c>
      <c r="AA23" s="4">
        <f t="shared" si="9"/>
        <v>3.2399999999999998E-3</v>
      </c>
      <c r="AB23" s="5">
        <v>4.0230789949038531E-3</v>
      </c>
      <c r="AC23" s="51">
        <v>1048.4290417133041</v>
      </c>
      <c r="AD23" s="50">
        <v>-7.9052768546129587E-4</v>
      </c>
      <c r="AE23" s="51">
        <v>-15.810553709225918</v>
      </c>
      <c r="AF23" s="51">
        <v>68.117370092550075</v>
      </c>
      <c r="AG23" s="51">
        <v>964.50111791152813</v>
      </c>
    </row>
    <row r="24" spans="1:33" x14ac:dyDescent="0.25">
      <c r="A24" s="1" t="s">
        <v>25</v>
      </c>
      <c r="B24" s="1">
        <f>EXP(B21)/(EXP(B21)+EXP($G9))</f>
        <v>0.67917869917539297</v>
      </c>
      <c r="C24" s="1">
        <f t="shared" ref="C24:N24" si="13">EXP(C21)/(EXP(C21)+EXP($G9))</f>
        <v>0.70056714247397289</v>
      </c>
      <c r="D24" s="1">
        <f t="shared" si="13"/>
        <v>0.72111517802286318</v>
      </c>
      <c r="E24" s="1">
        <f t="shared" si="13"/>
        <v>0.74077489918215389</v>
      </c>
      <c r="F24" s="1">
        <f t="shared" si="13"/>
        <v>0.7595109169491111</v>
      </c>
      <c r="G24" s="1">
        <f t="shared" si="13"/>
        <v>0.77729986117469108</v>
      </c>
      <c r="H24" s="1">
        <f t="shared" si="13"/>
        <v>0.79412962819905264</v>
      </c>
      <c r="I24" s="1">
        <f t="shared" si="13"/>
        <v>0.80999843398468707</v>
      </c>
      <c r="J24" s="1">
        <f t="shared" si="13"/>
        <v>0.82491373183596017</v>
      </c>
      <c r="K24" s="1">
        <f t="shared" si="13"/>
        <v>0.83889105042341483</v>
      </c>
      <c r="L24" s="1">
        <f t="shared" si="13"/>
        <v>0.85195280196831058</v>
      </c>
      <c r="M24" s="1">
        <f t="shared" si="13"/>
        <v>0.86412710299090578</v>
      </c>
      <c r="N24" s="1">
        <f t="shared" si="13"/>
        <v>0.87544664181258369</v>
      </c>
      <c r="O24" s="1">
        <f t="shared" si="11"/>
        <v>0.88594761872020922</v>
      </c>
      <c r="P24" s="1">
        <f t="shared" si="11"/>
        <v>0.89566877688099877</v>
      </c>
      <c r="Q24" s="1">
        <f t="shared" si="11"/>
        <v>0.90465053510089055</v>
      </c>
      <c r="R24" s="1">
        <f t="shared" si="11"/>
        <v>0.91293422755972875</v>
      </c>
      <c r="W24" s="4">
        <v>0.3</v>
      </c>
      <c r="X24" s="48">
        <v>0.1277098357609526</v>
      </c>
      <c r="Y24" s="48">
        <v>0.2271811458804843</v>
      </c>
      <c r="Z24" s="48">
        <v>0</v>
      </c>
      <c r="AA24" s="4">
        <f t="shared" si="9"/>
        <v>3.2399999999999998E-3</v>
      </c>
      <c r="AB24" s="5">
        <v>3.7461078982346102E-3</v>
      </c>
      <c r="AC24" s="51">
        <v>1021.0265372951638</v>
      </c>
      <c r="AD24" s="50">
        <v>-5.1355658879205296E-4</v>
      </c>
      <c r="AE24" s="51">
        <v>-15.406697663761589</v>
      </c>
      <c r="AF24" s="51">
        <v>47.699650592628338</v>
      </c>
      <c r="AG24" s="51">
        <v>957.92018903877386</v>
      </c>
    </row>
    <row r="25" spans="1:33" x14ac:dyDescent="0.25">
      <c r="A25" s="1" t="s">
        <v>26</v>
      </c>
      <c r="B25" s="1">
        <f>1-($B$4+$B$10*$C$4-$B$17*B$18)/$J7</f>
        <v>0.8</v>
      </c>
      <c r="C25" s="1">
        <f t="shared" ref="C25:N25" si="14">1-($B$4+$B$10*$C$4-$B$17*C$18)/$J7</f>
        <v>0.80285714285714282</v>
      </c>
      <c r="D25" s="1">
        <f t="shared" si="14"/>
        <v>0.80571428571428572</v>
      </c>
      <c r="E25" s="1">
        <f t="shared" si="14"/>
        <v>0.80857142857142861</v>
      </c>
      <c r="F25" s="1">
        <f t="shared" si="14"/>
        <v>0.81142857142857139</v>
      </c>
      <c r="G25" s="1">
        <f t="shared" si="14"/>
        <v>0.81428571428571428</v>
      </c>
      <c r="H25" s="1">
        <f t="shared" si="14"/>
        <v>0.81714285714285717</v>
      </c>
      <c r="I25" s="1">
        <f t="shared" si="14"/>
        <v>0.82000000000000006</v>
      </c>
      <c r="J25" s="1">
        <f t="shared" si="14"/>
        <v>0.82285714285714284</v>
      </c>
      <c r="K25" s="1">
        <f t="shared" si="14"/>
        <v>0.82571428571428573</v>
      </c>
      <c r="L25" s="1">
        <f t="shared" si="14"/>
        <v>0.82857142857142851</v>
      </c>
      <c r="M25" s="1">
        <f t="shared" si="14"/>
        <v>0.83142857142857141</v>
      </c>
      <c r="N25" s="1">
        <f t="shared" si="14"/>
        <v>0.8342857142857143</v>
      </c>
      <c r="O25" s="1">
        <f t="shared" ref="O25:R27" si="15">1-($B$4+$B$10*$C$4-$B$17*O$18)/$J7</f>
        <v>0.83714285714285719</v>
      </c>
      <c r="P25" s="1">
        <f t="shared" si="15"/>
        <v>0.84</v>
      </c>
      <c r="Q25" s="1">
        <f t="shared" si="15"/>
        <v>0.84285714285714286</v>
      </c>
      <c r="R25" s="1">
        <f t="shared" si="15"/>
        <v>0.84571428571428564</v>
      </c>
      <c r="W25" s="4">
        <v>0.4</v>
      </c>
      <c r="X25" s="48">
        <v>0</v>
      </c>
      <c r="Y25" s="48">
        <v>0.22210178553181342</v>
      </c>
      <c r="Z25" s="48">
        <v>3.536152665906013E-2</v>
      </c>
      <c r="AA25" s="4">
        <f t="shared" si="9"/>
        <v>3.2399999999999998E-3</v>
      </c>
      <c r="AB25" s="5">
        <v>3.4952359184274029E-3</v>
      </c>
      <c r="AC25" s="51">
        <v>1012.6806589287053</v>
      </c>
      <c r="AD25" s="50">
        <v>-2.6268460898484563E-4</v>
      </c>
      <c r="AE25" s="51">
        <v>-10.507384359393825</v>
      </c>
      <c r="AF25" s="51">
        <v>48.002611987717309</v>
      </c>
      <c r="AG25" s="51">
        <v>954.17066258159412</v>
      </c>
    </row>
    <row r="26" spans="1:33" x14ac:dyDescent="0.25">
      <c r="A26" s="1" t="s">
        <v>27</v>
      </c>
      <c r="B26" s="1">
        <f>1-($B$4+$B$10*$C$4-$B$17*B$18)/$J8</f>
        <v>0.72</v>
      </c>
      <c r="C26" s="1">
        <f t="shared" ref="C26:N26" si="16">1-($B$4+$B$10*$C$4-$B$17*C$18)/$J8</f>
        <v>0.72399999999999998</v>
      </c>
      <c r="D26" s="1">
        <f t="shared" si="16"/>
        <v>0.72799999999999998</v>
      </c>
      <c r="E26" s="1">
        <f t="shared" si="16"/>
        <v>0.73199999999999998</v>
      </c>
      <c r="F26" s="1">
        <f t="shared" si="16"/>
        <v>0.73599999999999999</v>
      </c>
      <c r="G26" s="1">
        <f t="shared" si="16"/>
        <v>0.74</v>
      </c>
      <c r="H26" s="1">
        <f t="shared" si="16"/>
        <v>0.74399999999999999</v>
      </c>
      <c r="I26" s="1">
        <f t="shared" si="16"/>
        <v>0.748</v>
      </c>
      <c r="J26" s="1">
        <f t="shared" si="16"/>
        <v>0.752</v>
      </c>
      <c r="K26" s="1">
        <f t="shared" si="16"/>
        <v>0.75600000000000001</v>
      </c>
      <c r="L26" s="1">
        <f t="shared" si="16"/>
        <v>0.76</v>
      </c>
      <c r="M26" s="1">
        <f t="shared" si="16"/>
        <v>0.76400000000000001</v>
      </c>
      <c r="N26" s="1">
        <f t="shared" si="16"/>
        <v>0.76800000000000002</v>
      </c>
      <c r="O26" s="1">
        <f t="shared" si="15"/>
        <v>0.77200000000000002</v>
      </c>
      <c r="P26" s="1">
        <f t="shared" si="15"/>
        <v>0.77600000000000002</v>
      </c>
      <c r="Q26" s="1">
        <f t="shared" si="15"/>
        <v>0.78</v>
      </c>
      <c r="R26" s="1">
        <f t="shared" si="15"/>
        <v>0.78400000000000003</v>
      </c>
      <c r="W26" s="4">
        <v>0.5</v>
      </c>
      <c r="X26" s="48">
        <v>0</v>
      </c>
      <c r="Y26" s="48">
        <v>0.22855859913996787</v>
      </c>
      <c r="Z26" s="48">
        <v>0.12269780883392505</v>
      </c>
      <c r="AA26" s="4">
        <f t="shared" si="9"/>
        <v>3.2399999999999998E-3</v>
      </c>
      <c r="AB26" s="5">
        <v>3.2699937793713232E-3</v>
      </c>
      <c r="AC26" s="51">
        <v>1028.7257689537007</v>
      </c>
      <c r="AD26" s="50">
        <v>-3.7442469928765983E-5</v>
      </c>
      <c r="AE26" s="51">
        <v>-1.8721234964382991</v>
      </c>
      <c r="AF26" s="51">
        <v>74.161344448782529</v>
      </c>
      <c r="AG26" s="51">
        <v>952.69230100847994</v>
      </c>
    </row>
    <row r="27" spans="1:33" x14ac:dyDescent="0.25">
      <c r="A27" s="1" t="s">
        <v>28</v>
      </c>
      <c r="B27" s="1">
        <f>1-($B$4+$B$10*$C$4-$B$17*B$18)/$J9</f>
        <v>0.65</v>
      </c>
      <c r="C27" s="1">
        <f t="shared" ref="C27:N27" si="17">1-($B$4+$B$10*$C$4-$B$17*C$18)/$J9</f>
        <v>0.65500000000000003</v>
      </c>
      <c r="D27" s="1">
        <f t="shared" si="17"/>
        <v>0.66</v>
      </c>
      <c r="E27" s="1">
        <f t="shared" si="17"/>
        <v>0.66500000000000004</v>
      </c>
      <c r="F27" s="1">
        <f t="shared" si="17"/>
        <v>0.67</v>
      </c>
      <c r="G27" s="1">
        <f t="shared" si="17"/>
        <v>0.67500000000000004</v>
      </c>
      <c r="H27" s="1">
        <f t="shared" si="17"/>
        <v>0.67999999999999994</v>
      </c>
      <c r="I27" s="1">
        <f t="shared" si="17"/>
        <v>0.68500000000000005</v>
      </c>
      <c r="J27" s="1">
        <f t="shared" si="17"/>
        <v>0.69</v>
      </c>
      <c r="K27" s="1">
        <f t="shared" si="17"/>
        <v>0.69500000000000006</v>
      </c>
      <c r="L27" s="1">
        <f t="shared" si="17"/>
        <v>0.7</v>
      </c>
      <c r="M27" s="1">
        <f t="shared" si="17"/>
        <v>0.70499999999999996</v>
      </c>
      <c r="N27" s="1">
        <f t="shared" si="17"/>
        <v>0.71</v>
      </c>
      <c r="O27" s="1">
        <f t="shared" si="15"/>
        <v>0.71499999999999997</v>
      </c>
      <c r="P27" s="1">
        <f t="shared" si="15"/>
        <v>0.72</v>
      </c>
      <c r="Q27" s="1">
        <f t="shared" si="15"/>
        <v>0.72499999999999998</v>
      </c>
      <c r="R27" s="1">
        <f t="shared" si="15"/>
        <v>0.73</v>
      </c>
      <c r="W27" s="4">
        <v>0.6</v>
      </c>
      <c r="X27" s="48">
        <v>0</v>
      </c>
      <c r="Y27" s="48">
        <v>0.23729868734128801</v>
      </c>
      <c r="Z27" s="48">
        <v>0.20429044859658801</v>
      </c>
      <c r="AA27" s="4">
        <f t="shared" si="9"/>
        <v>3.2399999999999998E-3</v>
      </c>
      <c r="AB27" s="5">
        <v>3.0688687037196058E-3</v>
      </c>
      <c r="AC27" s="51">
        <v>1043.7793462832187</v>
      </c>
      <c r="AD27" s="50">
        <v>1.6368260572295146E-4</v>
      </c>
      <c r="AE27" s="51">
        <v>9.8209563433770874</v>
      </c>
      <c r="AF27" s="51">
        <v>100.25869371940749</v>
      </c>
      <c r="AG27" s="51">
        <v>953.34160890718829</v>
      </c>
    </row>
    <row r="28" spans="1:33" x14ac:dyDescent="0.25">
      <c r="A28" s="1" t="s">
        <v>29</v>
      </c>
      <c r="B28" s="1">
        <f>B25*$D$7+$K$8*$D$8+$K$9*$D$9</f>
        <v>0.72333333333333327</v>
      </c>
      <c r="C28" s="1">
        <f t="shared" ref="C28:N28" si="18">C25*$D$7+$K$8*$D$8+$K$9*$D$9</f>
        <v>0.72428571428571431</v>
      </c>
      <c r="D28" s="1">
        <f t="shared" si="18"/>
        <v>0.72523809523809524</v>
      </c>
      <c r="E28" s="1">
        <f t="shared" si="18"/>
        <v>0.72619047619047616</v>
      </c>
      <c r="F28" s="1">
        <f t="shared" si="18"/>
        <v>0.72714285714285709</v>
      </c>
      <c r="G28" s="1">
        <f t="shared" si="18"/>
        <v>0.72809523809523802</v>
      </c>
      <c r="H28" s="1">
        <f t="shared" si="18"/>
        <v>0.72904761904761906</v>
      </c>
      <c r="I28" s="1">
        <f t="shared" si="18"/>
        <v>0.73</v>
      </c>
      <c r="J28" s="1">
        <f t="shared" si="18"/>
        <v>0.73095238095238091</v>
      </c>
      <c r="K28" s="1">
        <f t="shared" si="18"/>
        <v>0.73190476190476195</v>
      </c>
      <c r="L28" s="1">
        <f t="shared" si="18"/>
        <v>0.73285714285714276</v>
      </c>
      <c r="M28" s="1">
        <f t="shared" si="18"/>
        <v>0.7338095238095238</v>
      </c>
      <c r="N28" s="1">
        <f t="shared" si="18"/>
        <v>0.73476190476190473</v>
      </c>
      <c r="O28" s="1">
        <f>O25*$D$7+$K$8*$D$8+$K$9*$D$9</f>
        <v>0.73571428571428565</v>
      </c>
      <c r="P28" s="1">
        <f>P25*$D$7+$K$8*$D$8+$K$9*$D$9</f>
        <v>0.73666666666666669</v>
      </c>
      <c r="Q28" s="1">
        <f>Q25*$D$7+$K$8*$D$8+$K$9*$D$9</f>
        <v>0.73761904761904762</v>
      </c>
      <c r="R28" s="1">
        <f>R25*$D$7+$K$8*$D$8+$K$9*$D$9</f>
        <v>0.73857142857142855</v>
      </c>
    </row>
    <row r="29" spans="1:33" x14ac:dyDescent="0.25">
      <c r="A29" s="1" t="s">
        <v>30</v>
      </c>
      <c r="B29" s="1">
        <f>B26*$D$8+$K$7*$D$7+$K$9*$D$9</f>
        <v>0.72333333333333327</v>
      </c>
      <c r="C29" s="1">
        <f t="shared" ref="C29:N29" si="19">C26*$D$8+$K$7*$D$7+$K$9*$D$9</f>
        <v>0.72466666666666668</v>
      </c>
      <c r="D29" s="1">
        <f t="shared" si="19"/>
        <v>0.72599999999999998</v>
      </c>
      <c r="E29" s="1">
        <f t="shared" si="19"/>
        <v>0.72733333333333328</v>
      </c>
      <c r="F29" s="1">
        <f t="shared" si="19"/>
        <v>0.72866666666666668</v>
      </c>
      <c r="G29" s="1">
        <f t="shared" si="19"/>
        <v>0.73</v>
      </c>
      <c r="H29" s="1">
        <f t="shared" si="19"/>
        <v>0.73133333333333328</v>
      </c>
      <c r="I29" s="1">
        <f t="shared" si="19"/>
        <v>0.73266666666666669</v>
      </c>
      <c r="J29" s="1">
        <f t="shared" si="19"/>
        <v>0.73399999999999999</v>
      </c>
      <c r="K29" s="1">
        <f t="shared" si="19"/>
        <v>0.73533333333333328</v>
      </c>
      <c r="L29" s="1">
        <f t="shared" si="19"/>
        <v>0.73666666666666669</v>
      </c>
      <c r="M29" s="1">
        <f t="shared" si="19"/>
        <v>0.73799999999999999</v>
      </c>
      <c r="N29" s="1">
        <f t="shared" si="19"/>
        <v>0.73933333333333329</v>
      </c>
      <c r="O29" s="1">
        <f>O26*$D$8+$K$7*$D$7+$K$9*$D$9</f>
        <v>0.7406666666666667</v>
      </c>
      <c r="P29" s="1">
        <f>P26*$D$8+$K$7*$D$7+$K$9*$D$9</f>
        <v>0.74199999999999999</v>
      </c>
      <c r="Q29" s="1">
        <f>Q26*$D$8+$K$7*$D$7+$K$9*$D$9</f>
        <v>0.74333333333333329</v>
      </c>
      <c r="R29" s="1">
        <f>R26*$D$8+$K$7*$D$7+$K$9*$D$9</f>
        <v>0.7446666666666667</v>
      </c>
    </row>
    <row r="30" spans="1:33" x14ac:dyDescent="0.25">
      <c r="A30" s="1" t="s">
        <v>31</v>
      </c>
      <c r="B30" s="1">
        <f>B27*$D$9+$K$7*$D$7+$K$8*$D$8</f>
        <v>0.72333333333333338</v>
      </c>
      <c r="C30" s="1">
        <f t="shared" ref="C30:N30" si="20">C27*$D$9+$K$7*$D$7+$K$8*$D$8</f>
        <v>0.72499999999999998</v>
      </c>
      <c r="D30" s="1">
        <f t="shared" si="20"/>
        <v>0.72666666666666668</v>
      </c>
      <c r="E30" s="1">
        <f t="shared" si="20"/>
        <v>0.72833333333333328</v>
      </c>
      <c r="F30" s="1">
        <f t="shared" si="20"/>
        <v>0.73</v>
      </c>
      <c r="G30" s="1">
        <f t="shared" si="20"/>
        <v>0.73166666666666669</v>
      </c>
      <c r="H30" s="1">
        <f t="shared" si="20"/>
        <v>0.73333333333333328</v>
      </c>
      <c r="I30" s="1">
        <f t="shared" si="20"/>
        <v>0.73499999999999999</v>
      </c>
      <c r="J30" s="1">
        <f t="shared" si="20"/>
        <v>0.73666666666666658</v>
      </c>
      <c r="K30" s="1">
        <f t="shared" si="20"/>
        <v>0.73833333333333329</v>
      </c>
      <c r="L30" s="1">
        <f t="shared" si="20"/>
        <v>0.74</v>
      </c>
      <c r="M30" s="1">
        <f t="shared" si="20"/>
        <v>0.7416666666666667</v>
      </c>
      <c r="N30" s="1">
        <f t="shared" si="20"/>
        <v>0.74333333333333329</v>
      </c>
      <c r="O30" s="1">
        <f>O27*$D$9+$K$7*$D$7+$K$8*$D$8</f>
        <v>0.745</v>
      </c>
      <c r="P30" s="1">
        <f>P27*$D$9+$K$7*$D$7+$K$8*$D$8</f>
        <v>0.74666666666666659</v>
      </c>
      <c r="Q30" s="1">
        <f>Q27*$D$9+$K$7*$D$7+$K$8*$D$8</f>
        <v>0.74833333333333329</v>
      </c>
      <c r="R30" s="1">
        <f>R27*$D$9+$K$7*$D$7+$K$8*$D$8</f>
        <v>0.75</v>
      </c>
      <c r="W30" s="1"/>
      <c r="X30" s="1"/>
    </row>
    <row r="31" spans="1:33" x14ac:dyDescent="0.25">
      <c r="A31" s="1" t="s">
        <v>0</v>
      </c>
      <c r="W31" s="1"/>
      <c r="X31" s="1"/>
    </row>
    <row r="32" spans="1:33" x14ac:dyDescent="0.25">
      <c r="A32" s="11" t="s">
        <v>32</v>
      </c>
      <c r="B32" s="11">
        <f>LN(B$28/B25)</f>
        <v>-0.10074156980153187</v>
      </c>
      <c r="C32" s="11">
        <f t="shared" ref="C32:N32" si="21">LN(C$28/C25)</f>
        <v>-0.10299084630250786</v>
      </c>
      <c r="D32" s="11">
        <f t="shared" si="21"/>
        <v>-0.10522918727100672</v>
      </c>
      <c r="E32" s="11">
        <f t="shared" si="21"/>
        <v>-0.10745667782978069</v>
      </c>
      <c r="F32" s="11">
        <f t="shared" si="21"/>
        <v>-0.10967340217062864</v>
      </c>
      <c r="G32" s="11">
        <f t="shared" si="21"/>
        <v>-0.11187944356764326</v>
      </c>
      <c r="H32" s="11">
        <f t="shared" si="21"/>
        <v>-0.11407488439022388</v>
      </c>
      <c r="I32" s="11">
        <f t="shared" si="21"/>
        <v>-0.11625980611586209</v>
      </c>
      <c r="J32" s="11">
        <f t="shared" si="21"/>
        <v>-0.11843428934270347</v>
      </c>
      <c r="K32" s="11">
        <f t="shared" si="21"/>
        <v>-0.1205984138018913</v>
      </c>
      <c r="L32" s="11">
        <f t="shared" si="21"/>
        <v>-0.12275225836969555</v>
      </c>
      <c r="M32" s="11">
        <f t="shared" si="21"/>
        <v>-0.1248959010794318</v>
      </c>
      <c r="N32" s="11">
        <f t="shared" si="21"/>
        <v>-0.12702941913317592</v>
      </c>
      <c r="O32" s="11">
        <f>LN(O$28/O25)</f>
        <v>-0.12915288891327661</v>
      </c>
      <c r="P32" s="11">
        <f>LN(P$28/P25)</f>
        <v>-0.13126638599367038</v>
      </c>
      <c r="Q32" s="11">
        <f>LN(Q$28/Q25)</f>
        <v>-0.13336998515100618</v>
      </c>
      <c r="R32" s="11">
        <f>LN(R$28/R25)</f>
        <v>-0.1354637603755765</v>
      </c>
    </row>
    <row r="33" spans="1:18" x14ac:dyDescent="0.25">
      <c r="A33" s="11" t="s">
        <v>33</v>
      </c>
      <c r="B33" s="11">
        <f>LN(B$28/$K$8)</f>
        <v>4.6189458562944583E-3</v>
      </c>
      <c r="C33" s="11">
        <f t="shared" ref="C33:R33" si="22">LN(C$28/$K$8)</f>
        <v>5.9347355198145265E-3</v>
      </c>
      <c r="D33" s="11">
        <f t="shared" si="22"/>
        <v>7.2487961556835512E-3</v>
      </c>
      <c r="E33" s="11">
        <f t="shared" si="22"/>
        <v>8.5611323020335865E-3</v>
      </c>
      <c r="F33" s="11">
        <f t="shared" si="22"/>
        <v>9.871748479154091E-3</v>
      </c>
      <c r="G33" s="11">
        <f t="shared" si="22"/>
        <v>1.1180649189584028E-2</v>
      </c>
      <c r="H33" s="11">
        <f t="shared" si="22"/>
        <v>1.2487838918205549E-2</v>
      </c>
      <c r="I33" s="11">
        <f t="shared" si="22"/>
        <v>1.3793322132335769E-2</v>
      </c>
      <c r="J33" s="11">
        <f t="shared" si="22"/>
        <v>1.509710328181924E-2</v>
      </c>
      <c r="K33" s="11">
        <f t="shared" si="22"/>
        <v>1.6399186799117643E-2</v>
      </c>
      <c r="L33" s="11">
        <f t="shared" si="22"/>
        <v>1.7699577099400857E-2</v>
      </c>
      <c r="M33" s="11">
        <f t="shared" si="22"/>
        <v>1.8998278580637448E-2</v>
      </c>
      <c r="N33" s="11">
        <f t="shared" si="22"/>
        <v>2.0295295623682607E-2</v>
      </c>
      <c r="O33" s="11">
        <f t="shared" si="22"/>
        <v>2.1590632592367452E-2</v>
      </c>
      <c r="P33" s="11">
        <f t="shared" si="22"/>
        <v>2.2884293833587806E-2</v>
      </c>
      <c r="Q33" s="11">
        <f t="shared" si="22"/>
        <v>2.4176283677390383E-2</v>
      </c>
      <c r="R33" s="11">
        <f t="shared" si="22"/>
        <v>2.5466606437060425E-2</v>
      </c>
    </row>
    <row r="34" spans="1:18" x14ac:dyDescent="0.25">
      <c r="A34" s="11" t="s">
        <v>34</v>
      </c>
      <c r="B34" s="11">
        <f>LN(B$28/$K$9)</f>
        <v>0.10689779497671259</v>
      </c>
      <c r="C34" s="11">
        <f t="shared" ref="C34:R34" si="23">LN(C$28/$K$9)</f>
        <v>0.10821358464023279</v>
      </c>
      <c r="D34" s="11">
        <f t="shared" si="23"/>
        <v>0.10952764527610173</v>
      </c>
      <c r="E34" s="11">
        <f t="shared" si="23"/>
        <v>0.11083998142245191</v>
      </c>
      <c r="F34" s="11">
        <f t="shared" si="23"/>
        <v>0.11215059759957215</v>
      </c>
      <c r="G34" s="11">
        <f t="shared" si="23"/>
        <v>0.11345949831000202</v>
      </c>
      <c r="H34" s="11">
        <f t="shared" si="23"/>
        <v>0.11476668803862365</v>
      </c>
      <c r="I34" s="11">
        <f t="shared" si="23"/>
        <v>0.11607217125275403</v>
      </c>
      <c r="J34" s="11">
        <f t="shared" si="23"/>
        <v>0.11737595240223742</v>
      </c>
      <c r="K34" s="11">
        <f t="shared" si="23"/>
        <v>0.11867803591953575</v>
      </c>
      <c r="L34" s="11">
        <f t="shared" si="23"/>
        <v>0.11997842621981891</v>
      </c>
      <c r="M34" s="11">
        <f t="shared" si="23"/>
        <v>0.12127712770105563</v>
      </c>
      <c r="N34" s="11">
        <f t="shared" si="23"/>
        <v>0.12257414474410072</v>
      </c>
      <c r="O34" s="11">
        <f t="shared" si="23"/>
        <v>0.12386948171278571</v>
      </c>
      <c r="P34" s="11">
        <f t="shared" si="23"/>
        <v>0.12516314295400599</v>
      </c>
      <c r="Q34" s="11">
        <f t="shared" si="23"/>
        <v>0.12645513279780848</v>
      </c>
      <c r="R34" s="11">
        <f t="shared" si="23"/>
        <v>0.12774545555747868</v>
      </c>
    </row>
    <row r="35" spans="1:18" x14ac:dyDescent="0.25">
      <c r="A35" s="11" t="s">
        <v>35</v>
      </c>
      <c r="B35" s="11">
        <f>B32*$D$7+B33*$D$8+B34*$D$9</f>
        <v>3.5917236771583969E-3</v>
      </c>
      <c r="C35" s="11">
        <f t="shared" ref="C35:N35" si="24">C32*$D$7+C33*$D$8+C34*$D$9</f>
        <v>3.7191579525131524E-3</v>
      </c>
      <c r="D35" s="11">
        <f t="shared" si="24"/>
        <v>3.8490847202595213E-3</v>
      </c>
      <c r="E35" s="11">
        <f t="shared" si="24"/>
        <v>3.9814786315682735E-3</v>
      </c>
      <c r="F35" s="11">
        <f t="shared" si="24"/>
        <v>4.1163146360325281E-3</v>
      </c>
      <c r="G35" s="11">
        <f t="shared" si="24"/>
        <v>4.253567977314264E-3</v>
      </c>
      <c r="H35" s="11">
        <f t="shared" si="24"/>
        <v>4.3932141888684342E-3</v>
      </c>
      <c r="I35" s="11">
        <f t="shared" si="24"/>
        <v>4.5352290897425623E-3</v>
      </c>
      <c r="J35" s="11">
        <f t="shared" si="24"/>
        <v>4.6795887804510633E-3</v>
      </c>
      <c r="K35" s="11">
        <f t="shared" si="24"/>
        <v>4.8262696389206952E-3</v>
      </c>
      <c r="L35" s="11">
        <f t="shared" si="24"/>
        <v>4.9752483165080713E-3</v>
      </c>
      <c r="M35" s="11">
        <f t="shared" si="24"/>
        <v>5.1265017340870953E-3</v>
      </c>
      <c r="N35" s="11">
        <f t="shared" si="24"/>
        <v>5.2800070782024755E-3</v>
      </c>
      <c r="O35" s="11">
        <f>O32*$D$7+O33*$D$8+O34*$D$9</f>
        <v>5.4357417972921845E-3</v>
      </c>
      <c r="P35" s="11">
        <f>P32*$D$7+P33*$D$8+P34*$D$9</f>
        <v>5.5936835979744706E-3</v>
      </c>
      <c r="Q35" s="11">
        <f>Q32*$D$7+Q33*$D$8+Q34*$D$9</f>
        <v>5.7538104413975624E-3</v>
      </c>
      <c r="R35" s="11">
        <f>R32*$D$7+R33*$D$8+R34*$D$9</f>
        <v>5.9161005396541969E-3</v>
      </c>
    </row>
    <row r="36" spans="1:18" x14ac:dyDescent="0.25">
      <c r="A36" s="11" t="s">
        <v>37</v>
      </c>
      <c r="B36" s="12">
        <f t="shared" ref="B36:R36" si="25">$N$11-B35</f>
        <v>0</v>
      </c>
      <c r="C36" s="12">
        <f t="shared" si="25"/>
        <v>-1.2743427535475554E-4</v>
      </c>
      <c r="D36" s="12">
        <f t="shared" si="25"/>
        <v>-2.5736104310112445E-4</v>
      </c>
      <c r="E36" s="12">
        <f t="shared" si="25"/>
        <v>-3.8975495440987662E-4</v>
      </c>
      <c r="F36" s="12">
        <f t="shared" si="25"/>
        <v>-5.2459095887413126E-4</v>
      </c>
      <c r="G36" s="12">
        <f t="shared" si="25"/>
        <v>-6.6184430015586715E-4</v>
      </c>
      <c r="H36" s="12">
        <f t="shared" si="25"/>
        <v>-8.0149051171003738E-4</v>
      </c>
      <c r="I36" s="12">
        <f t="shared" si="25"/>
        <v>-9.4350541258416548E-4</v>
      </c>
      <c r="J36" s="12">
        <f t="shared" si="25"/>
        <v>-1.0878651032926664E-3</v>
      </c>
      <c r="K36" s="12">
        <f t="shared" si="25"/>
        <v>-1.2345459617622984E-3</v>
      </c>
      <c r="L36" s="12">
        <f t="shared" si="25"/>
        <v>-1.3835246393496745E-3</v>
      </c>
      <c r="M36" s="12">
        <f t="shared" si="25"/>
        <v>-1.5347780569286984E-3</v>
      </c>
      <c r="N36" s="12">
        <f t="shared" si="25"/>
        <v>-1.6882834010440786E-3</v>
      </c>
      <c r="O36" s="12">
        <f t="shared" si="25"/>
        <v>-1.8440181201337877E-3</v>
      </c>
      <c r="P36" s="12">
        <f t="shared" si="25"/>
        <v>-2.0019599208160738E-3</v>
      </c>
      <c r="Q36" s="12">
        <f t="shared" si="25"/>
        <v>-2.1620867642391656E-3</v>
      </c>
      <c r="R36" s="12">
        <f t="shared" si="25"/>
        <v>-2.3243768624958E-3</v>
      </c>
    </row>
    <row r="37" spans="1:18" x14ac:dyDescent="0.25">
      <c r="A37" s="11" t="s">
        <v>39</v>
      </c>
      <c r="B37" s="12">
        <f>B36*$B$14</f>
        <v>0</v>
      </c>
      <c r="C37" s="12">
        <f t="shared" ref="C37:R37" si="26">C36*$B$14</f>
        <v>-12.743427535475554</v>
      </c>
      <c r="D37" s="12">
        <f t="shared" si="26"/>
        <v>-25.736104310112445</v>
      </c>
      <c r="E37" s="12">
        <f t="shared" si="26"/>
        <v>-38.975495440987665</v>
      </c>
      <c r="F37" s="12">
        <f t="shared" si="26"/>
        <v>-52.459095887413127</v>
      </c>
      <c r="G37" s="12">
        <f t="shared" si="26"/>
        <v>-66.184430015586713</v>
      </c>
      <c r="H37" s="12">
        <f t="shared" si="26"/>
        <v>-80.149051171003734</v>
      </c>
      <c r="I37" s="12">
        <f t="shared" si="26"/>
        <v>-94.350541258416541</v>
      </c>
      <c r="J37" s="12">
        <f t="shared" si="26"/>
        <v>-108.78651032926665</v>
      </c>
      <c r="K37" s="12">
        <f t="shared" si="26"/>
        <v>-123.45459617622984</v>
      </c>
      <c r="L37" s="12">
        <f t="shared" si="26"/>
        <v>-138.35246393496743</v>
      </c>
      <c r="M37" s="12">
        <f t="shared" si="26"/>
        <v>-153.47780569286985</v>
      </c>
      <c r="N37" s="12">
        <f t="shared" si="26"/>
        <v>-168.82834010440786</v>
      </c>
      <c r="O37" s="12">
        <f t="shared" si="26"/>
        <v>-184.40181201337876</v>
      </c>
      <c r="P37" s="12">
        <f t="shared" si="26"/>
        <v>-200.19599208160739</v>
      </c>
      <c r="Q37" s="12">
        <f t="shared" si="26"/>
        <v>-216.20867642391656</v>
      </c>
      <c r="R37" s="12">
        <f t="shared" si="26"/>
        <v>-232.43768624958</v>
      </c>
    </row>
    <row r="38" spans="1:18" x14ac:dyDescent="0.25">
      <c r="A38" s="11" t="s">
        <v>36</v>
      </c>
      <c r="B38" s="11">
        <f>$B$4*$E$7*B22+$B$4*$E$8*$I$8+$B$4*$E$9*$I$9</f>
        <v>963.8132528041823</v>
      </c>
      <c r="C38" s="11">
        <f t="shared" ref="C38:R38" si="27">$B$4*$E$7*C22+$B$4*$E$8*$I$8+$B$4*$E$9*$I$9</f>
        <v>974.26265404009882</v>
      </c>
      <c r="D38" s="11">
        <f t="shared" si="27"/>
        <v>985.4445089100625</v>
      </c>
      <c r="E38" s="11">
        <f t="shared" si="27"/>
        <v>997.37674719108122</v>
      </c>
      <c r="F38" s="11">
        <f t="shared" si="27"/>
        <v>1010.0717918195886</v>
      </c>
      <c r="G38" s="11">
        <f t="shared" si="27"/>
        <v>1023.5356054390778</v>
      </c>
      <c r="H38" s="11">
        <f t="shared" si="27"/>
        <v>1037.7667608195418</v>
      </c>
      <c r="I38" s="11">
        <f t="shared" si="27"/>
        <v>1052.7555750331073</v>
      </c>
      <c r="J38" s="11">
        <f t="shared" si="27"/>
        <v>1068.4833519605404</v>
      </c>
      <c r="K38" s="11">
        <f t="shared" si="27"/>
        <v>1084.9217803996523</v>
      </c>
      <c r="L38" s="11">
        <f t="shared" si="27"/>
        <v>1102.0325350385162</v>
      </c>
      <c r="M38" s="11">
        <f t="shared" si="27"/>
        <v>1119.7671242400315</v>
      </c>
      <c r="N38" s="11">
        <f t="shared" si="27"/>
        <v>1138.06702157019</v>
      </c>
      <c r="O38" s="11">
        <f t="shared" si="27"/>
        <v>1156.8641072194532</v>
      </c>
      <c r="P38" s="11">
        <f t="shared" si="27"/>
        <v>1176.0814312449668</v>
      </c>
      <c r="Q38" s="11">
        <f t="shared" si="27"/>
        <v>1195.6342936701922</v>
      </c>
      <c r="R38" s="11">
        <f t="shared" si="27"/>
        <v>1215.4316181038309</v>
      </c>
    </row>
    <row r="39" spans="1:18" x14ac:dyDescent="0.25">
      <c r="A39" s="11" t="s">
        <v>38</v>
      </c>
      <c r="B39" s="12">
        <f>B38+B37-B18*$B$17*$E$7*B$22</f>
        <v>963.8132528041823</v>
      </c>
      <c r="C39" s="12">
        <f t="shared" ref="C39:R39" si="28">C38+C37-C18*$B$17*$E$7*C$22</f>
        <v>955.07486852155989</v>
      </c>
      <c r="D39" s="12">
        <f t="shared" si="28"/>
        <v>945.70150314682689</v>
      </c>
      <c r="E39" s="12">
        <f t="shared" si="28"/>
        <v>935.60106382825597</v>
      </c>
      <c r="F39" s="12">
        <f t="shared" si="28"/>
        <v>924.67343644402388</v>
      </c>
      <c r="G39" s="12">
        <f t="shared" si="28"/>
        <v>912.81114765842926</v>
      </c>
      <c r="H39" s="12">
        <f t="shared" si="28"/>
        <v>899.90032971632468</v>
      </c>
      <c r="I39" s="12">
        <f t="shared" si="28"/>
        <v>885.82200554569386</v>
      </c>
      <c r="J39" s="12">
        <f t="shared" si="28"/>
        <v>870.45369859858988</v>
      </c>
      <c r="K39" s="12">
        <f t="shared" si="28"/>
        <v>853.67135551405272</v>
      </c>
      <c r="L39" s="12">
        <f t="shared" si="28"/>
        <v>835.35155077370598</v>
      </c>
      <c r="M39" s="12">
        <f t="shared" si="28"/>
        <v>815.37392212350119</v>
      </c>
      <c r="N39" s="12">
        <f t="shared" si="28"/>
        <v>793.62376515096662</v>
      </c>
      <c r="O39" s="12">
        <f t="shared" si="28"/>
        <v>769.99469685966983</v>
      </c>
      <c r="P39" s="12">
        <f t="shared" si="28"/>
        <v>744.39128335706414</v>
      </c>
      <c r="Q39" s="12">
        <f t="shared" si="28"/>
        <v>716.73151777775445</v>
      </c>
      <c r="R39" s="12">
        <f t="shared" si="28"/>
        <v>686.94903287425075</v>
      </c>
    </row>
    <row r="40" spans="1:18" x14ac:dyDescent="0.25">
      <c r="A40" s="11" t="s">
        <v>59</v>
      </c>
      <c r="B40" s="12">
        <f>-B18*$B$17*$E$7*B$22</f>
        <v>0</v>
      </c>
      <c r="C40" s="12">
        <f t="shared" ref="C40:R40" si="29">-C18*$B$17*$E$7*C$22</f>
        <v>-6.4443579830634068</v>
      </c>
      <c r="D40" s="12">
        <f t="shared" si="29"/>
        <v>-14.006901453123175</v>
      </c>
      <c r="E40" s="12">
        <f t="shared" si="29"/>
        <v>-22.800187921837573</v>
      </c>
      <c r="F40" s="12">
        <f t="shared" si="29"/>
        <v>-32.939259488151585</v>
      </c>
      <c r="G40" s="12">
        <f t="shared" si="29"/>
        <v>-44.54002776506178</v>
      </c>
      <c r="H40" s="12">
        <f t="shared" si="29"/>
        <v>-57.717379932213326</v>
      </c>
      <c r="I40" s="12">
        <f t="shared" si="29"/>
        <v>-72.583028228996852</v>
      </c>
      <c r="J40" s="12">
        <f t="shared" si="29"/>
        <v>-89.243143032683875</v>
      </c>
      <c r="K40" s="12">
        <f t="shared" si="29"/>
        <v>-107.79582870936976</v>
      </c>
      <c r="L40" s="12">
        <f t="shared" si="29"/>
        <v>-128.3285203298428</v>
      </c>
      <c r="M40" s="12">
        <f t="shared" si="29"/>
        <v>-150.91539642366052</v>
      </c>
      <c r="N40" s="12">
        <f t="shared" si="29"/>
        <v>-175.61491631481562</v>
      </c>
      <c r="O40" s="12">
        <f t="shared" si="29"/>
        <v>-202.46759834640466</v>
      </c>
      <c r="P40" s="12">
        <f t="shared" si="29"/>
        <v>-231.49415580629525</v>
      </c>
      <c r="Q40" s="12">
        <f t="shared" si="29"/>
        <v>-262.69409946852113</v>
      </c>
      <c r="R40" s="12">
        <f t="shared" si="29"/>
        <v>-296.0448989800002</v>
      </c>
    </row>
    <row r="41" spans="1:18" x14ac:dyDescent="0.25">
      <c r="A41" s="1" t="s">
        <v>40</v>
      </c>
    </row>
    <row r="42" spans="1:18" x14ac:dyDescent="0.25">
      <c r="A42" s="9" t="s">
        <v>32</v>
      </c>
      <c r="B42" s="9">
        <f>LN(B$29/$K$7)</f>
        <v>-0.10074156980153187</v>
      </c>
      <c r="C42" s="9">
        <f t="shared" ref="C42:R42" si="30">LN(C$29/$K$7)</f>
        <v>-9.8899948654882303E-2</v>
      </c>
      <c r="D42" s="9">
        <f t="shared" si="30"/>
        <v>-9.706171284313124E-2</v>
      </c>
      <c r="E42" s="9">
        <f t="shared" si="30"/>
        <v>-9.5226849943020969E-2</v>
      </c>
      <c r="F42" s="9">
        <f t="shared" si="30"/>
        <v>-9.3395347599553188E-2</v>
      </c>
      <c r="G42" s="9">
        <f t="shared" si="30"/>
        <v>-9.1567193525490503E-2</v>
      </c>
      <c r="H42" s="9">
        <f t="shared" si="30"/>
        <v>-8.9742375500861532E-2</v>
      </c>
      <c r="I42" s="9">
        <f t="shared" si="30"/>
        <v>-8.792088137247038E-2</v>
      </c>
      <c r="J42" s="9">
        <f t="shared" si="30"/>
        <v>-8.6102699053411738E-2</v>
      </c>
      <c r="K42" s="9">
        <f t="shared" si="30"/>
        <v>-8.4287816522589307E-2</v>
      </c>
      <c r="L42" s="9">
        <f t="shared" si="30"/>
        <v>-8.2476221824238541E-2</v>
      </c>
      <c r="M42" s="9">
        <f t="shared" si="30"/>
        <v>-8.0667903067454819E-2</v>
      </c>
      <c r="N42" s="9">
        <f t="shared" si="30"/>
        <v>-7.8862848425724733E-2</v>
      </c>
      <c r="O42" s="9">
        <f t="shared" si="30"/>
        <v>-7.7061046136461739E-2</v>
      </c>
      <c r="P42" s="9">
        <f t="shared" si="30"/>
        <v>-7.5262484500546858E-2</v>
      </c>
      <c r="Q42" s="9">
        <f t="shared" si="30"/>
        <v>-7.3467151881872639E-2</v>
      </c>
      <c r="R42" s="9">
        <f t="shared" si="30"/>
        <v>-7.1675036706891015E-2</v>
      </c>
    </row>
    <row r="43" spans="1:18" x14ac:dyDescent="0.25">
      <c r="A43" s="9" t="s">
        <v>33</v>
      </c>
      <c r="B43" s="9">
        <f>LN(B$29/B26)</f>
        <v>4.6189458562944583E-3</v>
      </c>
      <c r="C43" s="9">
        <f t="shared" ref="C43:R43" si="31">LN(C$29/C26)</f>
        <v>9.2038662732874855E-4</v>
      </c>
      <c r="D43" s="9">
        <f t="shared" si="31"/>
        <v>-2.7510333718898708E-3</v>
      </c>
      <c r="E43" s="9">
        <f t="shared" si="31"/>
        <v>-6.3956362364052041E-3</v>
      </c>
      <c r="F43" s="9">
        <f t="shared" si="31"/>
        <v>-1.0013738660502048E-2</v>
      </c>
      <c r="G43" s="9">
        <f t="shared" si="31"/>
        <v>-1.3605652055778598E-2</v>
      </c>
      <c r="H43" s="9">
        <f t="shared" si="31"/>
        <v>-1.7171682666026023E-2</v>
      </c>
      <c r="I43" s="9">
        <f t="shared" si="31"/>
        <v>-2.0712131679020272E-2</v>
      </c>
      <c r="J43" s="9">
        <f t="shared" si="31"/>
        <v>-2.4227295335324237E-2</v>
      </c>
      <c r="K43" s="9">
        <f t="shared" si="31"/>
        <v>-2.7717465034194935E-2</v>
      </c>
      <c r="L43" s="9">
        <f t="shared" si="31"/>
        <v>-3.1182927436687938E-2</v>
      </c>
      <c r="M43" s="9">
        <f t="shared" si="31"/>
        <v>-3.4623964566048007E-2</v>
      </c>
      <c r="N43" s="9">
        <f t="shared" si="31"/>
        <v>-3.8040853905469581E-2</v>
      </c>
      <c r="O43" s="9">
        <f t="shared" si="31"/>
        <v>-4.1433868493310551E-2</v>
      </c>
      <c r="P43" s="9">
        <f t="shared" si="31"/>
        <v>-4.4803277015838368E-2</v>
      </c>
      <c r="Q43" s="9">
        <f t="shared" si="31"/>
        <v>-4.8149343897582728E-2</v>
      </c>
      <c r="R43" s="9">
        <f t="shared" si="31"/>
        <v>-5.1472329389371553E-2</v>
      </c>
    </row>
    <row r="44" spans="1:18" x14ac:dyDescent="0.25">
      <c r="A44" s="9" t="s">
        <v>34</v>
      </c>
      <c r="B44" s="9">
        <f>LN(B$29/$K$9)</f>
        <v>0.10689779497671259</v>
      </c>
      <c r="C44" s="9">
        <f t="shared" ref="C44:R44" si="32">LN(C$29/$K$9)</f>
        <v>0.10873941612336217</v>
      </c>
      <c r="D44" s="9">
        <f t="shared" si="32"/>
        <v>0.11057765193511328</v>
      </c>
      <c r="E44" s="9">
        <f t="shared" si="32"/>
        <v>0.11241251483522351</v>
      </c>
      <c r="F44" s="9">
        <f t="shared" si="32"/>
        <v>0.11424401717869132</v>
      </c>
      <c r="G44" s="9">
        <f t="shared" si="32"/>
        <v>0.11607217125275403</v>
      </c>
      <c r="H44" s="9">
        <f t="shared" si="32"/>
        <v>0.11789698927738294</v>
      </c>
      <c r="I44" s="9">
        <f t="shared" si="32"/>
        <v>0.11971848340577414</v>
      </c>
      <c r="J44" s="9">
        <f t="shared" si="32"/>
        <v>0.12153666572483281</v>
      </c>
      <c r="K44" s="9">
        <f t="shared" si="32"/>
        <v>0.1233515482556552</v>
      </c>
      <c r="L44" s="9">
        <f t="shared" si="32"/>
        <v>0.12516314295400599</v>
      </c>
      <c r="M44" s="9">
        <f t="shared" si="32"/>
        <v>0.12697146171078974</v>
      </c>
      <c r="N44" s="9">
        <f t="shared" si="32"/>
        <v>0.12877651635251977</v>
      </c>
      <c r="O44" s="9">
        <f t="shared" si="32"/>
        <v>0.13057831864178282</v>
      </c>
      <c r="P44" s="9">
        <f t="shared" si="32"/>
        <v>0.13237688027769753</v>
      </c>
      <c r="Q44" s="9">
        <f t="shared" si="32"/>
        <v>0.13417221289637191</v>
      </c>
      <c r="R44" s="9">
        <f t="shared" si="32"/>
        <v>0.13596432807135356</v>
      </c>
    </row>
    <row r="45" spans="1:18" x14ac:dyDescent="0.25">
      <c r="A45" s="9" t="s">
        <v>35</v>
      </c>
      <c r="B45" s="9">
        <f>B42*$D$7+B43*$D$8+B44*$D$9</f>
        <v>3.5917236771583969E-3</v>
      </c>
      <c r="C45" s="9">
        <f t="shared" ref="C45:R45" si="33">C42*$D$7+C43*$D$8+C44*$D$9</f>
        <v>3.5866180319362034E-3</v>
      </c>
      <c r="D45" s="9">
        <f t="shared" si="33"/>
        <v>3.5883019066973859E-3</v>
      </c>
      <c r="E45" s="9">
        <f t="shared" si="33"/>
        <v>3.5966762185991111E-3</v>
      </c>
      <c r="F45" s="9">
        <f t="shared" si="33"/>
        <v>3.6116436395453588E-3</v>
      </c>
      <c r="G45" s="9">
        <f t="shared" si="33"/>
        <v>3.6331085571616392E-3</v>
      </c>
      <c r="H45" s="9">
        <f t="shared" si="33"/>
        <v>3.6609770368317973E-3</v>
      </c>
      <c r="I45" s="9">
        <f t="shared" si="33"/>
        <v>3.6951567847611569E-3</v>
      </c>
      <c r="J45" s="9">
        <f t="shared" si="33"/>
        <v>3.7355571120322797E-3</v>
      </c>
      <c r="K45" s="9">
        <f t="shared" si="33"/>
        <v>3.7820888996236493E-3</v>
      </c>
      <c r="L45" s="9">
        <f t="shared" si="33"/>
        <v>3.8346645643598382E-3</v>
      </c>
      <c r="M45" s="9">
        <f t="shared" si="33"/>
        <v>3.8931980257623025E-3</v>
      </c>
      <c r="N45" s="9">
        <f t="shared" si="33"/>
        <v>3.9576046737751572E-3</v>
      </c>
      <c r="O45" s="9">
        <f t="shared" si="33"/>
        <v>4.0278013373368435E-3</v>
      </c>
      <c r="P45" s="9">
        <f t="shared" si="33"/>
        <v>4.1037062537707669E-3</v>
      </c>
      <c r="Q45" s="9">
        <f t="shared" si="33"/>
        <v>4.18523903897218E-3</v>
      </c>
      <c r="R45" s="9">
        <f t="shared" si="33"/>
        <v>4.2723206583636653E-3</v>
      </c>
    </row>
    <row r="46" spans="1:18" x14ac:dyDescent="0.25">
      <c r="A46" s="9" t="s">
        <v>37</v>
      </c>
      <c r="B46" s="10">
        <f t="shared" ref="B46:R46" si="34">$N$11-B45</f>
        <v>0</v>
      </c>
      <c r="C46" s="10">
        <f t="shared" si="34"/>
        <v>5.1056452221934223E-6</v>
      </c>
      <c r="D46" s="10">
        <f t="shared" si="34"/>
        <v>3.4217704610109423E-6</v>
      </c>
      <c r="E46" s="10">
        <f t="shared" si="34"/>
        <v>-4.9525414407142199E-6</v>
      </c>
      <c r="F46" s="10">
        <f t="shared" si="34"/>
        <v>-1.9919962386961976E-5</v>
      </c>
      <c r="G46" s="10">
        <f t="shared" si="34"/>
        <v>-4.1384880003242364E-5</v>
      </c>
      <c r="H46" s="10">
        <f t="shared" si="34"/>
        <v>-6.9253359673400461E-5</v>
      </c>
      <c r="I46" s="10">
        <f t="shared" si="34"/>
        <v>-1.0343310760276003E-4</v>
      </c>
      <c r="J46" s="10">
        <f t="shared" si="34"/>
        <v>-1.4383343487388289E-4</v>
      </c>
      <c r="K46" s="10">
        <f t="shared" si="34"/>
        <v>-1.9036522246525245E-4</v>
      </c>
      <c r="L46" s="10">
        <f t="shared" si="34"/>
        <v>-2.429408872014413E-4</v>
      </c>
      <c r="M46" s="10">
        <f t="shared" si="34"/>
        <v>-3.0147434860390565E-4</v>
      </c>
      <c r="N46" s="10">
        <f t="shared" si="34"/>
        <v>-3.6588099661676032E-4</v>
      </c>
      <c r="O46" s="10">
        <f t="shared" si="34"/>
        <v>-4.3607766017844662E-4</v>
      </c>
      <c r="P46" s="10">
        <f t="shared" si="34"/>
        <v>-5.1198257661237007E-4</v>
      </c>
      <c r="Q46" s="10">
        <f t="shared" si="34"/>
        <v>-5.9351536181378312E-4</v>
      </c>
      <c r="R46" s="10">
        <f t="shared" si="34"/>
        <v>-6.805969812052684E-4</v>
      </c>
    </row>
    <row r="47" spans="1:18" x14ac:dyDescent="0.25">
      <c r="A47" s="9" t="s">
        <v>39</v>
      </c>
      <c r="B47" s="9">
        <f>B46*$B$14</f>
        <v>0</v>
      </c>
      <c r="C47" s="9">
        <f t="shared" ref="C47:P47" si="35">C46*$B$14</f>
        <v>0.51056452221934223</v>
      </c>
      <c r="D47" s="9">
        <f t="shared" si="35"/>
        <v>0.34217704610109423</v>
      </c>
      <c r="E47" s="9">
        <f t="shared" si="35"/>
        <v>-0.49525414407142199</v>
      </c>
      <c r="F47" s="9">
        <f t="shared" si="35"/>
        <v>-1.9919962386961976</v>
      </c>
      <c r="G47" s="9">
        <f t="shared" si="35"/>
        <v>-4.1384880003242364</v>
      </c>
      <c r="H47" s="9">
        <f t="shared" si="35"/>
        <v>-6.9253359673400459</v>
      </c>
      <c r="I47" s="9">
        <f t="shared" si="35"/>
        <v>-10.343310760276003</v>
      </c>
      <c r="J47" s="9">
        <f t="shared" si="35"/>
        <v>-14.38334348738829</v>
      </c>
      <c r="K47" s="9">
        <f t="shared" si="35"/>
        <v>-19.036522246525244</v>
      </c>
      <c r="L47" s="9">
        <f t="shared" si="35"/>
        <v>-24.294088720144131</v>
      </c>
      <c r="M47" s="9">
        <f t="shared" si="35"/>
        <v>-30.147434860390565</v>
      </c>
      <c r="N47" s="9">
        <f t="shared" si="35"/>
        <v>-36.588099661676033</v>
      </c>
      <c r="O47" s="9">
        <f t="shared" si="35"/>
        <v>-43.607766017844661</v>
      </c>
      <c r="P47" s="9">
        <f t="shared" si="35"/>
        <v>-51.198257661237008</v>
      </c>
      <c r="Q47" s="9">
        <f>Q46*$B$14</f>
        <v>-59.351536181378314</v>
      </c>
      <c r="R47" s="9">
        <f>R46*$B$14</f>
        <v>-68.059698120526846</v>
      </c>
    </row>
    <row r="48" spans="1:18" x14ac:dyDescent="0.25">
      <c r="A48" s="9" t="s">
        <v>36</v>
      </c>
      <c r="B48" s="9">
        <f>$B$4*$E$7*$I$7+$B$4*$E$8*B23+$B$4*$E$9*$I$9</f>
        <v>963.8132528041823</v>
      </c>
      <c r="C48" s="9">
        <f t="shared" ref="C48:R48" si="36">$B$4*$E$7*$I$7+$B$4*$E$8*C23+$B$4*$E$9*$I$9</f>
        <v>982.83058967570423</v>
      </c>
      <c r="D48" s="9">
        <f t="shared" si="36"/>
        <v>1002.2267043163388</v>
      </c>
      <c r="E48" s="9">
        <f t="shared" si="36"/>
        <v>1021.9135199156835</v>
      </c>
      <c r="F48" s="9">
        <f t="shared" si="36"/>
        <v>1041.7973677825139</v>
      </c>
      <c r="G48" s="9">
        <f t="shared" si="36"/>
        <v>1061.7807177656659</v>
      </c>
      <c r="H48" s="9">
        <f t="shared" si="36"/>
        <v>1081.764067748818</v>
      </c>
      <c r="I48" s="9">
        <f t="shared" si="36"/>
        <v>1101.6479156156483</v>
      </c>
      <c r="J48" s="9">
        <f t="shared" si="36"/>
        <v>1121.3347312149931</v>
      </c>
      <c r="K48" s="9">
        <f t="shared" si="36"/>
        <v>1140.7308458556276</v>
      </c>
      <c r="L48" s="9">
        <f t="shared" si="36"/>
        <v>1159.7481827271495</v>
      </c>
      <c r="M48" s="9">
        <f t="shared" si="36"/>
        <v>1178.3057627463022</v>
      </c>
      <c r="N48" s="9">
        <f t="shared" si="36"/>
        <v>1196.3309355001988</v>
      </c>
      <c r="O48" s="9">
        <f t="shared" si="36"/>
        <v>1213.7603026677559</v>
      </c>
      <c r="P48" s="9">
        <f t="shared" si="36"/>
        <v>1230.5403198656691</v>
      </c>
      <c r="Q48" s="9">
        <f t="shared" si="36"/>
        <v>1246.6275806696699</v>
      </c>
      <c r="R48" s="9">
        <f t="shared" si="36"/>
        <v>1261.9888022417599</v>
      </c>
    </row>
    <row r="49" spans="1:18" x14ac:dyDescent="0.25">
      <c r="A49" s="9" t="s">
        <v>38</v>
      </c>
      <c r="B49" s="9">
        <f>B48+B47-B18*$B$17*$E$8*B$23</f>
        <v>963.8132528041823</v>
      </c>
      <c r="C49" s="9">
        <f t="shared" ref="C49:R49" si="37">C48+C47-C18*$B$17*$E$8*C$23</f>
        <v>967.28866060242171</v>
      </c>
      <c r="D49" s="9">
        <f t="shared" si="37"/>
        <v>968.52428270737266</v>
      </c>
      <c r="E49" s="9">
        <f t="shared" si="37"/>
        <v>967.39834544910946</v>
      </c>
      <c r="F49" s="9">
        <f t="shared" si="37"/>
        <v>963.80204154044816</v>
      </c>
      <c r="G49" s="9">
        <f t="shared" si="37"/>
        <v>957.64222976534165</v>
      </c>
      <c r="H49" s="9">
        <f t="shared" si="37"/>
        <v>948.84372678653233</v>
      </c>
      <c r="I49" s="9">
        <f t="shared" si="37"/>
        <v>937.35108560787853</v>
      </c>
      <c r="J49" s="9">
        <f t="shared" si="37"/>
        <v>923.12978234787386</v>
      </c>
      <c r="K49" s="9">
        <f t="shared" si="37"/>
        <v>906.16676596861964</v>
      </c>
      <c r="L49" s="9">
        <f t="shared" si="37"/>
        <v>886.47036152626356</v>
      </c>
      <c r="M49" s="9">
        <f t="shared" si="37"/>
        <v>864.06955314656159</v>
      </c>
      <c r="N49" s="9">
        <f t="shared" si="37"/>
        <v>839.01270519780292</v>
      </c>
      <c r="O49" s="9">
        <f t="shared" si="37"/>
        <v>811.36580646355287</v>
      </c>
      <c r="P49" s="9">
        <f t="shared" si="37"/>
        <v>781.21034073442979</v>
      </c>
      <c r="Q49" s="9">
        <f t="shared" si="37"/>
        <v>748.64089731028866</v>
      </c>
      <c r="R49" s="9">
        <f t="shared" si="37"/>
        <v>713.76263654035779</v>
      </c>
    </row>
    <row r="50" spans="1:18" x14ac:dyDescent="0.25">
      <c r="A50" s="9" t="s">
        <v>59</v>
      </c>
      <c r="B50" s="9">
        <f>-B18*$B$17*$E$8*B$23</f>
        <v>0</v>
      </c>
      <c r="C50" s="9">
        <f t="shared" ref="C50:R50" si="38">-C18*$B$17*$E$8*C$23</f>
        <v>-16.052493595501918</v>
      </c>
      <c r="D50" s="9">
        <f t="shared" si="38"/>
        <v>-34.04459865506729</v>
      </c>
      <c r="E50" s="9">
        <f t="shared" si="38"/>
        <v>-54.019920322502649</v>
      </c>
      <c r="F50" s="9">
        <f t="shared" si="38"/>
        <v>-76.003330003369612</v>
      </c>
      <c r="G50" s="9">
        <f t="shared" si="38"/>
        <v>-100</v>
      </c>
      <c r="H50" s="9">
        <f t="shared" si="38"/>
        <v>-125.99500499494559</v>
      </c>
      <c r="I50" s="9">
        <f t="shared" si="38"/>
        <v>-153.95351924749383</v>
      </c>
      <c r="J50" s="9">
        <f t="shared" si="38"/>
        <v>-183.82160537973084</v>
      </c>
      <c r="K50" s="9">
        <f t="shared" si="38"/>
        <v>-215.52755764048277</v>
      </c>
      <c r="L50" s="9">
        <f t="shared" si="38"/>
        <v>-248.98373248074179</v>
      </c>
      <c r="M50" s="9">
        <f t="shared" si="38"/>
        <v>-284.08877473935001</v>
      </c>
      <c r="N50" s="9">
        <f t="shared" si="38"/>
        <v>-320.73013064071978</v>
      </c>
      <c r="O50" s="9">
        <f t="shared" si="38"/>
        <v>-358.78673018635851</v>
      </c>
      <c r="P50" s="9">
        <f t="shared" si="38"/>
        <v>-398.13172147000222</v>
      </c>
      <c r="Q50" s="9">
        <f t="shared" si="38"/>
        <v>-438.63514717800291</v>
      </c>
      <c r="R50" s="9">
        <f t="shared" si="38"/>
        <v>-480.16646758087523</v>
      </c>
    </row>
    <row r="51" spans="1:18" x14ac:dyDescent="0.25">
      <c r="A51" s="1" t="s">
        <v>7</v>
      </c>
    </row>
    <row r="52" spans="1:18" x14ac:dyDescent="0.25">
      <c r="A52" s="13" t="s">
        <v>32</v>
      </c>
      <c r="B52" s="13">
        <f>LN(B$30/$K$7)</f>
        <v>-0.10074156980153175</v>
      </c>
      <c r="C52" s="13">
        <f t="shared" ref="C52:R52" si="39">LN(C$30/$K$7)</f>
        <v>-9.8440072813252649E-2</v>
      </c>
      <c r="D52" s="13">
        <f t="shared" si="39"/>
        <v>-9.6143860552902305E-2</v>
      </c>
      <c r="E52" s="13">
        <f t="shared" si="39"/>
        <v>-9.3852908806346599E-2</v>
      </c>
      <c r="F52" s="13">
        <f t="shared" si="39"/>
        <v>-9.1567193525490503E-2</v>
      </c>
      <c r="G52" s="13">
        <f t="shared" si="39"/>
        <v>-8.9286690826765297E-2</v>
      </c>
      <c r="H52" s="13">
        <f t="shared" si="39"/>
        <v>-8.7011376989629921E-2</v>
      </c>
      <c r="I52" s="13">
        <f t="shared" si="39"/>
        <v>-8.4741228455090675E-2</v>
      </c>
      <c r="J52" s="13">
        <f t="shared" si="39"/>
        <v>-8.2476221824238666E-2</v>
      </c>
      <c r="K52" s="13">
        <f t="shared" si="39"/>
        <v>-8.0216333856801034E-2</v>
      </c>
      <c r="L52" s="13">
        <f t="shared" si="39"/>
        <v>-7.7961541469711931E-2</v>
      </c>
      <c r="M52" s="13">
        <f t="shared" si="39"/>
        <v>-7.5711821735696364E-2</v>
      </c>
      <c r="N52" s="13">
        <f t="shared" si="39"/>
        <v>-7.3467151881872639E-2</v>
      </c>
      <c r="O52" s="13">
        <f t="shared" si="39"/>
        <v>-7.122750928836788E-2</v>
      </c>
      <c r="P52" s="13">
        <f t="shared" si="39"/>
        <v>-6.899287148695156E-2</v>
      </c>
      <c r="Q52" s="13">
        <f t="shared" si="39"/>
        <v>-6.6763216159682434E-2</v>
      </c>
      <c r="R52" s="13">
        <f t="shared" si="39"/>
        <v>-6.4538521137571178E-2</v>
      </c>
    </row>
    <row r="53" spans="1:18" x14ac:dyDescent="0.25">
      <c r="A53" s="13" t="s">
        <v>33</v>
      </c>
      <c r="B53" s="13">
        <f>LN(B$30/$K$8)</f>
        <v>4.6189458562946794E-3</v>
      </c>
      <c r="C53" s="13">
        <f t="shared" ref="C53:R53" si="40">LN(C$30/$K$8)</f>
        <v>6.920442844573757E-3</v>
      </c>
      <c r="D53" s="13">
        <f t="shared" si="40"/>
        <v>9.2166551049240476E-3</v>
      </c>
      <c r="E53" s="13">
        <f t="shared" si="40"/>
        <v>1.1507606851479725E-2</v>
      </c>
      <c r="F53" s="13">
        <f t="shared" si="40"/>
        <v>1.3793322132335769E-2</v>
      </c>
      <c r="G53" s="13">
        <f t="shared" si="40"/>
        <v>1.6073824831061054E-2</v>
      </c>
      <c r="H53" s="13">
        <f t="shared" si="40"/>
        <v>1.8349138668196398E-2</v>
      </c>
      <c r="I53" s="13">
        <f t="shared" si="40"/>
        <v>2.061928720273561E-2</v>
      </c>
      <c r="J53" s="13">
        <f t="shared" si="40"/>
        <v>2.2884293833587806E-2</v>
      </c>
      <c r="K53" s="13">
        <f t="shared" si="40"/>
        <v>2.5144181801025383E-2</v>
      </c>
      <c r="L53" s="13">
        <f t="shared" si="40"/>
        <v>2.7398974188114562E-2</v>
      </c>
      <c r="M53" s="13">
        <f t="shared" si="40"/>
        <v>2.9648693922130084E-2</v>
      </c>
      <c r="N53" s="13">
        <f t="shared" si="40"/>
        <v>3.1893363775953788E-2</v>
      </c>
      <c r="O53" s="13">
        <f t="shared" si="40"/>
        <v>3.4133006369458617E-2</v>
      </c>
      <c r="P53" s="13">
        <f t="shared" si="40"/>
        <v>3.6367644170874791E-2</v>
      </c>
      <c r="Q53" s="13">
        <f t="shared" si="40"/>
        <v>3.8597299498143986E-2</v>
      </c>
      <c r="R53" s="13">
        <f t="shared" si="40"/>
        <v>4.08219945202552E-2</v>
      </c>
    </row>
    <row r="54" spans="1:18" x14ac:dyDescent="0.25">
      <c r="A54" s="13" t="s">
        <v>34</v>
      </c>
      <c r="B54" s="13">
        <f>LN(B$30/B$27)</f>
        <v>0.10689779497671278</v>
      </c>
      <c r="C54" s="13">
        <f t="shared" ref="C54:R54" si="41">LN(C$30/C$27)</f>
        <v>0.10153641921942282</v>
      </c>
      <c r="D54" s="13">
        <f t="shared" si="41"/>
        <v>9.6228032094553759E-2</v>
      </c>
      <c r="E54" s="13">
        <f t="shared" si="41"/>
        <v>9.0971778205726592E-2</v>
      </c>
      <c r="F54" s="13">
        <f t="shared" si="41"/>
        <v>8.5766821757424894E-2</v>
      </c>
      <c r="G54" s="13">
        <f t="shared" si="41"/>
        <v>8.061234596863219E-2</v>
      </c>
      <c r="H54" s="13">
        <f t="shared" si="41"/>
        <v>7.5507552508145101E-2</v>
      </c>
      <c r="I54" s="13">
        <f t="shared" si="41"/>
        <v>7.0451660950611297E-2</v>
      </c>
      <c r="J54" s="13">
        <f t="shared" si="41"/>
        <v>6.5443908252383609E-2</v>
      </c>
      <c r="K54" s="13">
        <f t="shared" si="41"/>
        <v>6.0483548246334035E-2</v>
      </c>
      <c r="L54" s="13">
        <f t="shared" si="41"/>
        <v>5.5569851154810786E-2</v>
      </c>
      <c r="M54" s="13">
        <f t="shared" si="41"/>
        <v>5.0702103119962316E-2</v>
      </c>
      <c r="N54" s="13">
        <f t="shared" si="41"/>
        <v>4.5879605750693657E-2</v>
      </c>
      <c r="O54" s="13">
        <f t="shared" si="41"/>
        <v>4.1101675685551987E-2</v>
      </c>
      <c r="P54" s="13">
        <f t="shared" si="41"/>
        <v>3.6367644170874791E-2</v>
      </c>
      <c r="Q54" s="13">
        <f t="shared" si="41"/>
        <v>3.1676856653570118E-2</v>
      </c>
      <c r="R54" s="13">
        <f t="shared" si="41"/>
        <v>2.7028672387919419E-2</v>
      </c>
    </row>
    <row r="55" spans="1:18" x14ac:dyDescent="0.25">
      <c r="A55" s="13" t="s">
        <v>35</v>
      </c>
      <c r="B55" s="13">
        <f t="shared" ref="B55:R55" si="42">B52*$D$7+B53*$D$8+B54*$D$9</f>
        <v>3.5917236771585703E-3</v>
      </c>
      <c r="C55" s="13">
        <f t="shared" si="42"/>
        <v>3.3389297502479792E-3</v>
      </c>
      <c r="D55" s="13">
        <f t="shared" si="42"/>
        <v>3.1002755488584999E-3</v>
      </c>
      <c r="E55" s="13">
        <f t="shared" si="42"/>
        <v>2.8754920836199065E-3</v>
      </c>
      <c r="F55" s="13">
        <f t="shared" si="42"/>
        <v>2.6643167880900515E-3</v>
      </c>
      <c r="G55" s="13">
        <f t="shared" si="42"/>
        <v>2.4664933243093157E-3</v>
      </c>
      <c r="H55" s="13">
        <f t="shared" si="42"/>
        <v>2.2817713955705261E-3</v>
      </c>
      <c r="I55" s="13">
        <f t="shared" si="42"/>
        <v>2.1099065660854094E-3</v>
      </c>
      <c r="J55" s="13">
        <f t="shared" si="42"/>
        <v>1.9506600872442499E-3</v>
      </c>
      <c r="K55" s="13">
        <f t="shared" si="42"/>
        <v>1.8037987301861291E-3</v>
      </c>
      <c r="L55" s="13">
        <f t="shared" si="42"/>
        <v>1.669094624404472E-3</v>
      </c>
      <c r="M55" s="13">
        <f t="shared" si="42"/>
        <v>1.5463251021320124E-3</v>
      </c>
      <c r="N55" s="13">
        <f t="shared" si="42"/>
        <v>1.43527254825827E-3</v>
      </c>
      <c r="O55" s="13">
        <f t="shared" si="42"/>
        <v>1.3357242555475744E-3</v>
      </c>
      <c r="P55" s="13">
        <f t="shared" si="42"/>
        <v>1.2474722849326741E-3</v>
      </c>
      <c r="Q55" s="13">
        <f t="shared" si="42"/>
        <v>1.1703133306772244E-3</v>
      </c>
      <c r="R55" s="13">
        <f t="shared" si="42"/>
        <v>1.1040485902011465E-3</v>
      </c>
    </row>
    <row r="56" spans="1:18" x14ac:dyDescent="0.25">
      <c r="A56" s="13" t="s">
        <v>37</v>
      </c>
      <c r="B56" s="14">
        <f t="shared" ref="B56:R56" si="43">$N$11-B55</f>
        <v>-1.7347234759768071E-16</v>
      </c>
      <c r="C56" s="14">
        <f t="shared" si="43"/>
        <v>2.5279392691041763E-4</v>
      </c>
      <c r="D56" s="14">
        <f t="shared" si="43"/>
        <v>4.9144812829989698E-4</v>
      </c>
      <c r="E56" s="14">
        <f t="shared" si="43"/>
        <v>7.1623159353849039E-4</v>
      </c>
      <c r="F56" s="14">
        <f t="shared" si="43"/>
        <v>9.274068890683454E-4</v>
      </c>
      <c r="G56" s="14">
        <f t="shared" si="43"/>
        <v>1.1252303528490812E-3</v>
      </c>
      <c r="H56" s="14">
        <f t="shared" si="43"/>
        <v>1.3099522815878707E-3</v>
      </c>
      <c r="I56" s="14">
        <f t="shared" si="43"/>
        <v>1.4818171110729875E-3</v>
      </c>
      <c r="J56" s="14">
        <f t="shared" si="43"/>
        <v>1.6410635899141469E-3</v>
      </c>
      <c r="K56" s="14">
        <f t="shared" si="43"/>
        <v>1.7879249469722677E-3</v>
      </c>
      <c r="L56" s="14">
        <f t="shared" si="43"/>
        <v>1.9226290527539248E-3</v>
      </c>
      <c r="M56" s="14">
        <f t="shared" si="43"/>
        <v>2.0453985750263845E-3</v>
      </c>
      <c r="N56" s="14">
        <f t="shared" si="43"/>
        <v>2.1564511289001269E-3</v>
      </c>
      <c r="O56" s="14">
        <f t="shared" si="43"/>
        <v>2.2559994216108225E-3</v>
      </c>
      <c r="P56" s="14">
        <f t="shared" si="43"/>
        <v>2.3442513922257227E-3</v>
      </c>
      <c r="Q56" s="14">
        <f t="shared" si="43"/>
        <v>2.4214103464811725E-3</v>
      </c>
      <c r="R56" s="14">
        <f t="shared" si="43"/>
        <v>2.4876750869572504E-3</v>
      </c>
    </row>
    <row r="57" spans="1:18" x14ac:dyDescent="0.25">
      <c r="A57" s="13" t="s">
        <v>39</v>
      </c>
      <c r="B57" s="13">
        <f t="shared" ref="B57:R57" si="44">B56*$B$14</f>
        <v>-1.7347234759768071E-11</v>
      </c>
      <c r="C57" s="13">
        <f t="shared" si="44"/>
        <v>25.279392691041764</v>
      </c>
      <c r="D57" s="13">
        <f t="shared" si="44"/>
        <v>49.144812829989696</v>
      </c>
      <c r="E57" s="13">
        <f t="shared" si="44"/>
        <v>71.623159353849033</v>
      </c>
      <c r="F57" s="13">
        <f t="shared" si="44"/>
        <v>92.740688906834535</v>
      </c>
      <c r="G57" s="13">
        <f t="shared" si="44"/>
        <v>112.52303528490812</v>
      </c>
      <c r="H57" s="13">
        <f t="shared" si="44"/>
        <v>130.99522815878709</v>
      </c>
      <c r="I57" s="13">
        <f t="shared" si="44"/>
        <v>148.18171110729875</v>
      </c>
      <c r="J57" s="13">
        <f t="shared" si="44"/>
        <v>164.10635899141468</v>
      </c>
      <c r="K57" s="13">
        <f t="shared" si="44"/>
        <v>178.79249469722677</v>
      </c>
      <c r="L57" s="13">
        <f t="shared" si="44"/>
        <v>192.26290527539248</v>
      </c>
      <c r="M57" s="13">
        <f t="shared" si="44"/>
        <v>204.53985750263845</v>
      </c>
      <c r="N57" s="13">
        <f t="shared" si="44"/>
        <v>215.64511289001268</v>
      </c>
      <c r="O57" s="13">
        <f t="shared" si="44"/>
        <v>225.59994216108225</v>
      </c>
      <c r="P57" s="13">
        <f t="shared" si="44"/>
        <v>234.42513922257228</v>
      </c>
      <c r="Q57" s="13">
        <f t="shared" si="44"/>
        <v>242.14103464811726</v>
      </c>
      <c r="R57" s="13">
        <f t="shared" si="44"/>
        <v>248.76750869572504</v>
      </c>
    </row>
    <row r="58" spans="1:18" x14ac:dyDescent="0.25">
      <c r="A58" s="13" t="s">
        <v>36</v>
      </c>
      <c r="B58" s="49">
        <f>$B$4*$E$7*$I$7+$B$4*$E$8*$I$8+$B$4*$E$9*B24</f>
        <v>963.8132528041823</v>
      </c>
      <c r="C58" s="49">
        <f t="shared" ref="C58:R58" si="45">$B$4*$E$7*$I$7+$B$4*$E$8*$I$8+$B$4*$E$9*C24</f>
        <v>980.92400744304632</v>
      </c>
      <c r="D58" s="49">
        <f t="shared" si="45"/>
        <v>997.36243588215848</v>
      </c>
      <c r="E58" s="49">
        <f t="shared" si="45"/>
        <v>1013.0902128095911</v>
      </c>
      <c r="F58" s="49">
        <f t="shared" si="45"/>
        <v>1028.0790270231569</v>
      </c>
      <c r="G58" s="49">
        <f t="shared" si="45"/>
        <v>1042.3101824036207</v>
      </c>
      <c r="H58" s="49">
        <f t="shared" si="45"/>
        <v>1055.7739960231102</v>
      </c>
      <c r="I58" s="49">
        <f t="shared" si="45"/>
        <v>1068.4690406516177</v>
      </c>
      <c r="J58" s="49">
        <f t="shared" si="45"/>
        <v>1080.4012789326362</v>
      </c>
      <c r="K58" s="49">
        <f t="shared" si="45"/>
        <v>1091.5831338025998</v>
      </c>
      <c r="L58" s="49">
        <f t="shared" si="45"/>
        <v>1102.0325350385165</v>
      </c>
      <c r="M58" s="49">
        <f t="shared" si="45"/>
        <v>1111.7719758565927</v>
      </c>
      <c r="N58" s="49">
        <f t="shared" si="45"/>
        <v>1120.8276069139349</v>
      </c>
      <c r="O58" s="49">
        <f t="shared" si="45"/>
        <v>1129.2283884400354</v>
      </c>
      <c r="P58" s="49">
        <f t="shared" si="45"/>
        <v>1137.0053149686669</v>
      </c>
      <c r="Q58" s="49">
        <f t="shared" si="45"/>
        <v>1144.1907215445804</v>
      </c>
      <c r="R58" s="49">
        <f t="shared" si="45"/>
        <v>1150.817675511651</v>
      </c>
    </row>
    <row r="59" spans="1:18" x14ac:dyDescent="0.25">
      <c r="A59" s="13" t="s">
        <v>38</v>
      </c>
      <c r="B59" s="49">
        <f>B58+B57-B18*$B$17*$E$9*B$24</f>
        <v>963.8132528041649</v>
      </c>
      <c r="C59" s="49">
        <f>C58+C57-C18*$B$17*$E$9*C$24</f>
        <v>978.18071443512918</v>
      </c>
      <c r="D59" s="49">
        <f t="shared" ref="D59:R59" si="46">D58+D57-D18*$B$17*$E$9*D$24</f>
        <v>988.81803447031905</v>
      </c>
      <c r="E59" s="49">
        <f t="shared" si="46"/>
        <v>995.82038426158169</v>
      </c>
      <c r="F59" s="49">
        <f t="shared" si="46"/>
        <v>999.29796921813363</v>
      </c>
      <c r="G59" s="49">
        <f t="shared" si="46"/>
        <v>999.37324545359047</v>
      </c>
      <c r="H59" s="49">
        <f t="shared" si="46"/>
        <v>996.1781134141246</v>
      </c>
      <c r="I59" s="49">
        <f t="shared" si="46"/>
        <v>989.85119024320397</v>
      </c>
      <c r="J59" s="49">
        <f t="shared" si="46"/>
        <v>980.53524373654363</v>
      </c>
      <c r="K59" s="49">
        <f t="shared" si="46"/>
        <v>968.37485034739734</v>
      </c>
      <c r="L59" s="49">
        <f t="shared" si="46"/>
        <v>953.51431952658481</v>
      </c>
      <c r="M59" s="49">
        <f t="shared" si="46"/>
        <v>936.09590804323238</v>
      </c>
      <c r="N59" s="49">
        <f t="shared" si="46"/>
        <v>916.25833173390743</v>
      </c>
      <c r="O59" s="49">
        <f t="shared" si="46"/>
        <v>894.13556886660876</v>
      </c>
      <c r="P59" s="49">
        <f t="shared" si="46"/>
        <v>869.85593913787989</v>
      </c>
      <c r="Q59" s="49">
        <f t="shared" si="46"/>
        <v>843.54143513216331</v>
      </c>
      <c r="R59" s="49">
        <f t="shared" si="46"/>
        <v>815.30727856914973</v>
      </c>
    </row>
    <row r="60" spans="1:18" x14ac:dyDescent="0.25">
      <c r="A60" s="1" t="s">
        <v>59</v>
      </c>
      <c r="B60" s="1">
        <f>-B18*$B$17*$E$9*B$24</f>
        <v>0</v>
      </c>
      <c r="C60" s="1">
        <f t="shared" ref="C60:R60" si="47">-C18*$B$17*$E$9*C$24</f>
        <v>-28.022685698958917</v>
      </c>
      <c r="D60" s="1">
        <f t="shared" si="47"/>
        <v>-57.689214241829056</v>
      </c>
      <c r="E60" s="1">
        <f t="shared" si="47"/>
        <v>-88.892987901858476</v>
      </c>
      <c r="F60" s="1">
        <f t="shared" si="47"/>
        <v>-121.52174671185777</v>
      </c>
      <c r="G60" s="1">
        <f t="shared" si="47"/>
        <v>-155.45997223493822</v>
      </c>
      <c r="H60" s="1">
        <f t="shared" si="47"/>
        <v>-190.59111076777265</v>
      </c>
      <c r="I60" s="1">
        <f t="shared" si="47"/>
        <v>-226.79956151571238</v>
      </c>
      <c r="J60" s="1">
        <f t="shared" si="47"/>
        <v>-263.97239418750723</v>
      </c>
      <c r="K60" s="1">
        <f t="shared" si="47"/>
        <v>-302.00077815242935</v>
      </c>
      <c r="L60" s="1">
        <f t="shared" si="47"/>
        <v>-340.78112078732426</v>
      </c>
      <c r="M60" s="1">
        <f t="shared" si="47"/>
        <v>-380.21592531599862</v>
      </c>
      <c r="N60" s="1">
        <f t="shared" si="47"/>
        <v>-420.21438807004023</v>
      </c>
      <c r="O60" s="1">
        <f t="shared" si="47"/>
        <v>-460.69276173450879</v>
      </c>
      <c r="P60" s="1">
        <f t="shared" si="47"/>
        <v>-501.57451505335933</v>
      </c>
      <c r="Q60" s="1">
        <f t="shared" si="47"/>
        <v>-542.79032106053432</v>
      </c>
      <c r="R60" s="1">
        <f t="shared" si="47"/>
        <v>-584.27790563822646</v>
      </c>
    </row>
    <row r="61" spans="1:18" x14ac:dyDescent="0.25">
      <c r="C61" s="47"/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02B385B7B02A4D8DEE5CD63D2C8402" ma:contentTypeVersion="6" ma:contentTypeDescription="Create a new document." ma:contentTypeScope="" ma:versionID="18e324393d2a2000c5ec2d880a5bff98">
  <xsd:schema xmlns:xsd="http://www.w3.org/2001/XMLSchema" xmlns:xs="http://www.w3.org/2001/XMLSchema" xmlns:p="http://schemas.microsoft.com/office/2006/metadata/properties" xmlns:ns2="f161e893-8e5d-4d70-8bfd-88090e1d80ec" xmlns:ns3="9e1cb5d2-e640-41f5-8580-247213d8ed85" targetNamespace="http://schemas.microsoft.com/office/2006/metadata/properties" ma:root="true" ma:fieldsID="0a43824033bffb88ca06e3a76140f3ec" ns2:_="" ns3:_="">
    <xsd:import namespace="f161e893-8e5d-4d70-8bfd-88090e1d80ec"/>
    <xsd:import namespace="9e1cb5d2-e640-41f5-8580-247213d8ed8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1e893-8e5d-4d70-8bfd-88090e1d80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cb5d2-e640-41f5-8580-247213d8e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B4AC28-0DBD-4D95-BC35-B9CA6BEC18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EE025C-9881-4A2B-A181-A9750B00F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61e893-8e5d-4d70-8bfd-88090e1d80ec"/>
    <ds:schemaRef ds:uri="9e1cb5d2-e640-41f5-8580-247213d8ed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OD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(Bruce) Wu</dc:creator>
  <cp:lastModifiedBy>Xin (Bruce) Wu</cp:lastModifiedBy>
  <dcterms:created xsi:type="dcterms:W3CDTF">2023-10-11T01:29:16Z</dcterms:created>
  <dcterms:modified xsi:type="dcterms:W3CDTF">2024-05-09T16:23:28Z</dcterms:modified>
</cp:coreProperties>
</file>