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llanova.sharepoint.com/teams/TECLite/Shared Documents/Finalized Manuscript/Transportmetrica_2024/"/>
    </mc:Choice>
  </mc:AlternateContent>
  <xr:revisionPtr revIDLastSave="47" documentId="8_{5D8D0CA9-5EAD-467C-BBFF-7F705AC25AA5}" xr6:coauthVersionLast="47" xr6:coauthVersionMax="47" xr10:uidLastSave="{41081625-5423-43D6-822C-BC88D638AEE4}"/>
  <bookViews>
    <workbookView xWindow="28680" yWindow="-990" windowWidth="29040" windowHeight="15720" xr2:uid="{BA0089C8-DFDD-5C43-9C53-70AA6090CCC0}"/>
  </bookViews>
  <sheets>
    <sheet name="Transportation_info" sheetId="1" r:id="rId1"/>
    <sheet name="Accessbility_Revenue_Cal" sheetId="2" r:id="rId2"/>
    <sheet name="Solver_page" sheetId="3" r:id="rId3"/>
    <sheet name="EXP1" sheetId="11" r:id="rId4"/>
    <sheet name="EXP2" sheetId="8" r:id="rId5"/>
    <sheet name="EXP3" sheetId="10" r:id="rId6"/>
  </sheets>
  <definedNames>
    <definedName name="_xlnm._FilterDatabase" localSheetId="2" hidden="1">Solver_page!$A$1:$B$2</definedName>
    <definedName name="_xlnm._FilterDatabase" localSheetId="0" hidden="1">Transportation_info!$C$76:$C$91</definedName>
    <definedName name="solver_adj" localSheetId="2" hidden="1">Solver_page!$Y$2:$Y$91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Solver_page!$Y$2:$Y$91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1</definedName>
    <definedName name="solver_nwt" localSheetId="2" hidden="1">1</definedName>
    <definedName name="solver_opt" localSheetId="2" hidden="1">Solver_page!$V$16</definedName>
    <definedName name="solver_pre" localSheetId="2" hidden="1">0.00001</definedName>
    <definedName name="solver_rbv" localSheetId="2" hidden="1">1</definedName>
    <definedName name="solver_rel1" localSheetId="2" hidden="1">1</definedName>
    <definedName name="solver_rhs1" localSheetId="2" hidden="1">Solver_page!$Z$2:$Z$91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0.09742056918</definedName>
    <definedName name="solver_ver" localSheetId="1" hidden="1">2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8" i="11" l="1"/>
  <c r="V47" i="11"/>
  <c r="V46" i="11"/>
  <c r="V45" i="11"/>
  <c r="V42" i="11"/>
  <c r="V39" i="11"/>
  <c r="V38" i="11"/>
  <c r="S38" i="11"/>
  <c r="Q37" i="11"/>
  <c r="R35" i="11"/>
  <c r="W32" i="11"/>
  <c r="V32" i="11"/>
  <c r="T32" i="11"/>
  <c r="W31" i="11"/>
  <c r="V31" i="11"/>
  <c r="T31" i="11"/>
  <c r="W30" i="11"/>
  <c r="V44" i="11" s="1"/>
  <c r="V30" i="11"/>
  <c r="T30" i="11"/>
  <c r="W29" i="11"/>
  <c r="V43" i="11" s="1"/>
  <c r="V29" i="11"/>
  <c r="T29" i="11"/>
  <c r="W28" i="11"/>
  <c r="V28" i="11"/>
  <c r="T28" i="11"/>
  <c r="W27" i="11"/>
  <c r="V41" i="11" s="1"/>
  <c r="V27" i="11"/>
  <c r="T36" i="11" s="1"/>
  <c r="T27" i="11"/>
  <c r="W26" i="11"/>
  <c r="V40" i="11" s="1"/>
  <c r="V26" i="11"/>
  <c r="T26" i="11"/>
  <c r="W25" i="11"/>
  <c r="V25" i="11"/>
  <c r="T25" i="11"/>
  <c r="W24" i="11"/>
  <c r="V24" i="11"/>
  <c r="T24" i="11"/>
  <c r="W23" i="11"/>
  <c r="V37" i="11" s="1"/>
  <c r="V23" i="11"/>
  <c r="T23" i="11"/>
  <c r="W22" i="11"/>
  <c r="V36" i="11" s="1"/>
  <c r="V22" i="11"/>
  <c r="T22" i="11"/>
  <c r="V16" i="3"/>
  <c r="G5" i="10"/>
  <c r="G7" i="10"/>
  <c r="G8" i="10"/>
  <c r="G6" i="10"/>
  <c r="G4" i="10"/>
  <c r="B2" i="3" l="1"/>
  <c r="B65" i="2" l="1"/>
  <c r="C2" i="2"/>
  <c r="H2" i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D16" i="3"/>
  <c r="G16" i="3"/>
  <c r="C16" i="3"/>
  <c r="D15" i="3"/>
  <c r="G15" i="3"/>
  <c r="C15" i="3"/>
  <c r="B88" i="2" s="1"/>
  <c r="C88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74" i="2"/>
  <c r="C74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C65" i="2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E64" i="2" s="1"/>
  <c r="B56" i="2"/>
  <c r="C56" i="2" s="1"/>
  <c r="E5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C22" i="2"/>
  <c r="C23" i="2"/>
  <c r="C24" i="2"/>
  <c r="C25" i="2"/>
  <c r="C26" i="2"/>
  <c r="C27" i="2"/>
  <c r="C28" i="2"/>
  <c r="E10" i="1"/>
  <c r="E9" i="1"/>
  <c r="E8" i="1"/>
  <c r="E7" i="1"/>
  <c r="E6" i="1"/>
  <c r="C76" i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C87" i="1"/>
  <c r="C88" i="1"/>
  <c r="D88" i="1" s="1"/>
  <c r="C89" i="1"/>
  <c r="D89" i="1" s="1"/>
  <c r="C90" i="1"/>
  <c r="D90" i="1" s="1"/>
  <c r="C91" i="1"/>
  <c r="D91" i="1" s="1"/>
  <c r="D86" i="1"/>
  <c r="C68" i="1"/>
  <c r="C60" i="1"/>
  <c r="D87" i="1"/>
  <c r="D85" i="1"/>
  <c r="D76" i="1"/>
  <c r="D71" i="1"/>
  <c r="D70" i="1"/>
  <c r="D69" i="1"/>
  <c r="D68" i="1"/>
  <c r="D63" i="1"/>
  <c r="D62" i="1"/>
  <c r="D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6" i="2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7" i="2" s="1"/>
  <c r="D38" i="1"/>
  <c r="D39" i="1"/>
  <c r="D39" i="2" s="1"/>
  <c r="D40" i="1"/>
  <c r="D41" i="1"/>
  <c r="D42" i="1"/>
  <c r="D43" i="1"/>
  <c r="D43" i="2" s="1"/>
  <c r="D44" i="1"/>
  <c r="D45" i="1"/>
  <c r="D46" i="1"/>
  <c r="D46" i="2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4" i="1"/>
  <c r="D65" i="1"/>
  <c r="D66" i="1"/>
  <c r="D67" i="1"/>
  <c r="D72" i="1"/>
  <c r="D73" i="1"/>
  <c r="D74" i="1"/>
  <c r="D75" i="1"/>
  <c r="D2" i="1"/>
  <c r="C39" i="2"/>
  <c r="E39" i="2" s="1"/>
  <c r="C40" i="2"/>
  <c r="C41" i="2"/>
  <c r="C42" i="2"/>
  <c r="C43" i="2"/>
  <c r="C44" i="2"/>
  <c r="C45" i="2"/>
  <c r="C46" i="2"/>
  <c r="E46" i="2" s="1"/>
  <c r="C30" i="2"/>
  <c r="E30" i="2" s="1"/>
  <c r="C31" i="2"/>
  <c r="C32" i="2"/>
  <c r="D32" i="2" s="1"/>
  <c r="C33" i="2"/>
  <c r="E33" i="2" s="1"/>
  <c r="C34" i="2"/>
  <c r="E34" i="2" s="1"/>
  <c r="C35" i="2"/>
  <c r="C36" i="2"/>
  <c r="C37" i="2"/>
  <c r="C12" i="2"/>
  <c r="C13" i="2"/>
  <c r="C14" i="2"/>
  <c r="E14" i="2" s="1"/>
  <c r="C15" i="2"/>
  <c r="C16" i="2"/>
  <c r="C17" i="2"/>
  <c r="D17" i="2" s="1"/>
  <c r="C18" i="2"/>
  <c r="D18" i="2" s="1"/>
  <c r="C19" i="2"/>
  <c r="E19" i="2" s="1"/>
  <c r="C10" i="2"/>
  <c r="E10" i="2" s="1"/>
  <c r="C9" i="2"/>
  <c r="C8" i="2"/>
  <c r="C7" i="2"/>
  <c r="C6" i="2"/>
  <c r="D6" i="2" s="1"/>
  <c r="G8" i="1"/>
  <c r="G7" i="1"/>
  <c r="G9" i="1"/>
  <c r="G10" i="1"/>
  <c r="G6" i="1"/>
  <c r="G90" i="1"/>
  <c r="E90" i="1"/>
  <c r="G91" i="1"/>
  <c r="E91" i="1"/>
  <c r="E89" i="1"/>
  <c r="G89" i="1"/>
  <c r="G88" i="1"/>
  <c r="E88" i="1"/>
  <c r="E87" i="1"/>
  <c r="G87" i="1"/>
  <c r="E86" i="1"/>
  <c r="G86" i="1"/>
  <c r="E85" i="1"/>
  <c r="G85" i="1"/>
  <c r="E84" i="1"/>
  <c r="G84" i="1"/>
  <c r="E83" i="1"/>
  <c r="G83" i="1"/>
  <c r="E82" i="1"/>
  <c r="G82" i="1"/>
  <c r="G80" i="1"/>
  <c r="E80" i="1"/>
  <c r="E79" i="1"/>
  <c r="G79" i="1"/>
  <c r="G78" i="1"/>
  <c r="E78" i="1"/>
  <c r="E77" i="1"/>
  <c r="G77" i="1"/>
  <c r="G76" i="1"/>
  <c r="E76" i="1"/>
  <c r="E75" i="1"/>
  <c r="G75" i="1"/>
  <c r="E74" i="1"/>
  <c r="G74" i="1"/>
  <c r="G81" i="1"/>
  <c r="E81" i="1"/>
  <c r="E73" i="1"/>
  <c r="G73" i="1"/>
  <c r="G72" i="1"/>
  <c r="E72" i="1"/>
  <c r="E71" i="1"/>
  <c r="G71" i="1"/>
  <c r="E70" i="1"/>
  <c r="G70" i="1"/>
  <c r="G69" i="1"/>
  <c r="E69" i="1"/>
  <c r="G68" i="1"/>
  <c r="E68" i="1"/>
  <c r="G67" i="1"/>
  <c r="E67" i="1"/>
  <c r="E66" i="1"/>
  <c r="G66" i="1"/>
  <c r="E65" i="1"/>
  <c r="G65" i="1"/>
  <c r="G64" i="1"/>
  <c r="E64" i="1"/>
  <c r="E63" i="1"/>
  <c r="G63" i="1"/>
  <c r="G62" i="1"/>
  <c r="E62" i="1"/>
  <c r="E61" i="1"/>
  <c r="G61" i="1"/>
  <c r="E60" i="1"/>
  <c r="G60" i="1"/>
  <c r="G59" i="1"/>
  <c r="E59" i="1"/>
  <c r="E58" i="1"/>
  <c r="G58" i="1"/>
  <c r="G57" i="1"/>
  <c r="E57" i="1"/>
  <c r="G56" i="1"/>
  <c r="E56" i="1"/>
  <c r="G55" i="1"/>
  <c r="E55" i="1"/>
  <c r="G54" i="1"/>
  <c r="E54" i="1"/>
  <c r="G53" i="1"/>
  <c r="E53" i="1"/>
  <c r="G52" i="1"/>
  <c r="E52" i="1"/>
  <c r="E51" i="1"/>
  <c r="G51" i="1"/>
  <c r="G50" i="1"/>
  <c r="E50" i="1"/>
  <c r="G49" i="1"/>
  <c r="E49" i="1"/>
  <c r="E48" i="1"/>
  <c r="G48" i="1"/>
  <c r="G47" i="1"/>
  <c r="E47" i="1"/>
  <c r="G46" i="1"/>
  <c r="E46" i="1"/>
  <c r="G45" i="1"/>
  <c r="E45" i="1"/>
  <c r="E44" i="1"/>
  <c r="G44" i="1"/>
  <c r="G43" i="1"/>
  <c r="E43" i="1"/>
  <c r="G42" i="1"/>
  <c r="E42" i="1"/>
  <c r="E41" i="1"/>
  <c r="G33" i="1"/>
  <c r="E33" i="1"/>
  <c r="G34" i="1"/>
  <c r="E34" i="1"/>
  <c r="G35" i="1"/>
  <c r="E35" i="1"/>
  <c r="E36" i="1"/>
  <c r="G36" i="1"/>
  <c r="G37" i="1"/>
  <c r="E37" i="1"/>
  <c r="G28" i="1"/>
  <c r="E28" i="1"/>
  <c r="E27" i="1"/>
  <c r="G27" i="1"/>
  <c r="E32" i="1"/>
  <c r="G26" i="1"/>
  <c r="E26" i="1"/>
  <c r="E25" i="1"/>
  <c r="G25" i="1"/>
  <c r="G24" i="1"/>
  <c r="E24" i="1"/>
  <c r="E23" i="1"/>
  <c r="E19" i="1"/>
  <c r="G19" i="1"/>
  <c r="E18" i="1"/>
  <c r="G18" i="1"/>
  <c r="G17" i="1"/>
  <c r="E17" i="1"/>
  <c r="E16" i="1"/>
  <c r="G16" i="1"/>
  <c r="G15" i="1"/>
  <c r="E15" i="1"/>
  <c r="H5" i="3"/>
  <c r="I5" i="3" s="1"/>
  <c r="H14" i="3"/>
  <c r="J14" i="3" s="1"/>
  <c r="H13" i="3"/>
  <c r="J13" i="3" s="1"/>
  <c r="H12" i="3"/>
  <c r="J12" i="3" s="1"/>
  <c r="H11" i="3"/>
  <c r="J11" i="3" s="1"/>
  <c r="H10" i="3"/>
  <c r="I10" i="3" s="1"/>
  <c r="E6" i="3"/>
  <c r="E7" i="3"/>
  <c r="E8" i="3"/>
  <c r="E9" i="3"/>
  <c r="E10" i="3"/>
  <c r="E11" i="3"/>
  <c r="E12" i="3"/>
  <c r="E13" i="3"/>
  <c r="E14" i="3"/>
  <c r="C3" i="2"/>
  <c r="E3" i="2" s="1"/>
  <c r="E2" i="2"/>
  <c r="E5" i="1"/>
  <c r="C38" i="2"/>
  <c r="E38" i="2" s="1"/>
  <c r="C4" i="2"/>
  <c r="H9" i="3"/>
  <c r="I9" i="3" s="1"/>
  <c r="H8" i="3"/>
  <c r="H7" i="3"/>
  <c r="J7" i="3" s="1"/>
  <c r="H6" i="3"/>
  <c r="J6" i="3" s="1"/>
  <c r="E5" i="3"/>
  <c r="E40" i="1"/>
  <c r="E39" i="1"/>
  <c r="E38" i="1"/>
  <c r="E31" i="1"/>
  <c r="E30" i="1"/>
  <c r="E29" i="1"/>
  <c r="E22" i="1"/>
  <c r="E21" i="1"/>
  <c r="E20" i="1"/>
  <c r="E14" i="1"/>
  <c r="E13" i="1"/>
  <c r="E12" i="1"/>
  <c r="E11" i="1"/>
  <c r="E4" i="1"/>
  <c r="E3" i="1"/>
  <c r="E2" i="1"/>
  <c r="D9" i="2" l="1"/>
  <c r="E35" i="2"/>
  <c r="D40" i="2"/>
  <c r="E26" i="2"/>
  <c r="D73" i="2"/>
  <c r="E25" i="2"/>
  <c r="E72" i="2"/>
  <c r="D31" i="2"/>
  <c r="D22" i="2"/>
  <c r="E16" i="2"/>
  <c r="F16" i="2" s="1"/>
  <c r="D15" i="2"/>
  <c r="D24" i="2"/>
  <c r="D45" i="2"/>
  <c r="D66" i="2"/>
  <c r="D23" i="2"/>
  <c r="D4" i="2"/>
  <c r="D13" i="2"/>
  <c r="E44" i="2"/>
  <c r="D74" i="2"/>
  <c r="D12" i="2"/>
  <c r="E43" i="2"/>
  <c r="J43" i="2" s="1"/>
  <c r="D58" i="2"/>
  <c r="D82" i="2"/>
  <c r="D7" i="2"/>
  <c r="E37" i="2"/>
  <c r="D42" i="2"/>
  <c r="E28" i="2"/>
  <c r="D50" i="2"/>
  <c r="D57" i="2"/>
  <c r="D81" i="2"/>
  <c r="E8" i="2"/>
  <c r="D36" i="2"/>
  <c r="D41" i="2"/>
  <c r="D27" i="2"/>
  <c r="D65" i="2"/>
  <c r="F5" i="3"/>
  <c r="I11" i="3"/>
  <c r="D26" i="2"/>
  <c r="E6" i="2"/>
  <c r="D44" i="2"/>
  <c r="D19" i="2"/>
  <c r="D10" i="2"/>
  <c r="D35" i="2"/>
  <c r="D8" i="2"/>
  <c r="D34" i="2"/>
  <c r="D3" i="2"/>
  <c r="F3" i="2" s="1"/>
  <c r="D30" i="2"/>
  <c r="E9" i="2"/>
  <c r="F9" i="2" s="1"/>
  <c r="L93" i="2"/>
  <c r="J10" i="3"/>
  <c r="I12" i="3"/>
  <c r="F12" i="3"/>
  <c r="B87" i="2"/>
  <c r="C87" i="2" s="1"/>
  <c r="E87" i="2" s="1"/>
  <c r="I14" i="3"/>
  <c r="F37" i="2"/>
  <c r="E18" i="2"/>
  <c r="F18" i="2" s="1"/>
  <c r="J9" i="2"/>
  <c r="B86" i="2"/>
  <c r="C86" i="2" s="1"/>
  <c r="D86" i="2" s="1"/>
  <c r="D28" i="2"/>
  <c r="J28" i="2" s="1"/>
  <c r="E45" i="2"/>
  <c r="F45" i="2" s="1"/>
  <c r="E36" i="2"/>
  <c r="E27" i="2"/>
  <c r="E17" i="2"/>
  <c r="J17" i="2" s="1"/>
  <c r="B85" i="2"/>
  <c r="C85" i="2" s="1"/>
  <c r="E85" i="2" s="1"/>
  <c r="E7" i="2"/>
  <c r="E15" i="2"/>
  <c r="M15" i="2" s="1"/>
  <c r="D25" i="2"/>
  <c r="J25" i="2" s="1"/>
  <c r="E42" i="2"/>
  <c r="J42" i="2" s="1"/>
  <c r="E24" i="2"/>
  <c r="J24" i="2" s="1"/>
  <c r="B90" i="2"/>
  <c r="C90" i="2" s="1"/>
  <c r="E90" i="2" s="1"/>
  <c r="D33" i="2"/>
  <c r="F33" i="2" s="1"/>
  <c r="D14" i="2"/>
  <c r="F14" i="2" s="1"/>
  <c r="E41" i="2"/>
  <c r="M41" i="2" s="1"/>
  <c r="E32" i="2"/>
  <c r="J32" i="2" s="1"/>
  <c r="E23" i="2"/>
  <c r="M23" i="2" s="1"/>
  <c r="N23" i="2" s="1"/>
  <c r="E13" i="2"/>
  <c r="F13" i="2" s="1"/>
  <c r="E4" i="2"/>
  <c r="F4" i="2" s="1"/>
  <c r="B84" i="2"/>
  <c r="C84" i="2" s="1"/>
  <c r="E84" i="2" s="1"/>
  <c r="J6" i="2"/>
  <c r="B91" i="2"/>
  <c r="C91" i="2" s="1"/>
  <c r="D91" i="2" s="1"/>
  <c r="M6" i="2"/>
  <c r="N6" i="2" s="1"/>
  <c r="B89" i="2"/>
  <c r="C89" i="2" s="1"/>
  <c r="D89" i="2" s="1"/>
  <c r="E40" i="2"/>
  <c r="M40" i="2" s="1"/>
  <c r="N40" i="2" s="1"/>
  <c r="E31" i="2"/>
  <c r="E22" i="2"/>
  <c r="M22" i="2" s="1"/>
  <c r="E12" i="2"/>
  <c r="M12" i="2" s="1"/>
  <c r="N12" i="2" s="1"/>
  <c r="B83" i="2"/>
  <c r="C83" i="2" s="1"/>
  <c r="E83" i="2" s="1"/>
  <c r="M83" i="2" s="1"/>
  <c r="H16" i="3"/>
  <c r="H15" i="3"/>
  <c r="E16" i="3"/>
  <c r="J5" i="3"/>
  <c r="E15" i="3"/>
  <c r="E71" i="2"/>
  <c r="M71" i="2" s="1"/>
  <c r="D71" i="2"/>
  <c r="E61" i="2"/>
  <c r="M61" i="2" s="1"/>
  <c r="D61" i="2"/>
  <c r="E63" i="2"/>
  <c r="D63" i="2"/>
  <c r="D38" i="2"/>
  <c r="K9" i="3" s="1"/>
  <c r="J10" i="2"/>
  <c r="D69" i="2"/>
  <c r="E69" i="2"/>
  <c r="D55" i="2"/>
  <c r="E55" i="2"/>
  <c r="D49" i="2"/>
  <c r="E49" i="2"/>
  <c r="D60" i="2"/>
  <c r="E60" i="2"/>
  <c r="M60" i="2" s="1"/>
  <c r="E70" i="2"/>
  <c r="D70" i="2"/>
  <c r="E80" i="2"/>
  <c r="M80" i="2" s="1"/>
  <c r="D80" i="2"/>
  <c r="E68" i="2"/>
  <c r="D68" i="2"/>
  <c r="E67" i="2"/>
  <c r="D67" i="2"/>
  <c r="D78" i="2"/>
  <c r="E78" i="2"/>
  <c r="D77" i="2"/>
  <c r="E77" i="2"/>
  <c r="E48" i="2"/>
  <c r="M48" i="2" s="1"/>
  <c r="D48" i="2"/>
  <c r="D59" i="2"/>
  <c r="E59" i="2"/>
  <c r="E79" i="2"/>
  <c r="M79" i="2" s="1"/>
  <c r="D79" i="2"/>
  <c r="E47" i="2"/>
  <c r="M47" i="2" s="1"/>
  <c r="D47" i="2"/>
  <c r="D54" i="2"/>
  <c r="E54" i="2"/>
  <c r="M54" i="2" s="1"/>
  <c r="D53" i="2"/>
  <c r="E53" i="2"/>
  <c r="D76" i="2"/>
  <c r="E76" i="2"/>
  <c r="E52" i="2"/>
  <c r="D52" i="2"/>
  <c r="D75" i="2"/>
  <c r="E75" i="2"/>
  <c r="M75" i="2" s="1"/>
  <c r="D51" i="2"/>
  <c r="E51" i="2"/>
  <c r="D62" i="2"/>
  <c r="E62" i="2"/>
  <c r="D72" i="2"/>
  <c r="F72" i="2" s="1"/>
  <c r="D64" i="2"/>
  <c r="F64" i="2" s="1"/>
  <c r="D56" i="2"/>
  <c r="J56" i="2" s="1"/>
  <c r="J39" i="2"/>
  <c r="M34" i="2"/>
  <c r="N34" i="2" s="1"/>
  <c r="E82" i="2"/>
  <c r="E74" i="2"/>
  <c r="J74" i="2" s="1"/>
  <c r="E66" i="2"/>
  <c r="F66" i="2" s="1"/>
  <c r="E58" i="2"/>
  <c r="E50" i="2"/>
  <c r="J50" i="2" s="1"/>
  <c r="F34" i="2"/>
  <c r="F10" i="2"/>
  <c r="J34" i="2"/>
  <c r="E81" i="2"/>
  <c r="J81" i="2" s="1"/>
  <c r="E73" i="2"/>
  <c r="J73" i="2" s="1"/>
  <c r="E65" i="2"/>
  <c r="J65" i="2" s="1"/>
  <c r="E57" i="2"/>
  <c r="J57" i="2" s="1"/>
  <c r="M44" i="2"/>
  <c r="N44" i="2" s="1"/>
  <c r="M28" i="2"/>
  <c r="M35" i="2"/>
  <c r="N35" i="2" s="1"/>
  <c r="M19" i="2"/>
  <c r="N19" i="2" s="1"/>
  <c r="M3" i="2"/>
  <c r="M72" i="2"/>
  <c r="M8" i="2"/>
  <c r="N8" i="2" s="1"/>
  <c r="M46" i="2"/>
  <c r="N46" i="2" s="1"/>
  <c r="M38" i="2"/>
  <c r="M30" i="2"/>
  <c r="N30" i="2" s="1"/>
  <c r="M14" i="2"/>
  <c r="M7" i="2"/>
  <c r="M26" i="2"/>
  <c r="N26" i="2" s="1"/>
  <c r="F44" i="2"/>
  <c r="M43" i="2"/>
  <c r="N43" i="2" s="1"/>
  <c r="M4" i="2"/>
  <c r="N4" i="2" s="1"/>
  <c r="F43" i="2"/>
  <c r="J30" i="2"/>
  <c r="J46" i="2"/>
  <c r="J26" i="2"/>
  <c r="J4" i="2"/>
  <c r="F19" i="2"/>
  <c r="F35" i="2"/>
  <c r="J44" i="2"/>
  <c r="J37" i="2"/>
  <c r="M33" i="2"/>
  <c r="M25" i="2"/>
  <c r="M9" i="2"/>
  <c r="N9" i="2" s="1"/>
  <c r="J35" i="2"/>
  <c r="J19" i="2"/>
  <c r="J3" i="2"/>
  <c r="M39" i="2"/>
  <c r="N39" i="2" s="1"/>
  <c r="M64" i="2"/>
  <c r="M37" i="2"/>
  <c r="N37" i="2" s="1"/>
  <c r="M10" i="2"/>
  <c r="N10" i="2" s="1"/>
  <c r="M56" i="2"/>
  <c r="J8" i="2"/>
  <c r="M2" i="2"/>
  <c r="N2" i="2" s="1"/>
  <c r="J7" i="2"/>
  <c r="L92" i="2"/>
  <c r="E88" i="2"/>
  <c r="D88" i="2"/>
  <c r="D2" i="2"/>
  <c r="F2" i="2" s="1"/>
  <c r="F46" i="2"/>
  <c r="F8" i="2"/>
  <c r="F6" i="2"/>
  <c r="F13" i="3"/>
  <c r="F11" i="3"/>
  <c r="F10" i="3"/>
  <c r="F8" i="3"/>
  <c r="F7" i="3"/>
  <c r="F6" i="3"/>
  <c r="F9" i="3"/>
  <c r="F14" i="3"/>
  <c r="I13" i="3"/>
  <c r="C20" i="2"/>
  <c r="C11" i="2"/>
  <c r="C29" i="2"/>
  <c r="J9" i="3"/>
  <c r="I8" i="3"/>
  <c r="J8" i="3"/>
  <c r="I7" i="3"/>
  <c r="I6" i="3"/>
  <c r="C5" i="2"/>
  <c r="C21" i="2"/>
  <c r="M16" i="2" l="1"/>
  <c r="N16" i="2" s="1"/>
  <c r="J58" i="2"/>
  <c r="N15" i="2"/>
  <c r="N3" i="2"/>
  <c r="J16" i="2"/>
  <c r="F7" i="2"/>
  <c r="N7" i="2"/>
  <c r="J82" i="2"/>
  <c r="F27" i="2"/>
  <c r="N22" i="2"/>
  <c r="N41" i="2"/>
  <c r="F36" i="2"/>
  <c r="F26" i="2"/>
  <c r="J31" i="2"/>
  <c r="J2" i="2"/>
  <c r="I15" i="3"/>
  <c r="D87" i="2"/>
  <c r="F87" i="2" s="1"/>
  <c r="F53" i="2"/>
  <c r="M24" i="2"/>
  <c r="N24" i="2" s="1"/>
  <c r="J22" i="2"/>
  <c r="J13" i="2"/>
  <c r="F42" i="2"/>
  <c r="M13" i="2"/>
  <c r="N13" i="2" s="1"/>
  <c r="D90" i="2"/>
  <c r="J90" i="2" s="1"/>
  <c r="J64" i="2"/>
  <c r="M31" i="2"/>
  <c r="N31" i="2" s="1"/>
  <c r="N75" i="2"/>
  <c r="J45" i="2"/>
  <c r="M45" i="2"/>
  <c r="N45" i="2" s="1"/>
  <c r="I16" i="3"/>
  <c r="J14" i="2"/>
  <c r="J71" i="2"/>
  <c r="J76" i="2"/>
  <c r="F79" i="2"/>
  <c r="F78" i="2"/>
  <c r="J69" i="2"/>
  <c r="J18" i="2"/>
  <c r="N71" i="2"/>
  <c r="F24" i="2"/>
  <c r="M17" i="2"/>
  <c r="N17" i="2" s="1"/>
  <c r="F17" i="2"/>
  <c r="N33" i="2"/>
  <c r="F54" i="2"/>
  <c r="M27" i="2"/>
  <c r="N27" i="2" s="1"/>
  <c r="N14" i="2"/>
  <c r="D84" i="2"/>
  <c r="F84" i="2" s="1"/>
  <c r="F12" i="2"/>
  <c r="N48" i="2"/>
  <c r="J33" i="2"/>
  <c r="N38" i="2"/>
  <c r="M18" i="2"/>
  <c r="N18" i="2" s="1"/>
  <c r="J27" i="2"/>
  <c r="J12" i="2"/>
  <c r="J38" i="2"/>
  <c r="D83" i="2"/>
  <c r="N83" i="2" s="1"/>
  <c r="D85" i="2"/>
  <c r="J85" i="2" s="1"/>
  <c r="N64" i="2"/>
  <c r="J40" i="2"/>
  <c r="F23" i="2"/>
  <c r="E91" i="2"/>
  <c r="J91" i="2" s="1"/>
  <c r="N25" i="2"/>
  <c r="J15" i="2"/>
  <c r="F25" i="2"/>
  <c r="E86" i="2"/>
  <c r="J86" i="2" s="1"/>
  <c r="J66" i="2"/>
  <c r="J23" i="2"/>
  <c r="J53" i="2"/>
  <c r="J59" i="2"/>
  <c r="N60" i="2"/>
  <c r="F75" i="2"/>
  <c r="J52" i="2"/>
  <c r="J62" i="2"/>
  <c r="J36" i="2"/>
  <c r="N72" i="2"/>
  <c r="J72" i="2"/>
  <c r="M42" i="2"/>
  <c r="N42" i="2" s="1"/>
  <c r="J41" i="2"/>
  <c r="M36" i="2"/>
  <c r="N36" i="2" s="1"/>
  <c r="F28" i="2"/>
  <c r="F71" i="2"/>
  <c r="N54" i="2"/>
  <c r="F82" i="2"/>
  <c r="F15" i="2"/>
  <c r="M32" i="2"/>
  <c r="N32" i="2" s="1"/>
  <c r="M69" i="2"/>
  <c r="N69" i="2" s="1"/>
  <c r="F77" i="2"/>
  <c r="J80" i="2"/>
  <c r="J55" i="2"/>
  <c r="F63" i="2"/>
  <c r="F51" i="2"/>
  <c r="J70" i="2"/>
  <c r="K12" i="3"/>
  <c r="F61" i="2"/>
  <c r="D5" i="2"/>
  <c r="K5" i="3" s="1"/>
  <c r="E5" i="2"/>
  <c r="E89" i="2"/>
  <c r="F89" i="2" s="1"/>
  <c r="F57" i="2"/>
  <c r="M57" i="2"/>
  <c r="N57" i="2" s="1"/>
  <c r="F65" i="2"/>
  <c r="N28" i="2"/>
  <c r="F73" i="2"/>
  <c r="B93" i="2"/>
  <c r="B92" i="2"/>
  <c r="M53" i="2"/>
  <c r="N53" i="2" s="1"/>
  <c r="J48" i="2"/>
  <c r="F49" i="2"/>
  <c r="J16" i="3"/>
  <c r="J15" i="3"/>
  <c r="F16" i="3"/>
  <c r="F15" i="3"/>
  <c r="M81" i="2"/>
  <c r="N81" i="2" s="1"/>
  <c r="F50" i="2"/>
  <c r="K10" i="3"/>
  <c r="M77" i="2"/>
  <c r="N77" i="2" s="1"/>
  <c r="J63" i="2"/>
  <c r="J51" i="2"/>
  <c r="F81" i="2"/>
  <c r="N61" i="2"/>
  <c r="J61" i="2"/>
  <c r="F62" i="2"/>
  <c r="F59" i="2"/>
  <c r="M65" i="2"/>
  <c r="N65" i="2" s="1"/>
  <c r="M59" i="2"/>
  <c r="N59" i="2" s="1"/>
  <c r="M76" i="2"/>
  <c r="N76" i="2" s="1"/>
  <c r="M70" i="2"/>
  <c r="N70" i="2" s="1"/>
  <c r="K13" i="3"/>
  <c r="F67" i="2"/>
  <c r="F60" i="2"/>
  <c r="F55" i="2"/>
  <c r="F76" i="2"/>
  <c r="M63" i="2"/>
  <c r="N63" i="2" s="1"/>
  <c r="N56" i="2"/>
  <c r="M55" i="2"/>
  <c r="N55" i="2" s="1"/>
  <c r="M73" i="2"/>
  <c r="N73" i="2" s="1"/>
  <c r="F58" i="2"/>
  <c r="J49" i="2"/>
  <c r="E20" i="2"/>
  <c r="D20" i="2"/>
  <c r="J67" i="2"/>
  <c r="M62" i="2"/>
  <c r="N62" i="2" s="1"/>
  <c r="M52" i="2"/>
  <c r="N52" i="2" s="1"/>
  <c r="E21" i="2"/>
  <c r="D21" i="2"/>
  <c r="D11" i="2"/>
  <c r="K6" i="3" s="1"/>
  <c r="E11" i="2"/>
  <c r="J78" i="2"/>
  <c r="M66" i="2"/>
  <c r="N66" i="2" s="1"/>
  <c r="J79" i="2"/>
  <c r="F52" i="2"/>
  <c r="M58" i="2"/>
  <c r="N58" i="2" s="1"/>
  <c r="F68" i="2"/>
  <c r="M74" i="2"/>
  <c r="N74" i="2" s="1"/>
  <c r="K11" i="3"/>
  <c r="C93" i="2"/>
  <c r="M67" i="2"/>
  <c r="N67" i="2" s="1"/>
  <c r="M49" i="2"/>
  <c r="N49" i="2" s="1"/>
  <c r="M51" i="2"/>
  <c r="N51" i="2" s="1"/>
  <c r="J77" i="2"/>
  <c r="J68" i="2"/>
  <c r="M82" i="2"/>
  <c r="N82" i="2" s="1"/>
  <c r="F80" i="2"/>
  <c r="F47" i="2"/>
  <c r="F56" i="2"/>
  <c r="M68" i="2"/>
  <c r="N68" i="2" s="1"/>
  <c r="J60" i="2"/>
  <c r="J75" i="2"/>
  <c r="N47" i="2"/>
  <c r="J47" i="2"/>
  <c r="C92" i="2"/>
  <c r="N79" i="2"/>
  <c r="D29" i="2"/>
  <c r="K8" i="3" s="1"/>
  <c r="E29" i="2"/>
  <c r="F48" i="2"/>
  <c r="F74" i="2"/>
  <c r="N80" i="2"/>
  <c r="M50" i="2"/>
  <c r="N50" i="2" s="1"/>
  <c r="M78" i="2"/>
  <c r="N78" i="2" s="1"/>
  <c r="J54" i="2"/>
  <c r="F70" i="2"/>
  <c r="F69" i="2"/>
  <c r="F88" i="2"/>
  <c r="M87" i="2"/>
  <c r="J88" i="2"/>
  <c r="M88" i="2"/>
  <c r="N88" i="2" s="1"/>
  <c r="M84" i="2"/>
  <c r="M90" i="2"/>
  <c r="M85" i="2"/>
  <c r="F41" i="2"/>
  <c r="J87" i="2" l="1"/>
  <c r="N87" i="2"/>
  <c r="N90" i="2"/>
  <c r="F90" i="2"/>
  <c r="F85" i="2"/>
  <c r="N85" i="2"/>
  <c r="J83" i="2"/>
  <c r="K14" i="3"/>
  <c r="M91" i="2"/>
  <c r="N91" i="2" s="1"/>
  <c r="J84" i="2"/>
  <c r="F91" i="2"/>
  <c r="N84" i="2"/>
  <c r="F83" i="2"/>
  <c r="J89" i="2"/>
  <c r="M89" i="2"/>
  <c r="N89" i="2" s="1"/>
  <c r="M86" i="2"/>
  <c r="N86" i="2" s="1"/>
  <c r="F86" i="2"/>
  <c r="G77" i="2"/>
  <c r="K77" i="2" s="1"/>
  <c r="D92" i="2"/>
  <c r="G63" i="2"/>
  <c r="K63" i="2" s="1"/>
  <c r="G74" i="2"/>
  <c r="K74" i="2" s="1"/>
  <c r="G69" i="2"/>
  <c r="I69" i="2" s="1"/>
  <c r="G52" i="2"/>
  <c r="O52" i="2" s="1"/>
  <c r="F5" i="2"/>
  <c r="G2" i="2" s="1"/>
  <c r="I2" i="2" s="1"/>
  <c r="M5" i="2"/>
  <c r="N5" i="2" s="1"/>
  <c r="J5" i="2"/>
  <c r="G81" i="2"/>
  <c r="O81" i="2" s="1"/>
  <c r="G59" i="2"/>
  <c r="K59" i="2" s="1"/>
  <c r="G51" i="2"/>
  <c r="O51" i="2" s="1"/>
  <c r="G57" i="2"/>
  <c r="O57" i="2" s="1"/>
  <c r="G75" i="2"/>
  <c r="K75" i="2" s="1"/>
  <c r="G80" i="2"/>
  <c r="H80" i="2" s="1"/>
  <c r="G70" i="2"/>
  <c r="H70" i="2" s="1"/>
  <c r="G61" i="2"/>
  <c r="K61" i="2" s="1"/>
  <c r="G79" i="2"/>
  <c r="K79" i="2" s="1"/>
  <c r="G78" i="2"/>
  <c r="K78" i="2" s="1"/>
  <c r="G76" i="2"/>
  <c r="K76" i="2" s="1"/>
  <c r="G47" i="2"/>
  <c r="K47" i="2" s="1"/>
  <c r="G58" i="2"/>
  <c r="K58" i="2" s="1"/>
  <c r="G62" i="2"/>
  <c r="I62" i="2" s="1"/>
  <c r="P62" i="2" s="1"/>
  <c r="G54" i="2"/>
  <c r="O54" i="2" s="1"/>
  <c r="G82" i="2"/>
  <c r="K82" i="2" s="1"/>
  <c r="G65" i="2"/>
  <c r="O65" i="2" s="1"/>
  <c r="F21" i="2"/>
  <c r="G64" i="2"/>
  <c r="O64" i="2" s="1"/>
  <c r="G56" i="2"/>
  <c r="K56" i="2" s="1"/>
  <c r="G72" i="2"/>
  <c r="I72" i="2" s="1"/>
  <c r="D93" i="2"/>
  <c r="G67" i="2"/>
  <c r="H67" i="2" s="1"/>
  <c r="G68" i="2"/>
  <c r="I68" i="2" s="1"/>
  <c r="G48" i="2"/>
  <c r="H48" i="2" s="1"/>
  <c r="G55" i="2"/>
  <c r="G73" i="2"/>
  <c r="I73" i="2" s="1"/>
  <c r="P73" i="2" s="1"/>
  <c r="J29" i="2"/>
  <c r="M29" i="2"/>
  <c r="N29" i="2" s="1"/>
  <c r="G49" i="2"/>
  <c r="O49" i="2" s="1"/>
  <c r="J21" i="2"/>
  <c r="M21" i="2"/>
  <c r="N21" i="2" s="1"/>
  <c r="G53" i="2"/>
  <c r="I53" i="2" s="1"/>
  <c r="G71" i="2"/>
  <c r="I71" i="2" s="1"/>
  <c r="G66" i="2"/>
  <c r="H66" i="2" s="1"/>
  <c r="G60" i="2"/>
  <c r="K7" i="3"/>
  <c r="F20" i="2"/>
  <c r="E92" i="2"/>
  <c r="E93" i="2"/>
  <c r="G50" i="2"/>
  <c r="O50" i="2" s="1"/>
  <c r="J11" i="2"/>
  <c r="M11" i="2"/>
  <c r="N11" i="2" s="1"/>
  <c r="J20" i="2"/>
  <c r="M20" i="2"/>
  <c r="N20" i="2" s="1"/>
  <c r="F31" i="2"/>
  <c r="F40" i="2"/>
  <c r="F11" i="2"/>
  <c r="G11" i="2" s="1"/>
  <c r="F39" i="2"/>
  <c r="F32" i="2"/>
  <c r="F22" i="2"/>
  <c r="F38" i="2"/>
  <c r="F29" i="2"/>
  <c r="F30" i="2"/>
  <c r="K2" i="2" l="1"/>
  <c r="H72" i="2"/>
  <c r="G21" i="2"/>
  <c r="Q62" i="2"/>
  <c r="R62" i="2" s="1"/>
  <c r="K16" i="3"/>
  <c r="G85" i="2"/>
  <c r="O85" i="2" s="1"/>
  <c r="I54" i="2"/>
  <c r="P54" i="2" s="1"/>
  <c r="G33" i="2"/>
  <c r="O77" i="2"/>
  <c r="G83" i="2"/>
  <c r="I83" i="2" s="1"/>
  <c r="H64" i="2"/>
  <c r="G90" i="2"/>
  <c r="H90" i="2" s="1"/>
  <c r="G84" i="2"/>
  <c r="H84" i="2" s="1"/>
  <c r="G87" i="2"/>
  <c r="H87" i="2" s="1"/>
  <c r="H59" i="2"/>
  <c r="G86" i="2"/>
  <c r="I86" i="2" s="1"/>
  <c r="G88" i="2"/>
  <c r="I88" i="2" s="1"/>
  <c r="G91" i="2"/>
  <c r="I91" i="2" s="1"/>
  <c r="Q91" i="2" s="1"/>
  <c r="G89" i="2"/>
  <c r="I89" i="2" s="1"/>
  <c r="H63" i="2"/>
  <c r="I79" i="2"/>
  <c r="Q79" i="2" s="1"/>
  <c r="I77" i="2"/>
  <c r="Q77" i="2" s="1"/>
  <c r="I63" i="2"/>
  <c r="Q63" i="2" s="1"/>
  <c r="H77" i="2"/>
  <c r="O62" i="2"/>
  <c r="O56" i="2"/>
  <c r="K69" i="2"/>
  <c r="I59" i="2"/>
  <c r="P59" i="2" s="1"/>
  <c r="H74" i="2"/>
  <c r="O74" i="2"/>
  <c r="I74" i="2"/>
  <c r="P74" i="2" s="1"/>
  <c r="O63" i="2"/>
  <c r="I48" i="2"/>
  <c r="P48" i="2" s="1"/>
  <c r="H51" i="2"/>
  <c r="K51" i="2"/>
  <c r="O69" i="2"/>
  <c r="H69" i="2"/>
  <c r="H75" i="2"/>
  <c r="I51" i="2"/>
  <c r="Q51" i="2" s="1"/>
  <c r="H68" i="2"/>
  <c r="O75" i="2"/>
  <c r="H76" i="2"/>
  <c r="O80" i="2"/>
  <c r="K52" i="2"/>
  <c r="O76" i="2"/>
  <c r="H52" i="2"/>
  <c r="I52" i="2"/>
  <c r="Q52" i="2" s="1"/>
  <c r="I75" i="2"/>
  <c r="P75" i="2" s="1"/>
  <c r="H54" i="2"/>
  <c r="K80" i="2"/>
  <c r="K64" i="2"/>
  <c r="H61" i="2"/>
  <c r="I76" i="2"/>
  <c r="Q76" i="2" s="1"/>
  <c r="I70" i="2"/>
  <c r="Q70" i="2" s="1"/>
  <c r="O61" i="2"/>
  <c r="I47" i="2"/>
  <c r="I81" i="2"/>
  <c r="P81" i="2" s="1"/>
  <c r="H47" i="2"/>
  <c r="O70" i="2"/>
  <c r="K70" i="2"/>
  <c r="O47" i="2"/>
  <c r="O82" i="2"/>
  <c r="H81" i="2"/>
  <c r="I61" i="2"/>
  <c r="P61" i="2" s="1"/>
  <c r="H79" i="2"/>
  <c r="I80" i="2"/>
  <c r="P80" i="2" s="1"/>
  <c r="K81" i="2"/>
  <c r="I57" i="2"/>
  <c r="P57" i="2" s="1"/>
  <c r="H71" i="2"/>
  <c r="H53" i="2"/>
  <c r="I82" i="2"/>
  <c r="Q82" i="2" s="1"/>
  <c r="O58" i="2"/>
  <c r="O59" i="2"/>
  <c r="K65" i="2"/>
  <c r="I58" i="2"/>
  <c r="P58" i="2" s="1"/>
  <c r="H57" i="2"/>
  <c r="I65" i="2"/>
  <c r="Q65" i="2" s="1"/>
  <c r="O79" i="2"/>
  <c r="H65" i="2"/>
  <c r="H58" i="2"/>
  <c r="K50" i="2"/>
  <c r="H82" i="2"/>
  <c r="K57" i="2"/>
  <c r="G6" i="2"/>
  <c r="G5" i="2"/>
  <c r="G10" i="2"/>
  <c r="G9" i="2"/>
  <c r="G8" i="2"/>
  <c r="G4" i="2"/>
  <c r="G3" i="2"/>
  <c r="K3" i="2" s="1"/>
  <c r="G7" i="2"/>
  <c r="H56" i="2"/>
  <c r="O73" i="2"/>
  <c r="H62" i="2"/>
  <c r="H78" i="2"/>
  <c r="I67" i="2"/>
  <c r="Q67" i="2" s="1"/>
  <c r="I64" i="2"/>
  <c r="P64" i="2" s="1"/>
  <c r="K62" i="2"/>
  <c r="K54" i="2"/>
  <c r="O78" i="2"/>
  <c r="I50" i="2"/>
  <c r="Q50" i="2" s="1"/>
  <c r="I78" i="2"/>
  <c r="Q78" i="2" s="1"/>
  <c r="I56" i="2"/>
  <c r="Q56" i="2" s="1"/>
  <c r="H50" i="2"/>
  <c r="H49" i="2"/>
  <c r="K49" i="2"/>
  <c r="K71" i="2"/>
  <c r="O71" i="2"/>
  <c r="K48" i="2"/>
  <c r="O48" i="2"/>
  <c r="O72" i="2"/>
  <c r="K72" i="2"/>
  <c r="H60" i="2"/>
  <c r="I60" i="2"/>
  <c r="K60" i="2"/>
  <c r="O60" i="2"/>
  <c r="K66" i="2"/>
  <c r="O66" i="2"/>
  <c r="I66" i="2"/>
  <c r="P66" i="2" s="1"/>
  <c r="O55" i="2"/>
  <c r="I55" i="2"/>
  <c r="H55" i="2"/>
  <c r="K55" i="2"/>
  <c r="I49" i="2"/>
  <c r="P49" i="2" s="1"/>
  <c r="K53" i="2"/>
  <c r="O53" i="2"/>
  <c r="K68" i="2"/>
  <c r="O68" i="2"/>
  <c r="K15" i="3"/>
  <c r="H73" i="2"/>
  <c r="K73" i="2"/>
  <c r="K67" i="2"/>
  <c r="O67" i="2"/>
  <c r="Q73" i="2"/>
  <c r="R73" i="2" s="1"/>
  <c r="P72" i="2"/>
  <c r="Q72" i="2"/>
  <c r="P71" i="2"/>
  <c r="Q71" i="2"/>
  <c r="P68" i="2"/>
  <c r="Q68" i="2"/>
  <c r="Q69" i="2"/>
  <c r="P69" i="2"/>
  <c r="G46" i="2"/>
  <c r="P53" i="2"/>
  <c r="Q53" i="2"/>
  <c r="G32" i="2"/>
  <c r="M92" i="2"/>
  <c r="M93" i="2"/>
  <c r="G22" i="2"/>
  <c r="G28" i="2"/>
  <c r="O28" i="2" s="1"/>
  <c r="G20" i="2"/>
  <c r="G27" i="2"/>
  <c r="G25" i="2"/>
  <c r="G26" i="2"/>
  <c r="G23" i="2"/>
  <c r="G24" i="2"/>
  <c r="G34" i="2"/>
  <c r="G29" i="2"/>
  <c r="G35" i="2"/>
  <c r="G36" i="2"/>
  <c r="G37" i="2"/>
  <c r="G30" i="2"/>
  <c r="G31" i="2"/>
  <c r="G14" i="2"/>
  <c r="G19" i="2"/>
  <c r="G15" i="2"/>
  <c r="G16" i="2"/>
  <c r="G17" i="2"/>
  <c r="G18" i="2"/>
  <c r="G12" i="2"/>
  <c r="G13" i="2"/>
  <c r="F93" i="2"/>
  <c r="F92" i="2"/>
  <c r="J93" i="2"/>
  <c r="J92" i="2"/>
  <c r="N92" i="2"/>
  <c r="N93" i="2"/>
  <c r="G45" i="2"/>
  <c r="G42" i="2"/>
  <c r="G40" i="2"/>
  <c r="G38" i="2"/>
  <c r="G43" i="2"/>
  <c r="G39" i="2"/>
  <c r="G44" i="2"/>
  <c r="G41" i="2"/>
  <c r="P13" i="3" l="1"/>
  <c r="Q13" i="3" s="1"/>
  <c r="P12" i="3"/>
  <c r="Q12" i="3" s="1"/>
  <c r="P10" i="3"/>
  <c r="Q10" i="3" s="1"/>
  <c r="P11" i="3"/>
  <c r="Q11" i="3" s="1"/>
  <c r="H3" i="2"/>
  <c r="H2" i="2"/>
  <c r="Q47" i="2"/>
  <c r="P47" i="2"/>
  <c r="K85" i="2"/>
  <c r="H85" i="2"/>
  <c r="Q54" i="2"/>
  <c r="R54" i="2" s="1"/>
  <c r="I85" i="2"/>
  <c r="Q85" i="2" s="1"/>
  <c r="O87" i="2"/>
  <c r="L13" i="3"/>
  <c r="M13" i="3" s="1"/>
  <c r="O88" i="2"/>
  <c r="P52" i="2"/>
  <c r="R52" i="2" s="1"/>
  <c r="O86" i="2"/>
  <c r="K87" i="2"/>
  <c r="O84" i="2"/>
  <c r="Q66" i="2"/>
  <c r="R66" i="2" s="1"/>
  <c r="P91" i="2"/>
  <c r="R91" i="2" s="1"/>
  <c r="K84" i="2"/>
  <c r="I84" i="2"/>
  <c r="Q84" i="2" s="1"/>
  <c r="K83" i="2"/>
  <c r="O89" i="2"/>
  <c r="H91" i="2"/>
  <c r="I7" i="2"/>
  <c r="O7" i="2"/>
  <c r="O83" i="2"/>
  <c r="K88" i="2"/>
  <c r="H83" i="2"/>
  <c r="O90" i="2"/>
  <c r="H88" i="2"/>
  <c r="I90" i="2"/>
  <c r="Q90" i="2" s="1"/>
  <c r="K91" i="2"/>
  <c r="K90" i="2"/>
  <c r="O91" i="2"/>
  <c r="K86" i="2"/>
  <c r="H86" i="2"/>
  <c r="P63" i="2"/>
  <c r="R63" i="2" s="1"/>
  <c r="P79" i="2"/>
  <c r="R79" i="2" s="1"/>
  <c r="Q59" i="2"/>
  <c r="R59" i="2" s="1"/>
  <c r="I87" i="2"/>
  <c r="P87" i="2" s="1"/>
  <c r="K89" i="2"/>
  <c r="H89" i="2"/>
  <c r="P77" i="2"/>
  <c r="R77" i="2" s="1"/>
  <c r="Q48" i="2"/>
  <c r="R48" i="2" s="1"/>
  <c r="Q75" i="2"/>
  <c r="R75" i="2" s="1"/>
  <c r="P51" i="2"/>
  <c r="R51" i="2" s="1"/>
  <c r="Q74" i="2"/>
  <c r="R74" i="2" s="1"/>
  <c r="P70" i="2"/>
  <c r="R70" i="2" s="1"/>
  <c r="P82" i="2"/>
  <c r="R82" i="2" s="1"/>
  <c r="Q57" i="2"/>
  <c r="R57" i="2" s="1"/>
  <c r="P76" i="2"/>
  <c r="R76" i="2" s="1"/>
  <c r="P65" i="2"/>
  <c r="R65" i="2" s="1"/>
  <c r="Q80" i="2"/>
  <c r="R80" i="2" s="1"/>
  <c r="Q61" i="2"/>
  <c r="R61" i="2" s="1"/>
  <c r="Q81" i="2"/>
  <c r="R81" i="2" s="1"/>
  <c r="O3" i="2"/>
  <c r="H4" i="2"/>
  <c r="O4" i="2"/>
  <c r="K4" i="2"/>
  <c r="H10" i="2"/>
  <c r="O10" i="2"/>
  <c r="K10" i="2"/>
  <c r="H5" i="2"/>
  <c r="O5" i="2"/>
  <c r="K5" i="2"/>
  <c r="H8" i="2"/>
  <c r="K8" i="2"/>
  <c r="O8" i="2"/>
  <c r="H9" i="2"/>
  <c r="O9" i="2"/>
  <c r="K9" i="2"/>
  <c r="Q58" i="2"/>
  <c r="R58" i="2" s="1"/>
  <c r="H7" i="2"/>
  <c r="K7" i="2"/>
  <c r="H6" i="2"/>
  <c r="O6" i="2"/>
  <c r="K6" i="2"/>
  <c r="P78" i="2"/>
  <c r="R78" i="2" s="1"/>
  <c r="O2" i="2"/>
  <c r="P2" i="2"/>
  <c r="Q64" i="2"/>
  <c r="R64" i="2" s="1"/>
  <c r="P50" i="2"/>
  <c r="R50" i="2" s="1"/>
  <c r="P56" i="2"/>
  <c r="R56" i="2" s="1"/>
  <c r="P67" i="2"/>
  <c r="R67" i="2" s="1"/>
  <c r="L11" i="3"/>
  <c r="M11" i="3" s="1"/>
  <c r="L10" i="3"/>
  <c r="M10" i="3" s="1"/>
  <c r="L12" i="3"/>
  <c r="M12" i="3" s="1"/>
  <c r="P55" i="2"/>
  <c r="Q55" i="2"/>
  <c r="P60" i="2"/>
  <c r="Q60" i="2"/>
  <c r="Q49" i="2"/>
  <c r="R49" i="2" s="1"/>
  <c r="R69" i="2"/>
  <c r="R53" i="2"/>
  <c r="H43" i="2"/>
  <c r="I43" i="2"/>
  <c r="O43" i="2"/>
  <c r="K43" i="2"/>
  <c r="K25" i="2"/>
  <c r="O25" i="2"/>
  <c r="K15" i="2"/>
  <c r="O15" i="2"/>
  <c r="H33" i="2"/>
  <c r="I33" i="2"/>
  <c r="K33" i="2"/>
  <c r="O33" i="2"/>
  <c r="O27" i="2"/>
  <c r="K27" i="2"/>
  <c r="O26" i="2"/>
  <c r="K26" i="2"/>
  <c r="H36" i="2"/>
  <c r="I36" i="2"/>
  <c r="K36" i="2"/>
  <c r="O36" i="2"/>
  <c r="R71" i="2"/>
  <c r="R72" i="2"/>
  <c r="O16" i="2"/>
  <c r="K16" i="2"/>
  <c r="K19" i="2"/>
  <c r="O19" i="2"/>
  <c r="H32" i="2"/>
  <c r="K32" i="2"/>
  <c r="O32" i="2"/>
  <c r="H37" i="2"/>
  <c r="I37" i="2"/>
  <c r="O37" i="2"/>
  <c r="K37" i="2"/>
  <c r="I46" i="2"/>
  <c r="K46" i="2"/>
  <c r="O46" i="2"/>
  <c r="H40" i="2"/>
  <c r="O40" i="2"/>
  <c r="K40" i="2"/>
  <c r="H29" i="2"/>
  <c r="O29" i="2"/>
  <c r="K29" i="2"/>
  <c r="H20" i="2"/>
  <c r="O20" i="2"/>
  <c r="K20" i="2"/>
  <c r="H45" i="2"/>
  <c r="I45" i="2"/>
  <c r="K45" i="2"/>
  <c r="O45" i="2"/>
  <c r="H13" i="2"/>
  <c r="O13" i="2"/>
  <c r="K13" i="2"/>
  <c r="K14" i="2"/>
  <c r="O14" i="2"/>
  <c r="H34" i="2"/>
  <c r="I34" i="2"/>
  <c r="K34" i="2"/>
  <c r="O34" i="2"/>
  <c r="K28" i="2"/>
  <c r="H39" i="2"/>
  <c r="K39" i="2"/>
  <c r="O39" i="2"/>
  <c r="H38" i="2"/>
  <c r="K38" i="2"/>
  <c r="O38" i="2"/>
  <c r="K11" i="2"/>
  <c r="O11" i="2"/>
  <c r="H35" i="2"/>
  <c r="I35" i="2"/>
  <c r="O35" i="2"/>
  <c r="K35" i="2"/>
  <c r="K21" i="2"/>
  <c r="O21" i="2"/>
  <c r="H42" i="2"/>
  <c r="I42" i="2"/>
  <c r="O42" i="2"/>
  <c r="K42" i="2"/>
  <c r="H46" i="2"/>
  <c r="H12" i="2"/>
  <c r="O12" i="2"/>
  <c r="K12" i="2"/>
  <c r="H31" i="2"/>
  <c r="K31" i="2"/>
  <c r="O31" i="2"/>
  <c r="O24" i="2"/>
  <c r="K24" i="2"/>
  <c r="O22" i="2"/>
  <c r="K22" i="2"/>
  <c r="K17" i="2"/>
  <c r="O17" i="2"/>
  <c r="H41" i="2"/>
  <c r="K41" i="2"/>
  <c r="O41" i="2"/>
  <c r="H44" i="2"/>
  <c r="I44" i="2"/>
  <c r="O44" i="2"/>
  <c r="K44" i="2"/>
  <c r="O18" i="2"/>
  <c r="K18" i="2"/>
  <c r="H30" i="2"/>
  <c r="K30" i="2"/>
  <c r="O30" i="2"/>
  <c r="K23" i="2"/>
  <c r="O23" i="2"/>
  <c r="R68" i="2"/>
  <c r="P88" i="2"/>
  <c r="Q88" i="2"/>
  <c r="Q83" i="2"/>
  <c r="P83" i="2"/>
  <c r="P89" i="2"/>
  <c r="Q89" i="2"/>
  <c r="P86" i="2"/>
  <c r="Q86" i="2"/>
  <c r="I13" i="2"/>
  <c r="I23" i="2"/>
  <c r="H23" i="2"/>
  <c r="I25" i="2"/>
  <c r="H25" i="2"/>
  <c r="H21" i="2"/>
  <c r="I21" i="2"/>
  <c r="H28" i="2"/>
  <c r="I28" i="2"/>
  <c r="I26" i="2"/>
  <c r="H26" i="2"/>
  <c r="H27" i="2"/>
  <c r="I27" i="2"/>
  <c r="I24" i="2"/>
  <c r="H24" i="2"/>
  <c r="I22" i="2"/>
  <c r="H22" i="2"/>
  <c r="I17" i="2"/>
  <c r="H17" i="2"/>
  <c r="H11" i="2"/>
  <c r="G92" i="2"/>
  <c r="G93" i="2"/>
  <c r="I18" i="2"/>
  <c r="H18" i="2"/>
  <c r="I16" i="2"/>
  <c r="H16" i="2"/>
  <c r="I19" i="2"/>
  <c r="H19" i="2"/>
  <c r="H15" i="2"/>
  <c r="I15" i="2"/>
  <c r="H14" i="2"/>
  <c r="I14" i="2"/>
  <c r="I10" i="2"/>
  <c r="I9" i="2"/>
  <c r="I6" i="2"/>
  <c r="I8" i="2"/>
  <c r="I11" i="2"/>
  <c r="I29" i="2"/>
  <c r="I40" i="2"/>
  <c r="I12" i="2"/>
  <c r="I32" i="2"/>
  <c r="I5" i="2"/>
  <c r="I20" i="2"/>
  <c r="I31" i="2"/>
  <c r="I4" i="2"/>
  <c r="I30" i="2"/>
  <c r="I3" i="2"/>
  <c r="I39" i="2"/>
  <c r="I41" i="2"/>
  <c r="I38" i="2"/>
  <c r="P9" i="3" l="1"/>
  <c r="Q9" i="3" s="1"/>
  <c r="P8" i="3"/>
  <c r="Q8" i="3" s="1"/>
  <c r="P7" i="3"/>
  <c r="Q7" i="3" s="1"/>
  <c r="P6" i="3"/>
  <c r="Q6" i="3" s="1"/>
  <c r="P14" i="3"/>
  <c r="Q14" i="3" s="1"/>
  <c r="P5" i="3"/>
  <c r="Q5" i="3" s="1"/>
  <c r="L5" i="3"/>
  <c r="M5" i="3" s="1"/>
  <c r="R47" i="2"/>
  <c r="P85" i="2"/>
  <c r="R85" i="2" s="1"/>
  <c r="P90" i="2"/>
  <c r="R90" i="2" s="1"/>
  <c r="P84" i="2"/>
  <c r="R84" i="2" s="1"/>
  <c r="Q87" i="2"/>
  <c r="R87" i="2" s="1"/>
  <c r="L14" i="3"/>
  <c r="M14" i="3" s="1"/>
  <c r="R55" i="2"/>
  <c r="R60" i="2"/>
  <c r="L6" i="3"/>
  <c r="M6" i="3" s="1"/>
  <c r="L7" i="3"/>
  <c r="M7" i="3" s="1"/>
  <c r="O92" i="2"/>
  <c r="L9" i="3"/>
  <c r="M9" i="3" s="1"/>
  <c r="P31" i="2"/>
  <c r="Q31" i="2"/>
  <c r="P27" i="2"/>
  <c r="Q27" i="2"/>
  <c r="L8" i="3"/>
  <c r="M8" i="3" s="1"/>
  <c r="P46" i="2"/>
  <c r="Q46" i="2"/>
  <c r="P36" i="2"/>
  <c r="Q36" i="2"/>
  <c r="Q17" i="2"/>
  <c r="P17" i="2"/>
  <c r="Q33" i="2"/>
  <c r="P33" i="2"/>
  <c r="P43" i="2"/>
  <c r="Q43" i="2"/>
  <c r="Q4" i="2"/>
  <c r="P4" i="2"/>
  <c r="Q15" i="2"/>
  <c r="P15" i="2"/>
  <c r="P8" i="2"/>
  <c r="Q8" i="2"/>
  <c r="Q6" i="2"/>
  <c r="P6" i="2"/>
  <c r="Q38" i="2"/>
  <c r="P38" i="2"/>
  <c r="P19" i="2"/>
  <c r="Q19" i="2"/>
  <c r="P44" i="2"/>
  <c r="Q44" i="2"/>
  <c r="P32" i="2"/>
  <c r="Q32" i="2"/>
  <c r="Q26" i="2"/>
  <c r="P26" i="2"/>
  <c r="Q39" i="2"/>
  <c r="P39" i="2"/>
  <c r="Q12" i="2"/>
  <c r="P12" i="2"/>
  <c r="P10" i="2"/>
  <c r="Q10" i="2"/>
  <c r="P16" i="2"/>
  <c r="Q16" i="2"/>
  <c r="Q28" i="2"/>
  <c r="P28" i="2"/>
  <c r="Q13" i="2"/>
  <c r="P13" i="2"/>
  <c r="O93" i="2"/>
  <c r="Q35" i="2"/>
  <c r="P35" i="2"/>
  <c r="P34" i="2"/>
  <c r="Q34" i="2"/>
  <c r="Q20" i="2"/>
  <c r="P20" i="2"/>
  <c r="Q25" i="2"/>
  <c r="P25" i="2"/>
  <c r="P9" i="2"/>
  <c r="Q9" i="2"/>
  <c r="Q7" i="2"/>
  <c r="P7" i="2"/>
  <c r="P3" i="2"/>
  <c r="Q3" i="2"/>
  <c r="P40" i="2"/>
  <c r="Q40" i="2"/>
  <c r="P14" i="2"/>
  <c r="Q14" i="2"/>
  <c r="Q22" i="2"/>
  <c r="P22" i="2"/>
  <c r="Q45" i="2"/>
  <c r="P45" i="2"/>
  <c r="Q37" i="2"/>
  <c r="P37" i="2"/>
  <c r="Q11" i="2"/>
  <c r="P11" i="2"/>
  <c r="P24" i="2"/>
  <c r="Q24" i="2"/>
  <c r="P5" i="2"/>
  <c r="Q5" i="2"/>
  <c r="Q41" i="2"/>
  <c r="P41" i="2"/>
  <c r="Q23" i="2"/>
  <c r="P23" i="2"/>
  <c r="P30" i="2"/>
  <c r="Q30" i="2"/>
  <c r="P29" i="2"/>
  <c r="Q29" i="2"/>
  <c r="P18" i="2"/>
  <c r="Q18" i="2"/>
  <c r="Q21" i="2"/>
  <c r="P21" i="2"/>
  <c r="P42" i="2"/>
  <c r="Q42" i="2"/>
  <c r="R88" i="2"/>
  <c r="R89" i="2"/>
  <c r="R86" i="2"/>
  <c r="R83" i="2"/>
  <c r="I93" i="2"/>
  <c r="I92" i="2"/>
  <c r="H92" i="2"/>
  <c r="H93" i="2"/>
  <c r="K93" i="2"/>
  <c r="K92" i="2"/>
  <c r="Q2" i="2"/>
  <c r="AA2" i="3" l="1"/>
  <c r="Q93" i="2" s="1"/>
  <c r="M15" i="3"/>
  <c r="Q16" i="3"/>
  <c r="R5" i="3" s="1"/>
  <c r="P16" i="3"/>
  <c r="R22" i="2"/>
  <c r="R17" i="2"/>
  <c r="R28" i="2"/>
  <c r="R7" i="2"/>
  <c r="R26" i="2"/>
  <c r="R38" i="2"/>
  <c r="R15" i="2"/>
  <c r="R4" i="2"/>
  <c r="R39" i="2"/>
  <c r="R36" i="2"/>
  <c r="R6" i="2"/>
  <c r="R46" i="2"/>
  <c r="R21" i="2"/>
  <c r="R23" i="2"/>
  <c r="R11" i="2"/>
  <c r="R18" i="2"/>
  <c r="R40" i="2"/>
  <c r="R45" i="2"/>
  <c r="L16" i="3"/>
  <c r="R29" i="2"/>
  <c r="R20" i="2"/>
  <c r="R5" i="2"/>
  <c r="R3" i="2"/>
  <c r="R44" i="2"/>
  <c r="R8" i="2"/>
  <c r="L15" i="3"/>
  <c r="P15" i="3"/>
  <c r="R24" i="2"/>
  <c r="R13" i="2"/>
  <c r="R12" i="2"/>
  <c r="R33" i="2"/>
  <c r="R19" i="2"/>
  <c r="R14" i="2"/>
  <c r="R41" i="2"/>
  <c r="R37" i="2"/>
  <c r="R25" i="2"/>
  <c r="R35" i="2"/>
  <c r="R16" i="2"/>
  <c r="R27" i="2"/>
  <c r="R30" i="2"/>
  <c r="R34" i="2"/>
  <c r="R42" i="2"/>
  <c r="R9" i="2"/>
  <c r="P92" i="2"/>
  <c r="P93" i="2"/>
  <c r="R10" i="2"/>
  <c r="R32" i="2"/>
  <c r="R43" i="2"/>
  <c r="R31" i="2"/>
  <c r="R2" i="2"/>
  <c r="Q92" i="2"/>
  <c r="S5" i="3" l="1"/>
  <c r="M16" i="3"/>
  <c r="N5" i="3" s="1"/>
  <c r="O5" i="3" s="1"/>
  <c r="R93" i="2"/>
  <c r="Q15" i="3"/>
  <c r="R92" i="2"/>
  <c r="R10" i="3"/>
  <c r="S10" i="3" s="1"/>
  <c r="R11" i="3"/>
  <c r="S11" i="3" s="1"/>
  <c r="R12" i="3"/>
  <c r="S12" i="3" s="1"/>
  <c r="R13" i="3"/>
  <c r="S13" i="3" s="1"/>
  <c r="R6" i="3"/>
  <c r="R14" i="3"/>
  <c r="S14" i="3" s="1"/>
  <c r="R7" i="3"/>
  <c r="S7" i="3" s="1"/>
  <c r="R8" i="3"/>
  <c r="S8" i="3" s="1"/>
  <c r="R9" i="3"/>
  <c r="S9" i="3" s="1"/>
  <c r="S6" i="3" l="1"/>
  <c r="S16" i="3" s="1"/>
  <c r="R16" i="3"/>
  <c r="R15" i="3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6" i="3"/>
  <c r="N8" i="3"/>
  <c r="O8" i="3" s="1"/>
  <c r="N7" i="3"/>
  <c r="O7" i="3" s="1"/>
  <c r="S15" i="3" l="1"/>
  <c r="O6" i="3"/>
  <c r="O16" i="3" s="1"/>
  <c r="T16" i="3" s="1"/>
  <c r="N16" i="3"/>
  <c r="N15" i="3"/>
  <c r="T18" i="3" l="1"/>
  <c r="O15" i="3"/>
  <c r="U16" i="3" l="1"/>
</calcChain>
</file>

<file path=xl/sharedStrings.xml><?xml version="1.0" encoding="utf-8"?>
<sst xmlns="http://schemas.openxmlformats.org/spreadsheetml/2006/main" count="366" uniqueCount="175">
  <si>
    <t>Auto_fixed_cost (dollar/trip)</t>
  </si>
  <si>
    <t>Auto_variable_cost (dollar/trip)</t>
  </si>
  <si>
    <t>Auto_Cost (dollar/trip)</t>
  </si>
  <si>
    <t>Auto_Travel time (hour)</t>
  </si>
  <si>
    <t>Transit_Cost (dollar/trip)</t>
  </si>
  <si>
    <t>Transit_Travel time (hour)</t>
  </si>
  <si>
    <t>AB</t>
  </si>
  <si>
    <t>AC</t>
  </si>
  <si>
    <t>AD</t>
  </si>
  <si>
    <t>AE</t>
  </si>
  <si>
    <t>BA</t>
  </si>
  <si>
    <t>BC</t>
  </si>
  <si>
    <t>BD</t>
  </si>
  <si>
    <t>BE</t>
  </si>
  <si>
    <t>CA</t>
  </si>
  <si>
    <t>CB</t>
  </si>
  <si>
    <t>CD</t>
  </si>
  <si>
    <t>CE</t>
  </si>
  <si>
    <t>DA</t>
  </si>
  <si>
    <t>DB</t>
  </si>
  <si>
    <t>DC</t>
  </si>
  <si>
    <t>DE</t>
  </si>
  <si>
    <t>EA</t>
  </si>
  <si>
    <t>EB</t>
  </si>
  <si>
    <t>EC</t>
  </si>
  <si>
    <t>ED</t>
  </si>
  <si>
    <t>OD</t>
  </si>
  <si>
    <t>Hourly salary (dollar)</t>
  </si>
  <si>
    <t>VOT</t>
  </si>
  <si>
    <t>Auto utility</t>
  </si>
  <si>
    <t xml:space="preserve"> Base transit utility</t>
  </si>
  <si>
    <t>estimated_od_volume</t>
  </si>
  <si>
    <t>destination trip rate</t>
  </si>
  <si>
    <t>total_trip_rate</t>
  </si>
  <si>
    <t>Total number of travelers sbetween A and B</t>
  </si>
  <si>
    <t>Base prob transit</t>
  </si>
  <si>
    <t>Base accessibility</t>
  </si>
  <si>
    <t xml:space="preserve">Subsidy </t>
  </si>
  <si>
    <t xml:space="preserve">Adjusted transit utility </t>
  </si>
  <si>
    <t>Adjusted prob</t>
  </si>
  <si>
    <t>Adjusted accessibility</t>
  </si>
  <si>
    <t>Revenue</t>
  </si>
  <si>
    <t>Subsidy cost</t>
  </si>
  <si>
    <t>Mean</t>
  </si>
  <si>
    <t>Sum</t>
  </si>
  <si>
    <t xml:space="preserve">Market price of 1 equity metric </t>
  </si>
  <si>
    <t>Zip code</t>
  </si>
  <si>
    <t>Population</t>
  </si>
  <si>
    <t>Trip rate</t>
  </si>
  <si>
    <t>Trip production</t>
  </si>
  <si>
    <t>Trip production rate</t>
  </si>
  <si>
    <t>Annual income per capita</t>
  </si>
  <si>
    <t>Hourly salary</t>
  </si>
  <si>
    <t>Threshold_accessibility</t>
  </si>
  <si>
    <t>Generalized_travel_cost</t>
  </si>
  <si>
    <t>Base_accessibility</t>
  </si>
  <si>
    <t>Base accessibility-pop weighted</t>
  </si>
  <si>
    <t>Base entropy</t>
  </si>
  <si>
    <t>Theil base</t>
  </si>
  <si>
    <t>Pop weighed accessibility</t>
  </si>
  <si>
    <t>Adjusted entropy</t>
  </si>
  <si>
    <t xml:space="preserve">Theil </t>
  </si>
  <si>
    <t>Equity improvement</t>
  </si>
  <si>
    <t>Equity improvement value</t>
  </si>
  <si>
    <t>baseline_target_ratio</t>
  </si>
  <si>
    <t>baseline_target</t>
  </si>
  <si>
    <t>test 1</t>
  </si>
  <si>
    <t>test 2</t>
  </si>
  <si>
    <t xml:space="preserve"> 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</si>
  <si>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</si>
  <si>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</si>
  <si>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</si>
  <si>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</si>
  <si>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</si>
  <si>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</si>
  <si>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</si>
  <si>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</si>
  <si>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</si>
  <si>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</si>
  <si>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</si>
  <si>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</si>
  <si>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</si>
  <si>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</si>
  <si>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</si>
  <si>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</si>
  <si>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</si>
  <si>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</si>
  <si>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</si>
  <si>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AF</t>
  </si>
  <si>
    <t>AG</t>
  </si>
  <si>
    <t>AH</t>
  </si>
  <si>
    <t>AI</t>
  </si>
  <si>
    <t>AK</t>
  </si>
  <si>
    <t>BF</t>
  </si>
  <si>
    <t>BG</t>
  </si>
  <si>
    <t>BH</t>
  </si>
  <si>
    <t>BI</t>
  </si>
  <si>
    <t>BJ</t>
  </si>
  <si>
    <t>CF</t>
  </si>
  <si>
    <t>CG</t>
  </si>
  <si>
    <t>CH</t>
  </si>
  <si>
    <t>CI</t>
  </si>
  <si>
    <t>CJ</t>
  </si>
  <si>
    <t>DF</t>
  </si>
  <si>
    <t>DG</t>
  </si>
  <si>
    <t>DH</t>
  </si>
  <si>
    <t>DI</t>
  </si>
  <si>
    <t>DJ</t>
  </si>
  <si>
    <t>EF</t>
  </si>
  <si>
    <t>EG</t>
  </si>
  <si>
    <t>EH</t>
  </si>
  <si>
    <t>EI</t>
  </si>
  <si>
    <t>EJ</t>
  </si>
  <si>
    <t>FA</t>
  </si>
  <si>
    <t>FB</t>
  </si>
  <si>
    <t>FC</t>
  </si>
  <si>
    <t>FD</t>
  </si>
  <si>
    <t>FE</t>
  </si>
  <si>
    <t>FG</t>
  </si>
  <si>
    <t>FH</t>
  </si>
  <si>
    <t>FI</t>
  </si>
  <si>
    <t>FJ</t>
  </si>
  <si>
    <t>GA</t>
  </si>
  <si>
    <t>GB</t>
  </si>
  <si>
    <t>GC</t>
  </si>
  <si>
    <t>GD</t>
  </si>
  <si>
    <t>GE</t>
  </si>
  <si>
    <t>GF</t>
  </si>
  <si>
    <t>GH</t>
  </si>
  <si>
    <t>GI</t>
  </si>
  <si>
    <t>GJ</t>
  </si>
  <si>
    <t>HA</t>
  </si>
  <si>
    <t>HB</t>
  </si>
  <si>
    <t>HC</t>
  </si>
  <si>
    <t>HD</t>
  </si>
  <si>
    <t>HE</t>
  </si>
  <si>
    <t>HF</t>
  </si>
  <si>
    <t>HG</t>
  </si>
  <si>
    <t>HJ</t>
  </si>
  <si>
    <t>HI</t>
  </si>
  <si>
    <t>IA</t>
  </si>
  <si>
    <t>IB</t>
  </si>
  <si>
    <t>IC</t>
  </si>
  <si>
    <t>ID</t>
  </si>
  <si>
    <t>IE</t>
  </si>
  <si>
    <t>IF</t>
  </si>
  <si>
    <t>IG</t>
  </si>
  <si>
    <t>IH</t>
  </si>
  <si>
    <t>IJ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</si>
  <si>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</si>
  <si>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</si>
  <si>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</si>
  <si>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</si>
  <si>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</si>
  <si>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</si>
  <si>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</si>
  <si>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</si>
  <si>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</si>
  <si>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Total Revenue</t>
  </si>
  <si>
    <t>Accesibility</t>
  </si>
  <si>
    <t xml:space="preserve">Price per 0.00001 equity metric </t>
  </si>
  <si>
    <t>inequality metrics</t>
  </si>
  <si>
    <t>equity improvement</t>
  </si>
  <si>
    <t>TEC credits</t>
  </si>
  <si>
    <t>Ticket sale income</t>
  </si>
  <si>
    <t xml:space="preserve">Total revenue </t>
  </si>
  <si>
    <t>zip 20707</t>
  </si>
  <si>
    <t>Ticket sale income - Subsidy cost</t>
  </si>
  <si>
    <t>price of 0.00001 equity credit($)</t>
  </si>
  <si>
    <t>Inequality metrics</t>
  </si>
  <si>
    <t xml:space="preserve">Equity improvement </t>
  </si>
  <si>
    <t>Percentage</t>
  </si>
  <si>
    <t xml:space="preserve">Achieve the target </t>
  </si>
  <si>
    <t xml:space="preserve">Baseline </t>
  </si>
  <si>
    <t>TEC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</si>
</sst>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0"/>
    <numFmt numFmtId="165" formatCode="0.000%"/>
    <numFmt numFmtId="166" formatCode="0.000"/>
    <numFmt numFmtId="167" formatCode="0.00000"/>
    <numFmt numFmtId="168" formatCode="0.000000000"/>
    <numFmt numFmtId="169" formatCode="&quot;$&quot;#,##0.00"/>
    <numFmt numFmtId="170" formatCode="#,##0.00000"/>
    <numFmt numFmtId="171" formatCode="#,##0.000000"/>
    <numFmt numFmtId="172" formatCode="0.00000000000"/>
    <numFmt numFmtId="173" formatCode="#,##0.000000000"/>
    <numFmt numFmtId="174" formatCode="#,##0.0000000000000"/>
    <numFmt numFmtId="175" formatCode="#,##0.0000"/>
    <numFmt numFmtId="176" formatCode="&quot;$&quot;#,##0.00000"/>
    <numFmt numFmtId="177" formatCode="#,##0.0"/>
    <numFmt numFmtId="178" formatCode="0.000000"/>
    <numFmt numFmtId="179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3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2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168" fontId="2" fillId="0" borderId="0" xfId="2" applyNumberFormat="1" applyFill="1" applyBorder="1"/>
    <xf numFmtId="0" fontId="2" fillId="0" borderId="0" xfId="2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8" fillId="0" borderId="1" xfId="2" applyFont="1" applyFill="1" applyAlignment="1">
      <alignment horizontal="center"/>
    </xf>
    <xf numFmtId="4" fontId="0" fillId="0" borderId="2" xfId="0" applyNumberFormat="1" applyBorder="1" applyAlignment="1">
      <alignment horizontal="center"/>
    </xf>
    <xf numFmtId="0" fontId="8" fillId="0" borderId="1" xfId="2" applyFont="1" applyFill="1"/>
    <xf numFmtId="170" fontId="5" fillId="0" borderId="2" xfId="0" applyNumberFormat="1" applyFont="1" applyBorder="1" applyAlignment="1">
      <alignment horizontal="center"/>
    </xf>
    <xf numFmtId="170" fontId="8" fillId="0" borderId="1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7" xfId="0" applyBorder="1"/>
    <xf numFmtId="0" fontId="3" fillId="0" borderId="0" xfId="0" applyFont="1"/>
    <xf numFmtId="164" fontId="7" fillId="0" borderId="2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4" fontId="5" fillId="0" borderId="2" xfId="2" applyNumberFormat="1" applyFont="1" applyFill="1" applyBorder="1" applyAlignment="1">
      <alignment horizontal="center"/>
    </xf>
    <xf numFmtId="166" fontId="5" fillId="0" borderId="2" xfId="2" applyNumberFormat="1" applyFont="1" applyFill="1" applyBorder="1" applyAlignment="1">
      <alignment horizontal="center"/>
    </xf>
    <xf numFmtId="0" fontId="5" fillId="0" borderId="2" xfId="0" applyFont="1" applyBorder="1"/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5" fillId="0" borderId="0" xfId="0" applyNumberFormat="1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8" fillId="0" borderId="0" xfId="2" applyFont="1" applyFill="1" applyBorder="1"/>
    <xf numFmtId="4" fontId="0" fillId="0" borderId="0" xfId="0" applyNumberFormat="1" applyAlignment="1">
      <alignment horizontal="center"/>
    </xf>
    <xf numFmtId="170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3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0" fontId="0" fillId="0" borderId="3" xfId="0" applyBorder="1"/>
    <xf numFmtId="4" fontId="0" fillId="0" borderId="0" xfId="0" applyNumberFormat="1"/>
    <xf numFmtId="4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2" fontId="4" fillId="5" borderId="2" xfId="0" applyNumberFormat="1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0" borderId="6" xfId="0" applyBorder="1"/>
    <xf numFmtId="2" fontId="6" fillId="5" borderId="2" xfId="0" applyNumberFormat="1" applyFont="1" applyFill="1" applyBorder="1" applyAlignment="1">
      <alignment horizontal="center"/>
    </xf>
    <xf numFmtId="2" fontId="7" fillId="5" borderId="2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8" fillId="0" borderId="2" xfId="2" applyNumberFormat="1" applyFon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6" xfId="0" applyNumberFormat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4" fillId="5" borderId="16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5" fillId="5" borderId="2" xfId="2" applyNumberFormat="1" applyFont="1" applyFill="1" applyBorder="1" applyAlignment="1">
      <alignment horizontal="center"/>
    </xf>
    <xf numFmtId="166" fontId="5" fillId="5" borderId="2" xfId="2" applyNumberFormat="1" applyFont="1" applyFill="1" applyBorder="1" applyAlignment="1">
      <alignment horizontal="center"/>
    </xf>
    <xf numFmtId="0" fontId="5" fillId="5" borderId="2" xfId="0" applyFont="1" applyFill="1" applyBorder="1"/>
    <xf numFmtId="0" fontId="5" fillId="5" borderId="2" xfId="0" applyFont="1" applyFill="1" applyBorder="1" applyAlignment="1">
      <alignment horizontal="center"/>
    </xf>
    <xf numFmtId="0" fontId="0" fillId="5" borderId="0" xfId="0" applyFill="1"/>
    <xf numFmtId="165" fontId="0" fillId="5" borderId="2" xfId="1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67" fontId="5" fillId="5" borderId="2" xfId="0" applyNumberFormat="1" applyFont="1" applyFill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2" borderId="14" xfId="2" applyFont="1" applyBorder="1" applyAlignment="1">
      <alignment horizontal="center"/>
    </xf>
    <xf numFmtId="0" fontId="5" fillId="4" borderId="14" xfId="2" applyFont="1" applyFill="1" applyBorder="1" applyAlignment="1">
      <alignment horizontal="center"/>
    </xf>
    <xf numFmtId="0" fontId="5" fillId="2" borderId="15" xfId="2" applyFont="1" applyBorder="1" applyAlignment="1">
      <alignment horizontal="center"/>
    </xf>
    <xf numFmtId="165" fontId="0" fillId="5" borderId="0" xfId="0" applyNumberFormat="1" applyFill="1"/>
    <xf numFmtId="171" fontId="0" fillId="0" borderId="0" xfId="0" applyNumberFormat="1" applyAlignment="1">
      <alignment horizontal="center"/>
    </xf>
    <xf numFmtId="170" fontId="0" fillId="0" borderId="2" xfId="0" applyNumberFormat="1" applyBorder="1" applyAlignment="1">
      <alignment horizontal="center"/>
    </xf>
    <xf numFmtId="168" fontId="8" fillId="0" borderId="1" xfId="2" applyNumberFormat="1" applyFont="1" applyFill="1" applyAlignment="1">
      <alignment horizontal="center"/>
    </xf>
    <xf numFmtId="168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74" fontId="8" fillId="0" borderId="13" xfId="0" applyNumberFormat="1" applyFont="1" applyBorder="1" applyAlignment="1">
      <alignment horizontal="center"/>
    </xf>
    <xf numFmtId="175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72" fontId="0" fillId="0" borderId="0" xfId="0" applyNumberFormat="1"/>
    <xf numFmtId="176" fontId="0" fillId="0" borderId="1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0" fontId="8" fillId="0" borderId="2" xfId="0" applyNumberFormat="1" applyFont="1" applyBorder="1" applyAlignment="1">
      <alignment horizontal="center"/>
    </xf>
    <xf numFmtId="174" fontId="8" fillId="0" borderId="2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75758"/>
      <color rgb="FF434343"/>
      <color rgb="FF2D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'EXP1'!$T$21</c:f>
              <c:strCache>
                <c:ptCount val="1"/>
                <c:pt idx="0">
                  <c:v>Ticket sale income - Subsidy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'EXP1'!$O$22:$O$32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'EXP1'!$T$22:$T$32</c:f>
              <c:numCache>
                <c:formatCode>0.0</c:formatCode>
                <c:ptCount val="11"/>
                <c:pt idx="0">
                  <c:v>23193.558744077247</c:v>
                </c:pt>
                <c:pt idx="1">
                  <c:v>23532.808845752606</c:v>
                </c:pt>
                <c:pt idx="2">
                  <c:v>23823.959330803787</c:v>
                </c:pt>
                <c:pt idx="3">
                  <c:v>24037.109397935743</c:v>
                </c:pt>
                <c:pt idx="4">
                  <c:v>24135.993388523337</c:v>
                </c:pt>
                <c:pt idx="5">
                  <c:v>24078.337198283582</c:v>
                </c:pt>
                <c:pt idx="6">
                  <c:v>23816.91808478428</c:v>
                </c:pt>
                <c:pt idx="7">
                  <c:v>23301.42011165373</c:v>
                </c:pt>
                <c:pt idx="8">
                  <c:v>22481.05772188527</c:v>
                </c:pt>
                <c:pt idx="9">
                  <c:v>21307.783213100938</c:v>
                </c:pt>
                <c:pt idx="10">
                  <c:v>19739.735360668543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858-A28B-88D15D391481}"/>
            </c:ext>
          </c:extLst>
        </c:ser>
        <c:ser>
          <c:idx val="2"/>
          <c:order val="2"/>
          <c:tx>
            <c:strRef>
              <c:f>'EXP1'!$V$21</c:f>
              <c:strCache>
                <c:ptCount val="1"/>
                <c:pt idx="0">
                  <c:v>Total revenue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'EXP1'!$O$22:$O$32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'EXP1'!$V$22:$V$32</c:f>
              <c:numCache>
                <c:formatCode>0.0</c:formatCode>
                <c:ptCount val="11"/>
                <c:pt idx="0">
                  <c:v>23193.558744077247</c:v>
                </c:pt>
                <c:pt idx="1">
                  <c:v>23747.599581880775</c:v>
                </c:pt>
                <c:pt idx="2">
                  <c:v>24242.175366427407</c:v>
                </c:pt>
                <c:pt idx="3">
                  <c:v>24648.050704515463</c:v>
                </c:pt>
                <c:pt idx="4">
                  <c:v>24933.789369778813</c:v>
                </c:pt>
                <c:pt idx="5">
                  <c:v>25054.893215468284</c:v>
                </c:pt>
                <c:pt idx="6">
                  <c:v>24962.611328339382</c:v>
                </c:pt>
                <c:pt idx="7">
                  <c:v>24607.153095673719</c:v>
                </c:pt>
                <c:pt idx="8">
                  <c:v>23938.217676127351</c:v>
                </c:pt>
                <c:pt idx="9">
                  <c:v>22908.205546669033</c:v>
                </c:pt>
                <c:pt idx="10">
                  <c:v>21475.670699582315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858-A28B-88D15D39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73791"/>
        <c:axId val="342550687"/>
      </c:lineChart>
      <c:lineChart>
        <c:grouping val="standard"/>
        <c:varyColors val="0"/>
        <c:ser>
          <c:idx val="1"/>
          <c:order val="1"/>
          <c:tx>
            <c:strRef>
              <c:f>'EXP1'!$U$21</c:f>
              <c:strCache>
                <c:ptCount val="1"/>
                <c:pt idx="0">
                  <c:v>TEC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'EXP1'!$O$22:$O$32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'EXP1'!$U$22:$U$32</c:f>
              <c:numCache>
                <c:formatCode>0.0</c:formatCode>
                <c:ptCount val="11"/>
                <c:pt idx="0">
                  <c:v>0</c:v>
                </c:pt>
                <c:pt idx="1">
                  <c:v>214.79073612816757</c:v>
                </c:pt>
                <c:pt idx="2">
                  <c:v>418.21603562361975</c:v>
                </c:pt>
                <c:pt idx="3">
                  <c:v>610.94130657971812</c:v>
                </c:pt>
                <c:pt idx="4">
                  <c:v>797.79598125547659</c:v>
                </c:pt>
                <c:pt idx="5">
                  <c:v>976.55601718470427</c:v>
                </c:pt>
                <c:pt idx="6">
                  <c:v>1145.693243555103</c:v>
                </c:pt>
                <c:pt idx="7">
                  <c:v>1305.7329840199902</c:v>
                </c:pt>
                <c:pt idx="8">
                  <c:v>1457.1599542420793</c:v>
                </c:pt>
                <c:pt idx="9">
                  <c:v>1600.4223335680954</c:v>
                </c:pt>
                <c:pt idx="10">
                  <c:v>1735.9353389137716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858-A28B-88D15D39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31135"/>
        <c:axId val="342502847"/>
      </c:lineChart>
      <c:catAx>
        <c:axId val="42317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Subsidies allocated</a:t>
                </a:r>
                <a:r>
                  <a:rPr lang="en-US" baseline="0"/>
                  <a:t> to</a:t>
                </a:r>
                <a:r>
                  <a:rPr lang="en-US"/>
                  <a:t> trips from zip code 20707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550687"/>
        <c:crosses val="autoZero"/>
        <c:auto val="1"/>
        <c:lblAlgn val="ctr"/>
        <c:lblOffset val="100"/>
        <c:noMultiLvlLbl val="0"/>
      </c:catAx>
      <c:valAx>
        <c:axId val="342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173791"/>
        <c:crosses val="autoZero"/>
        <c:crossBetween val="between"/>
      </c:valAx>
      <c:valAx>
        <c:axId val="3425028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TEC income (dollars) </a:t>
                </a:r>
              </a:p>
            </c:rich>
          </c:tx>
          <c:layout>
            <c:manualLayout>
              <c:xMode val="edge"/>
              <c:yMode val="edge"/>
              <c:x val="0.94807515963807087"/>
              <c:y val="0.33340164297644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931135"/>
        <c:crosses val="max"/>
        <c:crossBetween val="between"/>
      </c:valAx>
      <c:catAx>
        <c:axId val="295931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0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Transit accessibility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'EXP2'!$B$2:$B$12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'EXP2'!$C$2:$C$12</c:f>
              <c:numCache>
                <c:formatCode>#,##0.0000</c:formatCode>
                <c:ptCount val="11"/>
                <c:pt idx="0">
                  <c:v>0.58595646367241117</c:v>
                </c:pt>
                <c:pt idx="1">
                  <c:v>0.58463723524115485</c:v>
                </c:pt>
                <c:pt idx="2">
                  <c:v>0.58407883004199679</c:v>
                </c:pt>
                <c:pt idx="3">
                  <c:v>0.58520496323519366</c:v>
                </c:pt>
                <c:pt idx="4">
                  <c:v>0.58553725132230372</c:v>
                </c:pt>
                <c:pt idx="5">
                  <c:v>0.58760016933721682</c:v>
                </c:pt>
                <c:pt idx="6">
                  <c:v>0.58736981091968121</c:v>
                </c:pt>
                <c:pt idx="7">
                  <c:v>0.58788615730245797</c:v>
                </c:pt>
                <c:pt idx="8" formatCode="0.00000">
                  <c:v>0.58829909624581711</c:v>
                </c:pt>
                <c:pt idx="9">
                  <c:v>0.58845773017951086</c:v>
                </c:pt>
                <c:pt idx="10">
                  <c:v>0.58893573109862463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0-9444-B33F-451C4252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943424"/>
        <c:axId val="1464261728"/>
      </c:barChart>
      <c:lineChart>
        <c:grouping val="standard"/>
        <c:varyColors val="0"/>
        <c:ser>
          <c:idx val="1"/>
          <c:order val="1"/>
          <c:tx>
            <c:v>Inequality metrics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'EXP2'!$D$2:$D$12</c:f>
              <c:numCache>
                <c:formatCode>0.000000000</c:formatCode>
                <c:ptCount val="11"/>
                <c:pt idx="0">
                  <c:v>7.7590091529843849E-2</c:v>
                </c:pt>
                <c:pt idx="1">
                  <c:v>6.5995541507843175E-2</c:v>
                </c:pt>
                <c:pt idx="2">
                  <c:v>6.4553162447773232E-2</c:v>
                </c:pt>
                <c:pt idx="3">
                  <c:v>6.2862498854613508E-2</c:v>
                </c:pt>
                <c:pt idx="4">
                  <c:v>6.2318476350243304E-2</c:v>
                </c:pt>
                <c:pt idx="5">
                  <c:v>6.1112146175227852E-2</c:v>
                </c:pt>
                <c:pt idx="6">
                  <c:v>6.0599130246835775E-2</c:v>
                </c:pt>
                <c:pt idx="7">
                  <c:v>6.0090121955054289E-2</c:v>
                </c:pt>
                <c:pt idx="8" formatCode="0.0000">
                  <c:v>5.9629433370255842E-2</c:v>
                </c:pt>
                <c:pt idx="9">
                  <c:v>5.9626474860218097E-2</c:v>
                </c:pt>
                <c:pt idx="10">
                  <c:v>5.9211781834399527E-2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0-9444-B33F-451C4252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1631"/>
        <c:axId val="1179745551"/>
      </c:lineChart>
      <c:catAx>
        <c:axId val="146394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TEC price ($ 1 per 0.00001 equity improvement)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4261728"/>
        <c:crosses val="autoZero"/>
        <c:auto val="1"/>
        <c:lblAlgn val="ctr"/>
        <c:lblOffset val="100"/>
        <c:noMultiLvlLbl val="0"/>
      </c:catAx>
      <c:valAx>
        <c:axId val="14642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Trasit accessibility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3943424"/>
        <c:crosses val="autoZero"/>
        <c:crossBetween val="between"/>
      </c:valAx>
      <c:valAx>
        <c:axId val="1179745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Inequality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31631"/>
        <c:crosses val="max"/>
        <c:crossBetween val="between"/>
      </c:valAx>
      <c:catAx>
        <c:axId val="187631631"/>
        <c:scaling>
          <c:orientation val="minMax"/>
        </c:scaling>
        <c:delete val="1"/>
        <c:axPos val="b"/>
        <c:majorTickMark val="out"/>
        <c:minorTickMark val="none"/>
        <c:tickLblPos val="nextTo"/>
        <c:crossAx val="1179745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84817</xdr:rowOff>
    </xdr:from>
    <xdr:to>
      <xdr:col>15</xdr:col>
      <xdr:colOff>368835</xdr:colOff>
      <xdr:row>40</xdr:row>
      <xdr:rowOff>121596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84F08-B7AA-4FB4-AA34-09BA76CEA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1742514</xdr:colOff>
      <xdr:row>14</xdr:row>
      <xdr:rowOff>39221</xdr:rowOff>
    </xdr:from>
    <xdr:to>
      <xdr:col>5</xdr:col>
      <xdr:colOff>3339353</xdr:colOff>
      <xdr:row>39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1D644-7319-B93D-EEF7-D3CD7668E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B458-B365-B947-A8DC-8F3BFAA05948}">
  <dimension ref="A1:X92"/>
  <sheetViews>
    <sheetView tabSelected="1" zoomScale="70" zoomScaleNormal="70" workbookViewId="0">
      <selection activeCell="E1" sqref="E1:E1048576"/>
    </sheetView>
  </sheetViews>
  <sheetFormatPr defaultColWidth="11" defaultRowHeight="15.5" x14ac:dyDescent="0.35"/>
  <cols>
    <col min="1" max="1" width="11" bestFit="1" customWidth="1"/>
    <col min="2" max="2" width="26.58203125" customWidth="1"/>
    <col min="3" max="3" width="22.08203125" customWidth="1"/>
    <col min="4" max="4" width="24.5" customWidth="1"/>
    <col min="5" max="5" width="20.08203125" customWidth="1"/>
    <col min="6" max="6" width="31.08203125" customWidth="1"/>
    <col min="7" max="7" width="26.5" customWidth="1"/>
    <col min="8" max="8" width="18.5" customWidth="1"/>
    <col min="9" max="9" width="18.83203125" customWidth="1"/>
    <col min="10" max="10" width="38.08203125" customWidth="1"/>
    <col min="11" max="11" width="19.83203125" customWidth="1"/>
    <col min="12" max="12" width="21.83203125" customWidth="1"/>
    <col min="13" max="13" width="11" bestFit="1" customWidth="1"/>
    <col min="14" max="14" width="20.5" customWidth="1"/>
    <col min="15" max="15" width="26.83203125" customWidth="1"/>
    <col min="16" max="16" width="22.5" customWidth="1"/>
    <col min="17" max="17" width="18.5" customWidth="1"/>
    <col min="18" max="18" width="23.5" customWidth="1"/>
    <col min="19" max="19" width="12" bestFit="1" customWidth="1"/>
    <col min="20" max="21" width="11" bestFit="1" customWidth="1"/>
    <col min="22" max="22" width="13.5" bestFit="1" customWidth="1"/>
  </cols>
  <sheetData>
    <row r="1" spans="1:10" x14ac:dyDescent="0.35">
      <c r="A1" s="25"/>
      <c r="B1" s="26" t="s">
        <v>0</v>
      </c>
      <c r="C1" s="26" t="s">
        <v>1</v>
      </c>
      <c r="D1" s="69" t="s">
        <v>2</v>
      </c>
      <c r="E1" s="69" t="s">
        <v>3</v>
      </c>
      <c r="F1" s="69" t="s">
        <v>4</v>
      </c>
      <c r="G1" s="70" t="s">
        <v>5</v>
      </c>
      <c r="H1" s="5">
        <v>60</v>
      </c>
      <c r="J1" s="3"/>
    </row>
    <row r="2" spans="1:10" x14ac:dyDescent="0.35">
      <c r="A2" s="71" t="s">
        <v>6</v>
      </c>
      <c r="B2" s="63">
        <v>3</v>
      </c>
      <c r="C2" s="78">
        <v>0.2</v>
      </c>
      <c r="D2" s="65">
        <f>B2+C2</f>
        <v>3.2</v>
      </c>
      <c r="E2" s="65">
        <f>5/H1</f>
        <v>8.3333333333333329E-2</v>
      </c>
      <c r="F2" s="65">
        <v>2</v>
      </c>
      <c r="G2" s="85">
        <v>0.15</v>
      </c>
      <c r="H2" s="5">
        <f>3.376/25</f>
        <v>0.13503999999999999</v>
      </c>
      <c r="J2" s="3"/>
    </row>
    <row r="3" spans="1:10" x14ac:dyDescent="0.35">
      <c r="A3" s="71" t="s">
        <v>7</v>
      </c>
      <c r="B3" s="63">
        <v>3</v>
      </c>
      <c r="C3" s="78">
        <v>0.32</v>
      </c>
      <c r="D3" s="65">
        <f t="shared" ref="D3:D66" si="0">B3+C3</f>
        <v>3.32</v>
      </c>
      <c r="E3" s="65">
        <f>7/H1</f>
        <v>0.11666666666666667</v>
      </c>
      <c r="F3" s="65">
        <v>2</v>
      </c>
      <c r="G3" s="85">
        <v>0.3</v>
      </c>
      <c r="J3" s="3"/>
    </row>
    <row r="4" spans="1:10" x14ac:dyDescent="0.35">
      <c r="A4" s="71" t="s">
        <v>8</v>
      </c>
      <c r="B4" s="63">
        <v>3</v>
      </c>
      <c r="C4" s="78">
        <v>0.45</v>
      </c>
      <c r="D4" s="65">
        <f t="shared" si="0"/>
        <v>3.45</v>
      </c>
      <c r="E4" s="65">
        <f>9/H1</f>
        <v>0.15</v>
      </c>
      <c r="F4" s="65">
        <v>2</v>
      </c>
      <c r="G4" s="85">
        <v>0.55000000000000004</v>
      </c>
      <c r="J4" s="3"/>
    </row>
    <row r="5" spans="1:10" x14ac:dyDescent="0.35">
      <c r="A5" s="71" t="s">
        <v>9</v>
      </c>
      <c r="B5" s="63">
        <v>3</v>
      </c>
      <c r="C5" s="78">
        <v>0.42</v>
      </c>
      <c r="D5" s="65">
        <f t="shared" si="0"/>
        <v>3.42</v>
      </c>
      <c r="E5" s="65">
        <f>9/H1</f>
        <v>0.15</v>
      </c>
      <c r="F5" s="65">
        <v>4</v>
      </c>
      <c r="G5" s="85">
        <v>0.38333333333333336</v>
      </c>
      <c r="J5" s="3"/>
    </row>
    <row r="6" spans="1:10" x14ac:dyDescent="0.35">
      <c r="A6" s="71" t="s">
        <v>88</v>
      </c>
      <c r="B6" s="63">
        <v>3</v>
      </c>
      <c r="C6" s="78">
        <v>0.74</v>
      </c>
      <c r="D6" s="65">
        <f t="shared" si="0"/>
        <v>3.74</v>
      </c>
      <c r="E6" s="78">
        <f>16/H1</f>
        <v>0.26666666666666666</v>
      </c>
      <c r="F6" s="78">
        <v>4</v>
      </c>
      <c r="G6" s="85">
        <f>50/$H1</f>
        <v>0.83333333333333337</v>
      </c>
      <c r="J6" s="3"/>
    </row>
    <row r="7" spans="1:10" x14ac:dyDescent="0.35">
      <c r="A7" s="71" t="s">
        <v>89</v>
      </c>
      <c r="B7" s="63">
        <v>3</v>
      </c>
      <c r="C7" s="78">
        <v>0.65</v>
      </c>
      <c r="D7" s="65">
        <f t="shared" si="0"/>
        <v>3.65</v>
      </c>
      <c r="E7" s="78">
        <f>13/H1</f>
        <v>0.21666666666666667</v>
      </c>
      <c r="F7" s="78">
        <v>2</v>
      </c>
      <c r="G7" s="85">
        <f>36/$H1</f>
        <v>0.6</v>
      </c>
      <c r="J7" s="3"/>
    </row>
    <row r="8" spans="1:10" x14ac:dyDescent="0.35">
      <c r="A8" s="71" t="s">
        <v>90</v>
      </c>
      <c r="B8" s="63">
        <v>3</v>
      </c>
      <c r="C8" s="78">
        <v>0.68</v>
      </c>
      <c r="D8" s="65">
        <f t="shared" si="0"/>
        <v>3.68</v>
      </c>
      <c r="E8" s="78">
        <f>17/H1</f>
        <v>0.28333333333333333</v>
      </c>
      <c r="F8" s="78">
        <v>2</v>
      </c>
      <c r="G8" s="85">
        <f>53/$H1</f>
        <v>0.8833333333333333</v>
      </c>
      <c r="J8" s="3"/>
    </row>
    <row r="9" spans="1:10" x14ac:dyDescent="0.35">
      <c r="A9" s="71" t="s">
        <v>91</v>
      </c>
      <c r="B9" s="63">
        <v>3</v>
      </c>
      <c r="C9" s="78">
        <v>1.31</v>
      </c>
      <c r="D9" s="65">
        <f t="shared" si="0"/>
        <v>4.3100000000000005</v>
      </c>
      <c r="E9" s="78">
        <f>19/H1</f>
        <v>0.31666666666666665</v>
      </c>
      <c r="F9" s="78">
        <v>4</v>
      </c>
      <c r="G9" s="85">
        <f>101/$H1</f>
        <v>1.6833333333333333</v>
      </c>
      <c r="J9" s="3"/>
    </row>
    <row r="10" spans="1:10" x14ac:dyDescent="0.35">
      <c r="A10" s="71" t="s">
        <v>92</v>
      </c>
      <c r="B10" s="63">
        <v>3</v>
      </c>
      <c r="C10" s="78">
        <v>1.46</v>
      </c>
      <c r="D10" s="65">
        <f t="shared" si="0"/>
        <v>4.46</v>
      </c>
      <c r="E10" s="78">
        <f>19/H1</f>
        <v>0.31666666666666665</v>
      </c>
      <c r="F10" s="78">
        <v>4</v>
      </c>
      <c r="G10" s="85">
        <f>81/$H1</f>
        <v>1.35</v>
      </c>
      <c r="J10" s="3"/>
    </row>
    <row r="11" spans="1:10" x14ac:dyDescent="0.35">
      <c r="A11" s="9" t="s">
        <v>10</v>
      </c>
      <c r="B11" s="2">
        <v>3</v>
      </c>
      <c r="C11" s="79">
        <v>0.19</v>
      </c>
      <c r="D11" s="65">
        <f t="shared" si="0"/>
        <v>3.19</v>
      </c>
      <c r="E11" s="4">
        <f>5/H1</f>
        <v>8.3333333333333329E-2</v>
      </c>
      <c r="F11" s="4">
        <v>2</v>
      </c>
      <c r="G11" s="86">
        <v>0.2</v>
      </c>
      <c r="J11" s="3"/>
    </row>
    <row r="12" spans="1:10" x14ac:dyDescent="0.35">
      <c r="A12" s="9" t="s">
        <v>11</v>
      </c>
      <c r="B12" s="2">
        <v>3</v>
      </c>
      <c r="C12" s="79">
        <v>0.35</v>
      </c>
      <c r="D12" s="65">
        <f t="shared" si="0"/>
        <v>3.35</v>
      </c>
      <c r="E12" s="4">
        <f>6/H1</f>
        <v>0.1</v>
      </c>
      <c r="F12" s="4">
        <v>4</v>
      </c>
      <c r="G12" s="86">
        <v>0.58333333333333337</v>
      </c>
      <c r="J12" s="3"/>
    </row>
    <row r="13" spans="1:10" x14ac:dyDescent="0.35">
      <c r="A13" s="9" t="s">
        <v>12</v>
      </c>
      <c r="B13" s="2">
        <v>3</v>
      </c>
      <c r="C13" s="79">
        <v>0.56999999999999995</v>
      </c>
      <c r="D13" s="65">
        <f t="shared" si="0"/>
        <v>3.57</v>
      </c>
      <c r="E13" s="4">
        <f>11/H1</f>
        <v>0.18333333333333332</v>
      </c>
      <c r="F13" s="4">
        <v>4</v>
      </c>
      <c r="G13" s="86">
        <v>0.76666666666666672</v>
      </c>
      <c r="J13" s="3"/>
    </row>
    <row r="14" spans="1:10" x14ac:dyDescent="0.35">
      <c r="A14" s="9" t="s">
        <v>13</v>
      </c>
      <c r="B14" s="2">
        <v>3</v>
      </c>
      <c r="C14" s="79">
        <v>0.53</v>
      </c>
      <c r="D14" s="65">
        <f t="shared" si="0"/>
        <v>3.5300000000000002</v>
      </c>
      <c r="E14" s="4">
        <f>9/H1</f>
        <v>0.15</v>
      </c>
      <c r="F14" s="4">
        <v>4</v>
      </c>
      <c r="G14" s="86">
        <v>0.8666666666666667</v>
      </c>
      <c r="J14" s="3"/>
    </row>
    <row r="15" spans="1:10" x14ac:dyDescent="0.35">
      <c r="A15" s="9" t="s">
        <v>93</v>
      </c>
      <c r="B15" s="2">
        <v>3</v>
      </c>
      <c r="C15" s="79">
        <v>0.59</v>
      </c>
      <c r="D15" s="65">
        <f t="shared" si="0"/>
        <v>3.59</v>
      </c>
      <c r="E15" s="4">
        <f>11/$H$1</f>
        <v>0.18333333333333332</v>
      </c>
      <c r="F15" s="79">
        <v>4</v>
      </c>
      <c r="G15" s="86">
        <f>54/$H$1</f>
        <v>0.9</v>
      </c>
      <c r="J15" s="3"/>
    </row>
    <row r="16" spans="1:10" x14ac:dyDescent="0.35">
      <c r="A16" s="9" t="s">
        <v>94</v>
      </c>
      <c r="B16" s="2">
        <v>3</v>
      </c>
      <c r="C16" s="79">
        <v>0.39</v>
      </c>
      <c r="D16" s="65">
        <f t="shared" si="0"/>
        <v>3.39</v>
      </c>
      <c r="E16" s="4">
        <f>8/$H$1</f>
        <v>0.13333333333333333</v>
      </c>
      <c r="F16" s="79">
        <v>3</v>
      </c>
      <c r="G16" s="86">
        <f>27/$H$1</f>
        <v>0.45</v>
      </c>
      <c r="J16" s="3"/>
    </row>
    <row r="17" spans="1:19" x14ac:dyDescent="0.35">
      <c r="A17" s="9" t="s">
        <v>95</v>
      </c>
      <c r="B17" s="2">
        <v>3</v>
      </c>
      <c r="C17" s="79">
        <v>0.92</v>
      </c>
      <c r="D17" s="65">
        <f t="shared" si="0"/>
        <v>3.92</v>
      </c>
      <c r="E17" s="4">
        <f>18/$H$1</f>
        <v>0.3</v>
      </c>
      <c r="F17" s="79">
        <v>4</v>
      </c>
      <c r="G17" s="86">
        <f>60/$H$1</f>
        <v>1</v>
      </c>
      <c r="J17" s="3"/>
    </row>
    <row r="18" spans="1:19" x14ac:dyDescent="0.35">
      <c r="A18" s="9" t="s">
        <v>96</v>
      </c>
      <c r="B18" s="2">
        <v>3</v>
      </c>
      <c r="C18" s="79">
        <v>1.1200000000000001</v>
      </c>
      <c r="D18" s="65">
        <f t="shared" si="0"/>
        <v>4.12</v>
      </c>
      <c r="E18" s="4">
        <f>15/$H$1</f>
        <v>0.25</v>
      </c>
      <c r="F18" s="79">
        <v>4</v>
      </c>
      <c r="G18" s="86">
        <f>99/$H$1</f>
        <v>1.65</v>
      </c>
      <c r="J18" s="3"/>
    </row>
    <row r="19" spans="1:19" x14ac:dyDescent="0.35">
      <c r="A19" s="9" t="s">
        <v>97</v>
      </c>
      <c r="B19" s="2">
        <v>3</v>
      </c>
      <c r="C19" s="79">
        <v>1.34</v>
      </c>
      <c r="D19" s="65">
        <f t="shared" si="0"/>
        <v>4.34</v>
      </c>
      <c r="E19" s="4">
        <f>16/$H$1</f>
        <v>0.26666666666666666</v>
      </c>
      <c r="F19" s="79">
        <v>4</v>
      </c>
      <c r="G19" s="86">
        <f>64/$H$1</f>
        <v>1.0666666666666667</v>
      </c>
      <c r="J19" s="3"/>
    </row>
    <row r="20" spans="1:19" x14ac:dyDescent="0.35">
      <c r="A20" s="71" t="s">
        <v>14</v>
      </c>
      <c r="B20" s="63">
        <v>3</v>
      </c>
      <c r="C20" s="78">
        <v>0.32</v>
      </c>
      <c r="D20" s="65">
        <f t="shared" si="0"/>
        <v>3.32</v>
      </c>
      <c r="E20" s="65">
        <f>7/H1</f>
        <v>0.11666666666666667</v>
      </c>
      <c r="F20" s="74">
        <v>2</v>
      </c>
      <c r="G20" s="85">
        <v>0.53333333333333333</v>
      </c>
      <c r="J20" s="3"/>
    </row>
    <row r="21" spans="1:19" x14ac:dyDescent="0.35">
      <c r="A21" s="71" t="s">
        <v>15</v>
      </c>
      <c r="B21" s="63">
        <v>3</v>
      </c>
      <c r="C21" s="78">
        <v>0.34</v>
      </c>
      <c r="D21" s="65">
        <f t="shared" si="0"/>
        <v>3.34</v>
      </c>
      <c r="E21" s="65">
        <f>6/H1</f>
        <v>0.1</v>
      </c>
      <c r="F21" s="65">
        <v>3</v>
      </c>
      <c r="G21" s="85">
        <v>0.68333333333333335</v>
      </c>
      <c r="J21" s="3"/>
    </row>
    <row r="22" spans="1:19" x14ac:dyDescent="0.35">
      <c r="A22" s="71" t="s">
        <v>16</v>
      </c>
      <c r="B22" s="63">
        <v>3</v>
      </c>
      <c r="C22" s="78">
        <v>0.49</v>
      </c>
      <c r="D22" s="65">
        <f t="shared" si="0"/>
        <v>3.49</v>
      </c>
      <c r="E22" s="65">
        <f>8/H1</f>
        <v>0.13333333333333333</v>
      </c>
      <c r="F22" s="65">
        <v>3</v>
      </c>
      <c r="G22" s="85">
        <v>0.71666666666666667</v>
      </c>
      <c r="J22" s="3"/>
    </row>
    <row r="23" spans="1:19" x14ac:dyDescent="0.35">
      <c r="A23" s="71" t="s">
        <v>17</v>
      </c>
      <c r="B23" s="63">
        <v>3</v>
      </c>
      <c r="C23" s="78">
        <v>0.68</v>
      </c>
      <c r="D23" s="65">
        <f t="shared" si="0"/>
        <v>3.68</v>
      </c>
      <c r="E23" s="65">
        <f>13/$H$1</f>
        <v>0.21666666666666667</v>
      </c>
      <c r="F23" s="65">
        <v>4</v>
      </c>
      <c r="G23" s="85">
        <v>1.2</v>
      </c>
      <c r="J23" s="3"/>
    </row>
    <row r="24" spans="1:19" x14ac:dyDescent="0.35">
      <c r="A24" s="71" t="s">
        <v>98</v>
      </c>
      <c r="B24" s="63">
        <v>3</v>
      </c>
      <c r="C24" s="78">
        <v>0.89</v>
      </c>
      <c r="D24" s="65">
        <f t="shared" si="0"/>
        <v>3.89</v>
      </c>
      <c r="E24" s="65">
        <f>16/$H$1</f>
        <v>0.26666666666666666</v>
      </c>
      <c r="F24" s="78">
        <v>6</v>
      </c>
      <c r="G24" s="85">
        <f>83/$H$1</f>
        <v>1.3833333333333333</v>
      </c>
      <c r="J24" s="3"/>
    </row>
    <row r="25" spans="1:19" x14ac:dyDescent="0.35">
      <c r="A25" s="71" t="s">
        <v>99</v>
      </c>
      <c r="B25" s="63">
        <v>3</v>
      </c>
      <c r="C25" s="78">
        <v>0.69</v>
      </c>
      <c r="D25" s="65">
        <f t="shared" si="0"/>
        <v>3.69</v>
      </c>
      <c r="E25" s="65">
        <f>14/$H$1</f>
        <v>0.23333333333333334</v>
      </c>
      <c r="F25" s="78">
        <v>5</v>
      </c>
      <c r="G25" s="85">
        <f>64/$H$1</f>
        <v>1.0666666666666667</v>
      </c>
      <c r="J25" s="3"/>
    </row>
    <row r="26" spans="1:19" x14ac:dyDescent="0.35">
      <c r="A26" s="71" t="s">
        <v>100</v>
      </c>
      <c r="B26" s="63">
        <v>3</v>
      </c>
      <c r="C26" s="78">
        <v>0.89</v>
      </c>
      <c r="D26" s="65">
        <f t="shared" si="0"/>
        <v>3.89</v>
      </c>
      <c r="E26" s="65">
        <f>20/$H$1</f>
        <v>0.33333333333333331</v>
      </c>
      <c r="F26" s="78">
        <v>3</v>
      </c>
      <c r="G26" s="85">
        <f>59/$H$1</f>
        <v>0.98333333333333328</v>
      </c>
    </row>
    <row r="27" spans="1:19" x14ac:dyDescent="0.35">
      <c r="A27" s="71" t="s">
        <v>101</v>
      </c>
      <c r="B27" s="63">
        <v>3</v>
      </c>
      <c r="C27" s="78">
        <v>1.43</v>
      </c>
      <c r="D27" s="65">
        <f t="shared" si="0"/>
        <v>4.43</v>
      </c>
      <c r="E27" s="65">
        <f>20/$H$1</f>
        <v>0.33333333333333331</v>
      </c>
      <c r="F27" s="78">
        <v>6</v>
      </c>
      <c r="G27" s="85">
        <f>134/$H$1</f>
        <v>2.2333333333333334</v>
      </c>
      <c r="H27" s="38"/>
      <c r="I27" s="38"/>
      <c r="J27" s="38"/>
      <c r="K27" s="5"/>
      <c r="L27" s="36"/>
      <c r="M27" s="36"/>
      <c r="N27" s="39"/>
      <c r="O27" s="39"/>
      <c r="P27" s="39"/>
      <c r="Q27" s="39"/>
      <c r="R27" s="39"/>
      <c r="S27" s="39"/>
    </row>
    <row r="28" spans="1:19" x14ac:dyDescent="0.35">
      <c r="A28" s="71" t="s">
        <v>102</v>
      </c>
      <c r="B28" s="63">
        <v>3</v>
      </c>
      <c r="C28" s="78">
        <v>1.38</v>
      </c>
      <c r="D28" s="65">
        <f t="shared" si="0"/>
        <v>4.38</v>
      </c>
      <c r="E28" s="65">
        <f>17/$H$1</f>
        <v>0.28333333333333333</v>
      </c>
      <c r="F28" s="78">
        <v>6</v>
      </c>
      <c r="G28" s="85">
        <f>108/$H$1</f>
        <v>1.8</v>
      </c>
      <c r="H28" s="41"/>
      <c r="I28" s="41"/>
      <c r="J28" s="42"/>
      <c r="K28" s="43"/>
      <c r="L28" s="40"/>
      <c r="M28" s="44"/>
      <c r="N28" s="45"/>
      <c r="O28" s="46"/>
      <c r="P28" s="45"/>
      <c r="Q28" s="47"/>
      <c r="R28" s="36"/>
    </row>
    <row r="29" spans="1:19" x14ac:dyDescent="0.35">
      <c r="A29" s="9" t="s">
        <v>18</v>
      </c>
      <c r="B29" s="2">
        <v>3</v>
      </c>
      <c r="C29" s="79">
        <v>0.54</v>
      </c>
      <c r="D29" s="65">
        <f t="shared" si="0"/>
        <v>3.54</v>
      </c>
      <c r="E29" s="4">
        <f>11/H1</f>
        <v>0.18333333333333332</v>
      </c>
      <c r="F29" s="4">
        <v>2</v>
      </c>
      <c r="G29" s="86">
        <v>0.43333333333333335</v>
      </c>
      <c r="H29" s="41"/>
      <c r="I29" s="41"/>
      <c r="J29" s="42"/>
      <c r="K29" s="43"/>
      <c r="L29" s="40"/>
      <c r="M29" s="44"/>
      <c r="N29" s="45"/>
      <c r="O29" s="46"/>
      <c r="P29" s="45"/>
      <c r="Q29" s="47"/>
      <c r="R29" s="36"/>
    </row>
    <row r="30" spans="1:19" x14ac:dyDescent="0.35">
      <c r="A30" s="9" t="s">
        <v>19</v>
      </c>
      <c r="B30" s="2">
        <v>3</v>
      </c>
      <c r="C30" s="79">
        <v>0.65</v>
      </c>
      <c r="D30" s="65">
        <f t="shared" si="0"/>
        <v>3.65</v>
      </c>
      <c r="E30" s="4">
        <f>12/H1</f>
        <v>0.2</v>
      </c>
      <c r="F30" s="4">
        <v>4</v>
      </c>
      <c r="G30" s="86">
        <v>0.75</v>
      </c>
      <c r="H30" s="41"/>
      <c r="I30" s="41"/>
      <c r="J30" s="42"/>
      <c r="K30" s="43"/>
      <c r="L30" s="40"/>
      <c r="M30" s="44"/>
      <c r="N30" s="45"/>
      <c r="O30" s="46"/>
      <c r="P30" s="45"/>
      <c r="Q30" s="47"/>
      <c r="R30" s="36"/>
    </row>
    <row r="31" spans="1:19" x14ac:dyDescent="0.35">
      <c r="A31" s="9" t="s">
        <v>20</v>
      </c>
      <c r="B31" s="2">
        <v>3</v>
      </c>
      <c r="C31" s="79">
        <v>0.53</v>
      </c>
      <c r="D31" s="65">
        <f t="shared" si="0"/>
        <v>3.5300000000000002</v>
      </c>
      <c r="E31" s="4">
        <f>11/H1</f>
        <v>0.18333333333333332</v>
      </c>
      <c r="F31" s="4">
        <v>2</v>
      </c>
      <c r="G31" s="86">
        <v>0.7</v>
      </c>
      <c r="H31" s="41"/>
      <c r="I31" s="41"/>
      <c r="J31" s="42"/>
      <c r="K31" s="43"/>
      <c r="L31" s="40"/>
      <c r="M31" s="44"/>
      <c r="N31" s="45"/>
      <c r="O31" s="46"/>
      <c r="P31" s="45"/>
      <c r="Q31" s="47"/>
      <c r="R31" s="36"/>
    </row>
    <row r="32" spans="1:19" x14ac:dyDescent="0.35">
      <c r="A32" s="9" t="s">
        <v>21</v>
      </c>
      <c r="B32" s="2">
        <v>3</v>
      </c>
      <c r="C32" s="79">
        <v>0.43</v>
      </c>
      <c r="D32" s="65">
        <f t="shared" si="0"/>
        <v>3.43</v>
      </c>
      <c r="E32" s="4">
        <f>10/$H$1</f>
        <v>0.16666666666666666</v>
      </c>
      <c r="F32" s="4">
        <v>2</v>
      </c>
      <c r="G32" s="86">
        <v>0.56666666666666665</v>
      </c>
      <c r="H32" s="41"/>
      <c r="I32" s="41"/>
      <c r="J32" s="42"/>
      <c r="K32" s="43"/>
      <c r="L32" s="40"/>
      <c r="M32" s="44"/>
      <c r="N32" s="45"/>
      <c r="O32" s="46"/>
      <c r="P32" s="45"/>
      <c r="Q32" s="47"/>
      <c r="R32" s="36"/>
    </row>
    <row r="33" spans="1:21" x14ac:dyDescent="0.35">
      <c r="A33" s="9" t="s">
        <v>103</v>
      </c>
      <c r="B33" s="2">
        <v>3</v>
      </c>
      <c r="C33" s="79">
        <v>1.22</v>
      </c>
      <c r="D33" s="65">
        <f t="shared" si="0"/>
        <v>4.22</v>
      </c>
      <c r="E33" s="4">
        <f>22/$H$1</f>
        <v>0.36666666666666664</v>
      </c>
      <c r="F33" s="79">
        <v>4</v>
      </c>
      <c r="G33" s="86">
        <f>53/$H$1</f>
        <v>0.8833333333333333</v>
      </c>
      <c r="H33" s="41"/>
      <c r="I33" s="41"/>
      <c r="J33" s="42"/>
      <c r="K33" s="43"/>
      <c r="L33" s="40"/>
      <c r="M33" s="44"/>
      <c r="N33" s="45"/>
      <c r="O33" s="46"/>
      <c r="P33" s="45"/>
      <c r="Q33" s="47"/>
      <c r="R33" s="36"/>
    </row>
    <row r="34" spans="1:21" x14ac:dyDescent="0.35">
      <c r="A34" s="9" t="s">
        <v>104</v>
      </c>
      <c r="B34" s="2">
        <v>3</v>
      </c>
      <c r="C34" s="79">
        <v>0.92</v>
      </c>
      <c r="D34" s="65">
        <f t="shared" si="0"/>
        <v>3.92</v>
      </c>
      <c r="E34" s="4">
        <f>19/$H$1</f>
        <v>0.31666666666666665</v>
      </c>
      <c r="F34" s="79">
        <v>2</v>
      </c>
      <c r="G34" s="86">
        <f>45/$H$1</f>
        <v>0.75</v>
      </c>
      <c r="H34" s="41"/>
      <c r="I34" s="41"/>
      <c r="J34" s="42"/>
      <c r="K34" s="43"/>
      <c r="L34" s="40"/>
      <c r="M34" s="44"/>
      <c r="N34" s="45"/>
      <c r="O34" s="46"/>
      <c r="P34" s="45"/>
      <c r="Q34" s="47"/>
      <c r="R34" s="36"/>
    </row>
    <row r="35" spans="1:21" x14ac:dyDescent="0.35">
      <c r="A35" s="9" t="s">
        <v>105</v>
      </c>
      <c r="B35" s="2">
        <v>3</v>
      </c>
      <c r="C35" s="79">
        <v>0.65</v>
      </c>
      <c r="D35" s="65">
        <f t="shared" si="0"/>
        <v>3.65</v>
      </c>
      <c r="E35" s="4">
        <f>17/$H$1</f>
        <v>0.28333333333333333</v>
      </c>
      <c r="F35" s="79">
        <v>1</v>
      </c>
      <c r="G35" s="86">
        <f>47/$H$1</f>
        <v>0.78333333333333333</v>
      </c>
      <c r="H35" s="41"/>
      <c r="I35" s="41"/>
      <c r="J35" s="42"/>
      <c r="K35" s="43"/>
      <c r="L35" s="40"/>
      <c r="M35" s="44"/>
      <c r="N35" s="45"/>
      <c r="O35" s="46"/>
      <c r="P35" s="45"/>
      <c r="Q35" s="47"/>
      <c r="R35" s="36"/>
    </row>
    <row r="36" spans="1:21" x14ac:dyDescent="0.35">
      <c r="A36" s="9" t="s">
        <v>106</v>
      </c>
      <c r="B36" s="2">
        <v>3</v>
      </c>
      <c r="C36" s="79">
        <v>1.61</v>
      </c>
      <c r="D36" s="65">
        <f t="shared" si="0"/>
        <v>4.6100000000000003</v>
      </c>
      <c r="E36" s="4">
        <f>24/$H$1</f>
        <v>0.4</v>
      </c>
      <c r="F36" s="79">
        <v>6</v>
      </c>
      <c r="G36" s="86">
        <f>104/$H$1</f>
        <v>1.7333333333333334</v>
      </c>
      <c r="H36" s="41"/>
      <c r="I36" s="41"/>
      <c r="J36" s="42"/>
      <c r="K36" s="43"/>
      <c r="L36" s="40"/>
      <c r="M36" s="44"/>
      <c r="N36" s="45"/>
      <c r="O36" s="46"/>
      <c r="P36" s="45"/>
      <c r="Q36" s="47"/>
      <c r="R36" s="36"/>
    </row>
    <row r="37" spans="1:21" x14ac:dyDescent="0.35">
      <c r="A37" s="9" t="s">
        <v>107</v>
      </c>
      <c r="B37" s="2">
        <v>3</v>
      </c>
      <c r="C37" s="79">
        <v>1.85</v>
      </c>
      <c r="D37" s="65">
        <f t="shared" si="0"/>
        <v>4.8499999999999996</v>
      </c>
      <c r="E37" s="4">
        <f>27/$H$1</f>
        <v>0.45</v>
      </c>
      <c r="F37" s="79">
        <v>4</v>
      </c>
      <c r="G37" s="86">
        <f>86/$H$1</f>
        <v>1.4333333333333333</v>
      </c>
      <c r="H37" s="41"/>
      <c r="I37" s="41"/>
      <c r="J37" s="42"/>
      <c r="K37" s="43"/>
      <c r="L37" s="40"/>
      <c r="M37" s="44"/>
      <c r="N37" s="45"/>
      <c r="O37" s="46"/>
      <c r="P37" s="45"/>
      <c r="Q37" s="47"/>
      <c r="R37" s="36"/>
    </row>
    <row r="38" spans="1:21" x14ac:dyDescent="0.35">
      <c r="A38" s="71" t="s">
        <v>22</v>
      </c>
      <c r="B38" s="63">
        <v>3</v>
      </c>
      <c r="C38" s="78">
        <v>0.41</v>
      </c>
      <c r="D38" s="65">
        <f t="shared" si="0"/>
        <v>3.41</v>
      </c>
      <c r="E38" s="65">
        <f>8/H1</f>
        <v>0.13333333333333333</v>
      </c>
      <c r="F38" s="65">
        <v>4</v>
      </c>
      <c r="G38" s="85">
        <v>0.66666666666666663</v>
      </c>
      <c r="H38" s="41"/>
      <c r="I38" s="41"/>
      <c r="J38" s="42"/>
      <c r="K38" s="43"/>
      <c r="L38" s="40"/>
      <c r="M38" s="44"/>
      <c r="N38" s="45"/>
      <c r="O38" s="46"/>
      <c r="P38" s="45"/>
      <c r="Q38" s="47"/>
      <c r="R38" s="36"/>
    </row>
    <row r="39" spans="1:21" x14ac:dyDescent="0.35">
      <c r="A39" s="71" t="s">
        <v>23</v>
      </c>
      <c r="B39" s="63">
        <v>3</v>
      </c>
      <c r="C39" s="78">
        <v>0.49</v>
      </c>
      <c r="D39" s="65">
        <f t="shared" si="0"/>
        <v>3.49</v>
      </c>
      <c r="E39" s="65">
        <f>10/H1</f>
        <v>0.16666666666666666</v>
      </c>
      <c r="F39" s="65">
        <v>4</v>
      </c>
      <c r="G39" s="85">
        <v>0.93333333333333335</v>
      </c>
      <c r="H39" s="41"/>
      <c r="I39" s="41"/>
      <c r="J39" s="42"/>
      <c r="K39" s="43"/>
      <c r="L39" s="40"/>
      <c r="M39" s="44"/>
      <c r="N39" s="45"/>
      <c r="O39" s="46"/>
      <c r="P39" s="45"/>
      <c r="Q39" s="47"/>
      <c r="R39" s="36"/>
    </row>
    <row r="40" spans="1:21" x14ac:dyDescent="0.35">
      <c r="A40" s="71" t="s">
        <v>24</v>
      </c>
      <c r="B40" s="63">
        <v>3</v>
      </c>
      <c r="C40" s="78">
        <v>0.65</v>
      </c>
      <c r="D40" s="65">
        <f t="shared" si="0"/>
        <v>3.65</v>
      </c>
      <c r="E40" s="65">
        <f>12/H1</f>
        <v>0.2</v>
      </c>
      <c r="F40" s="65">
        <v>4</v>
      </c>
      <c r="G40" s="85">
        <v>0.8</v>
      </c>
      <c r="H40" s="41"/>
      <c r="I40" s="41"/>
      <c r="J40" s="42"/>
      <c r="K40" s="43"/>
      <c r="L40" s="40"/>
      <c r="M40" s="44"/>
      <c r="N40" s="45"/>
      <c r="O40" s="46"/>
      <c r="P40" s="45"/>
      <c r="Q40" s="47"/>
      <c r="R40" s="36"/>
    </row>
    <row r="41" spans="1:21" x14ac:dyDescent="0.35">
      <c r="A41" s="71" t="s">
        <v>25</v>
      </c>
      <c r="B41" s="63">
        <v>3</v>
      </c>
      <c r="C41" s="78">
        <v>0.39</v>
      </c>
      <c r="D41" s="65">
        <f t="shared" si="0"/>
        <v>3.39</v>
      </c>
      <c r="E41" s="65">
        <f>8/$H$1</f>
        <v>0.13333333333333333</v>
      </c>
      <c r="F41" s="65">
        <v>4</v>
      </c>
      <c r="G41" s="85">
        <v>0.56666666666666665</v>
      </c>
      <c r="H41" s="41"/>
      <c r="I41" s="41"/>
      <c r="J41" s="42"/>
      <c r="K41" s="43"/>
      <c r="L41" s="40"/>
      <c r="M41" s="44"/>
      <c r="N41" s="45"/>
      <c r="O41" s="46"/>
      <c r="P41" s="45"/>
      <c r="Q41" s="47"/>
      <c r="R41" s="36"/>
    </row>
    <row r="42" spans="1:21" x14ac:dyDescent="0.35">
      <c r="A42" s="71" t="s">
        <v>108</v>
      </c>
      <c r="B42" s="63">
        <v>3</v>
      </c>
      <c r="C42" s="75">
        <v>0.88</v>
      </c>
      <c r="D42" s="65">
        <f t="shared" si="0"/>
        <v>3.88</v>
      </c>
      <c r="E42" s="65">
        <f>12/$H$1</f>
        <v>0.2</v>
      </c>
      <c r="F42" s="78">
        <v>4</v>
      </c>
      <c r="G42" s="85">
        <f>96/$H$1</f>
        <v>1.6</v>
      </c>
      <c r="H42" s="41"/>
      <c r="I42" s="41"/>
      <c r="J42" s="42"/>
      <c r="K42" s="43"/>
      <c r="L42" s="40"/>
      <c r="M42" s="44"/>
      <c r="N42" s="45"/>
      <c r="O42" s="46"/>
      <c r="P42" s="45"/>
      <c r="Q42" s="47"/>
      <c r="R42" s="36"/>
    </row>
    <row r="43" spans="1:21" x14ac:dyDescent="0.35">
      <c r="A43" s="71" t="s">
        <v>109</v>
      </c>
      <c r="B43" s="63">
        <v>3</v>
      </c>
      <c r="C43" s="75">
        <v>0.56999999999999995</v>
      </c>
      <c r="D43" s="65">
        <f t="shared" si="0"/>
        <v>3.57</v>
      </c>
      <c r="E43" s="65">
        <f>9/$H$1</f>
        <v>0.15</v>
      </c>
      <c r="F43" s="78">
        <v>3</v>
      </c>
      <c r="G43" s="85">
        <f>47/$H$1</f>
        <v>0.78333333333333333</v>
      </c>
      <c r="H43" s="41"/>
      <c r="I43" s="41"/>
      <c r="J43" s="42"/>
      <c r="K43" s="43"/>
      <c r="L43" s="40"/>
      <c r="M43" s="44"/>
      <c r="N43" s="45"/>
      <c r="O43" s="46"/>
      <c r="P43" s="45"/>
      <c r="Q43" s="47"/>
      <c r="R43" s="36"/>
    </row>
    <row r="44" spans="1:21" x14ac:dyDescent="0.35">
      <c r="A44" s="71" t="s">
        <v>110</v>
      </c>
      <c r="B44" s="63">
        <v>3</v>
      </c>
      <c r="C44" s="75">
        <v>0.45</v>
      </c>
      <c r="D44" s="65">
        <f t="shared" si="0"/>
        <v>3.45</v>
      </c>
      <c r="E44" s="65">
        <f>10/$H$1</f>
        <v>0.16666666666666666</v>
      </c>
      <c r="F44" s="78">
        <v>2</v>
      </c>
      <c r="G44" s="85">
        <f>40/$H$1</f>
        <v>0.66666666666666663</v>
      </c>
      <c r="H44" s="41"/>
      <c r="I44" s="41"/>
      <c r="J44" s="42"/>
      <c r="K44" s="43"/>
      <c r="L44" s="40"/>
      <c r="M44" s="44"/>
      <c r="N44" s="45"/>
      <c r="O44" s="46"/>
      <c r="P44" s="45"/>
      <c r="Q44" s="47"/>
      <c r="R44" s="36"/>
    </row>
    <row r="45" spans="1:21" x14ac:dyDescent="0.35">
      <c r="A45" s="71" t="s">
        <v>111</v>
      </c>
      <c r="B45" s="63">
        <v>3</v>
      </c>
      <c r="C45" s="75">
        <v>1.22</v>
      </c>
      <c r="D45" s="65">
        <f t="shared" si="0"/>
        <v>4.22</v>
      </c>
      <c r="E45" s="65">
        <f>13/$H$1</f>
        <v>0.21666666666666667</v>
      </c>
      <c r="F45" s="78">
        <v>6</v>
      </c>
      <c r="G45" s="85">
        <f>117/$H$1</f>
        <v>1.95</v>
      </c>
      <c r="H45" s="41"/>
      <c r="I45" s="41"/>
      <c r="J45" s="42"/>
      <c r="K45" s="43"/>
      <c r="L45" s="40"/>
      <c r="M45" s="44"/>
      <c r="N45" s="45"/>
      <c r="O45" s="46"/>
      <c r="P45" s="45"/>
      <c r="Q45" s="47"/>
      <c r="R45" s="36"/>
    </row>
    <row r="46" spans="1:21" x14ac:dyDescent="0.35">
      <c r="A46" s="71" t="s">
        <v>112</v>
      </c>
      <c r="B46" s="63">
        <v>3</v>
      </c>
      <c r="C46" s="75">
        <v>1.86</v>
      </c>
      <c r="D46" s="65">
        <f t="shared" si="0"/>
        <v>4.8600000000000003</v>
      </c>
      <c r="E46" s="65">
        <f>19/$H$1</f>
        <v>0.31666666666666665</v>
      </c>
      <c r="F46" s="78">
        <v>4</v>
      </c>
      <c r="G46" s="85">
        <f>91/$H$1</f>
        <v>1.5166666666666666</v>
      </c>
      <c r="H46" s="41"/>
      <c r="I46" s="41"/>
      <c r="J46" s="42"/>
      <c r="K46" s="43"/>
      <c r="L46" s="40"/>
      <c r="M46" s="44"/>
      <c r="N46" s="45"/>
      <c r="O46" s="46"/>
      <c r="P46" s="45"/>
      <c r="Q46" s="47"/>
      <c r="R46" s="36"/>
    </row>
    <row r="47" spans="1:21" x14ac:dyDescent="0.35">
      <c r="A47" s="9" t="s">
        <v>113</v>
      </c>
      <c r="B47" s="2">
        <v>3</v>
      </c>
      <c r="C47" s="76">
        <v>1.03</v>
      </c>
      <c r="D47" s="65">
        <f t="shared" si="0"/>
        <v>4.03</v>
      </c>
      <c r="E47" s="65">
        <f>17/$H$1</f>
        <v>0.28333333333333333</v>
      </c>
      <c r="F47" s="79">
        <v>4</v>
      </c>
      <c r="G47" s="86">
        <f>44/$H$1</f>
        <v>0.73333333333333328</v>
      </c>
      <c r="H47" s="41"/>
      <c r="I47" s="41"/>
      <c r="J47" s="42"/>
      <c r="K47" s="43"/>
      <c r="L47" s="40"/>
      <c r="M47" s="44"/>
      <c r="N47" s="45"/>
      <c r="O47" s="46"/>
      <c r="P47" s="45"/>
      <c r="Q47" s="47"/>
      <c r="R47" s="36"/>
    </row>
    <row r="48" spans="1:21" x14ac:dyDescent="0.35">
      <c r="A48" s="9" t="s">
        <v>114</v>
      </c>
      <c r="B48" s="2">
        <v>3</v>
      </c>
      <c r="C48" s="77">
        <v>0.59</v>
      </c>
      <c r="D48" s="65">
        <f t="shared" si="0"/>
        <v>3.59</v>
      </c>
      <c r="E48" s="65">
        <f>12/$H$1</f>
        <v>0.2</v>
      </c>
      <c r="F48" s="79">
        <v>4</v>
      </c>
      <c r="G48" s="86">
        <f>37/$H$1</f>
        <v>0.6166666666666667</v>
      </c>
      <c r="H48" s="12"/>
      <c r="I48" s="12"/>
      <c r="J48" s="49"/>
      <c r="K48" s="12"/>
      <c r="L48" s="48"/>
      <c r="M48" s="48"/>
      <c r="N48" s="48"/>
      <c r="O48" s="48"/>
      <c r="P48" s="48"/>
      <c r="Q48" s="48"/>
      <c r="R48" s="48"/>
      <c r="S48" s="48"/>
      <c r="U48" s="12"/>
    </row>
    <row r="49" spans="1:24" x14ac:dyDescent="0.35">
      <c r="A49" s="9" t="s">
        <v>115</v>
      </c>
      <c r="B49" s="2">
        <v>3</v>
      </c>
      <c r="C49" s="80">
        <v>0.89</v>
      </c>
      <c r="D49" s="65">
        <f t="shared" si="0"/>
        <v>3.89</v>
      </c>
      <c r="E49" s="65">
        <f>15/$H$1</f>
        <v>0.25</v>
      </c>
      <c r="F49" s="79">
        <v>6</v>
      </c>
      <c r="G49" s="86">
        <f>73/$H$1</f>
        <v>1.2166666666666666</v>
      </c>
      <c r="H49" s="12"/>
      <c r="I49" s="12"/>
      <c r="J49" s="49"/>
      <c r="K49" s="12"/>
      <c r="L49" s="48"/>
      <c r="M49" s="48"/>
      <c r="N49" s="48"/>
      <c r="O49" s="48"/>
      <c r="P49" s="48"/>
      <c r="Q49" s="48"/>
      <c r="R49" s="48"/>
      <c r="S49" s="50"/>
      <c r="U49" s="12"/>
      <c r="V49" s="14"/>
      <c r="W49" s="15"/>
      <c r="X49" s="15"/>
    </row>
    <row r="50" spans="1:24" x14ac:dyDescent="0.35">
      <c r="A50" s="9" t="s">
        <v>116</v>
      </c>
      <c r="B50" s="2">
        <v>3</v>
      </c>
      <c r="C50" s="77">
        <v>1.2</v>
      </c>
      <c r="D50" s="65">
        <f t="shared" si="0"/>
        <v>4.2</v>
      </c>
      <c r="E50" s="65">
        <f>20/$H$1</f>
        <v>0.33333333333333331</v>
      </c>
      <c r="F50" s="79">
        <v>4</v>
      </c>
      <c r="G50" s="86">
        <f>52/$H$1</f>
        <v>0.8666666666666667</v>
      </c>
    </row>
    <row r="51" spans="1:24" x14ac:dyDescent="0.35">
      <c r="A51" s="9" t="s">
        <v>117</v>
      </c>
      <c r="B51" s="2">
        <v>3</v>
      </c>
      <c r="C51" s="79">
        <v>0.88</v>
      </c>
      <c r="D51" s="65">
        <f t="shared" si="0"/>
        <v>3.88</v>
      </c>
      <c r="E51" s="65">
        <f>13/$H$1</f>
        <v>0.21666666666666667</v>
      </c>
      <c r="F51" s="79">
        <v>4</v>
      </c>
      <c r="G51" s="86">
        <f>64/$H$1</f>
        <v>1.0666666666666667</v>
      </c>
    </row>
    <row r="52" spans="1:24" x14ac:dyDescent="0.35">
      <c r="A52" s="9" t="s">
        <v>118</v>
      </c>
      <c r="B52" s="2">
        <v>3</v>
      </c>
      <c r="C52" s="79">
        <v>0.63</v>
      </c>
      <c r="D52" s="65">
        <f t="shared" si="0"/>
        <v>3.63</v>
      </c>
      <c r="E52" s="65">
        <f>11/$H$1</f>
        <v>0.18333333333333332</v>
      </c>
      <c r="F52" s="79">
        <v>3</v>
      </c>
      <c r="G52" s="86">
        <f>32/$H$1</f>
        <v>0.53333333333333333</v>
      </c>
    </row>
    <row r="53" spans="1:24" x14ac:dyDescent="0.35">
      <c r="A53" s="9" t="s">
        <v>119</v>
      </c>
      <c r="B53" s="2">
        <v>3</v>
      </c>
      <c r="C53" s="79">
        <v>1.26</v>
      </c>
      <c r="D53" s="65">
        <f t="shared" si="0"/>
        <v>4.26</v>
      </c>
      <c r="E53" s="65">
        <f>20/$H$1</f>
        <v>0.33333333333333331</v>
      </c>
      <c r="F53" s="79">
        <v>5</v>
      </c>
      <c r="G53" s="86">
        <f>85/$H$1</f>
        <v>1.4166666666666667</v>
      </c>
    </row>
    <row r="54" spans="1:24" x14ac:dyDescent="0.35">
      <c r="A54" s="9" t="s">
        <v>120</v>
      </c>
      <c r="B54" s="2">
        <v>3</v>
      </c>
      <c r="C54" s="79">
        <v>0.77</v>
      </c>
      <c r="D54" s="65">
        <f t="shared" si="0"/>
        <v>3.77</v>
      </c>
      <c r="E54" s="65">
        <f>11/$H$1</f>
        <v>0.18333333333333332</v>
      </c>
      <c r="F54" s="79">
        <v>2</v>
      </c>
      <c r="G54" s="86">
        <f>63/$H$1</f>
        <v>1.05</v>
      </c>
    </row>
    <row r="55" spans="1:24" x14ac:dyDescent="0.35">
      <c r="A55" s="9" t="s">
        <v>121</v>
      </c>
      <c r="B55" s="2">
        <v>3</v>
      </c>
      <c r="C55" s="79">
        <v>0.63</v>
      </c>
      <c r="D55" s="65">
        <f t="shared" si="0"/>
        <v>3.63</v>
      </c>
      <c r="E55" s="65">
        <f>10/$H$1</f>
        <v>0.16666666666666666</v>
      </c>
      <c r="F55" s="79">
        <v>2</v>
      </c>
      <c r="G55" s="86">
        <f>44/$H$1</f>
        <v>0.73333333333333328</v>
      </c>
      <c r="H55" s="5"/>
      <c r="I55" s="5"/>
      <c r="J55" s="5"/>
      <c r="K55" s="5"/>
      <c r="L55" s="5"/>
      <c r="M55" s="5"/>
      <c r="N55" s="36"/>
      <c r="O55" s="5"/>
      <c r="P55" s="51"/>
      <c r="Q55" s="51"/>
      <c r="R55" s="51"/>
      <c r="S55" s="51"/>
      <c r="T55" s="51"/>
      <c r="U55" s="51"/>
      <c r="V55" s="51"/>
    </row>
    <row r="56" spans="1:24" x14ac:dyDescent="0.35">
      <c r="A56" s="71" t="s">
        <v>122</v>
      </c>
      <c r="B56" s="63">
        <v>3</v>
      </c>
      <c r="C56" s="78">
        <v>0.72</v>
      </c>
      <c r="D56" s="65">
        <f t="shared" si="0"/>
        <v>3.7199999999999998</v>
      </c>
      <c r="E56" s="65">
        <f>13/$H$1</f>
        <v>0.21666666666666667</v>
      </c>
      <c r="F56" s="78">
        <v>3</v>
      </c>
      <c r="G56" s="85">
        <f>40/$H$1</f>
        <v>0.66666666666666663</v>
      </c>
      <c r="H56" s="5"/>
      <c r="I56" s="5"/>
      <c r="J56" s="5"/>
      <c r="K56" s="12"/>
      <c r="L56" s="12"/>
      <c r="M56" s="5"/>
      <c r="N56" s="36"/>
      <c r="O56" s="5"/>
      <c r="P56" s="48"/>
      <c r="Q56" s="51"/>
      <c r="R56" s="51"/>
      <c r="S56" s="51"/>
      <c r="T56" s="52"/>
      <c r="U56" s="52"/>
      <c r="V56" s="52"/>
    </row>
    <row r="57" spans="1:24" x14ac:dyDescent="0.35">
      <c r="A57" s="71" t="s">
        <v>123</v>
      </c>
      <c r="B57" s="63">
        <v>3</v>
      </c>
      <c r="C57" s="78">
        <v>0.39</v>
      </c>
      <c r="D57" s="65">
        <f t="shared" si="0"/>
        <v>3.39</v>
      </c>
      <c r="E57" s="65">
        <f>9/$H$1</f>
        <v>0.15</v>
      </c>
      <c r="F57" s="78">
        <v>3</v>
      </c>
      <c r="G57" s="85">
        <f>30/$H$1</f>
        <v>0.5</v>
      </c>
      <c r="H57" s="5"/>
      <c r="I57" s="5"/>
      <c r="J57" s="5"/>
      <c r="K57" s="12"/>
      <c r="L57" s="12"/>
      <c r="M57" s="5"/>
      <c r="N57" s="36"/>
      <c r="O57" s="5"/>
      <c r="P57" s="48"/>
      <c r="Q57" s="51"/>
      <c r="R57" s="51"/>
      <c r="S57" s="51"/>
      <c r="T57" s="52"/>
      <c r="U57" s="52"/>
      <c r="V57" s="52"/>
    </row>
    <row r="58" spans="1:24" x14ac:dyDescent="0.35">
      <c r="A58" s="71" t="s">
        <v>124</v>
      </c>
      <c r="B58" s="63">
        <v>3</v>
      </c>
      <c r="C58" s="78">
        <v>0.69</v>
      </c>
      <c r="D58" s="65">
        <f t="shared" si="0"/>
        <v>3.69</v>
      </c>
      <c r="E58" s="65">
        <f>13/$H$1</f>
        <v>0.21666666666666667</v>
      </c>
      <c r="F58" s="78">
        <v>3</v>
      </c>
      <c r="G58" s="85">
        <f>63/$H$1</f>
        <v>1.05</v>
      </c>
      <c r="H58" s="5"/>
      <c r="I58" s="5"/>
      <c r="J58" s="5"/>
      <c r="K58" s="12"/>
      <c r="L58" s="12"/>
      <c r="M58" s="5"/>
      <c r="N58" s="36"/>
      <c r="O58" s="5"/>
      <c r="P58" s="48"/>
      <c r="Q58" s="51"/>
      <c r="R58" s="51"/>
      <c r="S58" s="51"/>
      <c r="T58" s="52"/>
      <c r="U58" s="52"/>
      <c r="V58" s="52"/>
    </row>
    <row r="59" spans="1:24" x14ac:dyDescent="0.35">
      <c r="A59" s="71" t="s">
        <v>125</v>
      </c>
      <c r="B59" s="63">
        <v>3</v>
      </c>
      <c r="C59" s="78">
        <v>0.9</v>
      </c>
      <c r="D59" s="65">
        <f t="shared" si="0"/>
        <v>3.9</v>
      </c>
      <c r="E59" s="65">
        <f>17/$H$1</f>
        <v>0.28333333333333333</v>
      </c>
      <c r="F59" s="78">
        <v>3</v>
      </c>
      <c r="G59" s="85">
        <f>47/$H$1</f>
        <v>0.78333333333333333</v>
      </c>
      <c r="H59" s="5"/>
      <c r="I59" s="5"/>
      <c r="J59" s="5"/>
      <c r="K59" s="12"/>
      <c r="L59" s="12"/>
      <c r="M59" s="5"/>
      <c r="N59" s="36"/>
      <c r="O59" s="5"/>
      <c r="P59" s="48"/>
      <c r="Q59" s="51"/>
      <c r="R59" s="51"/>
      <c r="S59" s="51"/>
      <c r="T59" s="52"/>
      <c r="U59" s="52"/>
      <c r="V59" s="52"/>
    </row>
    <row r="60" spans="1:24" x14ac:dyDescent="0.35">
      <c r="A60" s="71" t="s">
        <v>126</v>
      </c>
      <c r="B60" s="63">
        <v>3</v>
      </c>
      <c r="C60" s="78">
        <f>0.59</f>
        <v>0.59</v>
      </c>
      <c r="D60" s="65">
        <f t="shared" si="0"/>
        <v>3.59</v>
      </c>
      <c r="E60" s="65">
        <f>9/$H$1</f>
        <v>0.15</v>
      </c>
      <c r="F60" s="78">
        <v>3</v>
      </c>
      <c r="G60" s="85">
        <f>60/$H$1</f>
        <v>1</v>
      </c>
      <c r="I60" s="5"/>
      <c r="J60" s="5"/>
      <c r="K60" s="12"/>
      <c r="L60" s="12"/>
      <c r="M60" s="5"/>
      <c r="N60" s="36"/>
      <c r="O60" s="5"/>
      <c r="P60" s="48"/>
      <c r="Q60" s="51"/>
      <c r="R60" s="51"/>
      <c r="S60" s="51"/>
      <c r="T60" s="52"/>
      <c r="U60" s="52"/>
      <c r="V60" s="52"/>
    </row>
    <row r="61" spans="1:24" x14ac:dyDescent="0.35">
      <c r="A61" s="71" t="s">
        <v>127</v>
      </c>
      <c r="B61" s="63">
        <v>3</v>
      </c>
      <c r="C61" s="78">
        <v>0.63</v>
      </c>
      <c r="D61" s="65">
        <f t="shared" si="0"/>
        <v>3.63</v>
      </c>
      <c r="E61" s="65">
        <f>11/$H$1</f>
        <v>0.18333333333333332</v>
      </c>
      <c r="F61" s="78">
        <v>3</v>
      </c>
      <c r="G61" s="85">
        <f>37/$H$1</f>
        <v>0.6166666666666667</v>
      </c>
      <c r="H61" s="53"/>
      <c r="I61" s="53"/>
      <c r="J61" s="53"/>
      <c r="K61" s="53"/>
      <c r="L61" s="53"/>
      <c r="M61" s="53"/>
      <c r="N61" s="54"/>
      <c r="O61" s="55"/>
      <c r="P61" s="54"/>
      <c r="Q61" s="54"/>
      <c r="R61" s="54"/>
      <c r="S61" s="54"/>
      <c r="T61" s="54"/>
      <c r="U61" s="54"/>
      <c r="V61" s="54"/>
    </row>
    <row r="62" spans="1:24" x14ac:dyDescent="0.35">
      <c r="A62" s="71" t="s">
        <v>128</v>
      </c>
      <c r="B62" s="63">
        <v>3</v>
      </c>
      <c r="C62" s="78">
        <v>1.22</v>
      </c>
      <c r="D62" s="65">
        <f t="shared" si="0"/>
        <v>4.22</v>
      </c>
      <c r="E62" s="65">
        <f>15/$H$1</f>
        <v>0.25</v>
      </c>
      <c r="F62" s="78">
        <v>4</v>
      </c>
      <c r="G62" s="85">
        <f>102/$H$1</f>
        <v>1.7</v>
      </c>
      <c r="H62" s="53"/>
      <c r="I62" s="53"/>
      <c r="J62" s="53"/>
      <c r="K62" s="53"/>
      <c r="L62" s="53"/>
      <c r="M62" s="53"/>
      <c r="N62" s="54"/>
      <c r="O62" s="56"/>
      <c r="P62" s="57"/>
      <c r="Q62" s="57"/>
      <c r="R62" s="57"/>
      <c r="S62" s="57"/>
      <c r="T62" s="57"/>
      <c r="U62" s="57"/>
      <c r="V62" s="57"/>
    </row>
    <row r="63" spans="1:24" x14ac:dyDescent="0.35">
      <c r="A63" s="71" t="s">
        <v>129</v>
      </c>
      <c r="B63" s="63">
        <v>3</v>
      </c>
      <c r="C63" s="78">
        <v>0.92</v>
      </c>
      <c r="D63" s="65">
        <f t="shared" si="0"/>
        <v>3.92</v>
      </c>
      <c r="E63" s="65">
        <f>10/$H$1</f>
        <v>0.16666666666666666</v>
      </c>
      <c r="F63" s="78">
        <v>3</v>
      </c>
      <c r="G63" s="85">
        <f>88/$H$1</f>
        <v>1.4666666666666666</v>
      </c>
      <c r="S63" s="5"/>
      <c r="T63" s="37"/>
    </row>
    <row r="64" spans="1:24" x14ac:dyDescent="0.35">
      <c r="A64" s="71" t="s">
        <v>130</v>
      </c>
      <c r="B64" s="63">
        <v>3</v>
      </c>
      <c r="C64" s="78">
        <v>1.66</v>
      </c>
      <c r="D64" s="65">
        <f t="shared" si="0"/>
        <v>4.66</v>
      </c>
      <c r="E64" s="65">
        <f>18/$H$1</f>
        <v>0.3</v>
      </c>
      <c r="F64" s="78">
        <v>3</v>
      </c>
      <c r="G64" s="85">
        <f>67/$H$1</f>
        <v>1.1166666666666667</v>
      </c>
      <c r="S64" s="5"/>
      <c r="T64" s="5"/>
    </row>
    <row r="65" spans="1:12" x14ac:dyDescent="0.35">
      <c r="A65" s="9" t="s">
        <v>131</v>
      </c>
      <c r="B65" s="2">
        <v>3</v>
      </c>
      <c r="C65" s="79">
        <v>0.8</v>
      </c>
      <c r="D65" s="65">
        <f t="shared" si="0"/>
        <v>3.8</v>
      </c>
      <c r="E65" s="65">
        <f>18/$H$1</f>
        <v>0.3</v>
      </c>
      <c r="F65" s="79">
        <v>3</v>
      </c>
      <c r="G65" s="86">
        <f>69/$H$1</f>
        <v>1.1499999999999999</v>
      </c>
    </row>
    <row r="66" spans="1:12" x14ac:dyDescent="0.35">
      <c r="A66" s="9" t="s">
        <v>132</v>
      </c>
      <c r="B66" s="2">
        <v>3</v>
      </c>
      <c r="C66" s="79">
        <v>0.88</v>
      </c>
      <c r="D66" s="65">
        <f t="shared" si="0"/>
        <v>3.88</v>
      </c>
      <c r="E66" s="65">
        <f>20/$H$1</f>
        <v>0.33333333333333331</v>
      </c>
      <c r="F66" s="79">
        <v>3</v>
      </c>
      <c r="G66" s="86">
        <f>86/$H$1</f>
        <v>1.4333333333333333</v>
      </c>
    </row>
    <row r="67" spans="1:12" x14ac:dyDescent="0.35">
      <c r="A67" s="9" t="s">
        <v>133</v>
      </c>
      <c r="B67" s="2">
        <v>3</v>
      </c>
      <c r="C67" s="79">
        <v>0.92</v>
      </c>
      <c r="D67" s="65">
        <f t="shared" ref="D67:D91" si="1">B67+C67</f>
        <v>3.92</v>
      </c>
      <c r="E67" s="65">
        <f>20/$H$1</f>
        <v>0.33333333333333331</v>
      </c>
      <c r="F67" s="79">
        <v>3</v>
      </c>
      <c r="G67" s="86">
        <f>72/$H$1</f>
        <v>1.2</v>
      </c>
      <c r="I67" s="5"/>
    </row>
    <row r="68" spans="1:12" x14ac:dyDescent="0.35">
      <c r="A68" s="9" t="s">
        <v>134</v>
      </c>
      <c r="B68" s="2">
        <v>3</v>
      </c>
      <c r="C68" s="79">
        <f>4.9*H2</f>
        <v>0.66169600000000006</v>
      </c>
      <c r="D68" s="65">
        <f t="shared" si="1"/>
        <v>3.6616960000000001</v>
      </c>
      <c r="E68" s="65">
        <f>16/$H$1</f>
        <v>0.26666666666666666</v>
      </c>
      <c r="F68" s="79">
        <v>1</v>
      </c>
      <c r="G68" s="86">
        <f>51/$H$1</f>
        <v>0.85</v>
      </c>
      <c r="I68" s="5"/>
    </row>
    <row r="69" spans="1:12" x14ac:dyDescent="0.35">
      <c r="A69" s="9" t="s">
        <v>135</v>
      </c>
      <c r="B69" s="2">
        <v>3</v>
      </c>
      <c r="C69" s="79">
        <v>0.66</v>
      </c>
      <c r="D69" s="65">
        <f t="shared" si="1"/>
        <v>3.66</v>
      </c>
      <c r="E69" s="65">
        <f>10/$H$1</f>
        <v>0.16666666666666666</v>
      </c>
      <c r="F69" s="79">
        <v>2</v>
      </c>
      <c r="G69" s="86">
        <f>33/$H$1</f>
        <v>0.55000000000000004</v>
      </c>
      <c r="I69" s="5"/>
    </row>
    <row r="70" spans="1:12" x14ac:dyDescent="0.35">
      <c r="A70" s="9" t="s">
        <v>136</v>
      </c>
      <c r="B70" s="2">
        <v>3</v>
      </c>
      <c r="C70" s="79">
        <v>1.34</v>
      </c>
      <c r="D70" s="65">
        <f t="shared" si="1"/>
        <v>4.34</v>
      </c>
      <c r="E70" s="65">
        <f>18/$H$1</f>
        <v>0.3</v>
      </c>
      <c r="F70" s="79">
        <v>6</v>
      </c>
      <c r="G70" s="86">
        <f>104/$H$1</f>
        <v>1.7333333333333334</v>
      </c>
      <c r="I70" s="5"/>
      <c r="L70" t="s">
        <v>68</v>
      </c>
    </row>
    <row r="71" spans="1:12" x14ac:dyDescent="0.35">
      <c r="A71" s="9" t="s">
        <v>137</v>
      </c>
      <c r="B71" s="2">
        <v>3</v>
      </c>
      <c r="C71" s="79">
        <v>1.05</v>
      </c>
      <c r="D71" s="65">
        <f t="shared" si="1"/>
        <v>4.05</v>
      </c>
      <c r="E71" s="65">
        <f>15/$H$1</f>
        <v>0.25</v>
      </c>
      <c r="F71" s="79">
        <v>4</v>
      </c>
      <c r="G71" s="86">
        <f>92/$H$1</f>
        <v>1.5333333333333334</v>
      </c>
      <c r="I71" s="5"/>
    </row>
    <row r="72" spans="1:12" x14ac:dyDescent="0.35">
      <c r="A72" s="9" t="s">
        <v>139</v>
      </c>
      <c r="B72" s="2">
        <v>3</v>
      </c>
      <c r="C72" s="79">
        <v>1.61</v>
      </c>
      <c r="D72" s="65">
        <f t="shared" si="1"/>
        <v>4.6100000000000003</v>
      </c>
      <c r="E72" s="65">
        <f>18/$H$1</f>
        <v>0.3</v>
      </c>
      <c r="F72" s="79">
        <v>4</v>
      </c>
      <c r="G72" s="86">
        <f>139/$H$1</f>
        <v>2.3166666666666669</v>
      </c>
    </row>
    <row r="73" spans="1:12" x14ac:dyDescent="0.35">
      <c r="A73" s="9" t="s">
        <v>138</v>
      </c>
      <c r="B73" s="2">
        <v>3</v>
      </c>
      <c r="C73" s="79">
        <v>2.34</v>
      </c>
      <c r="D73" s="65">
        <f t="shared" si="1"/>
        <v>5.34</v>
      </c>
      <c r="E73" s="65">
        <f>25/$H$1</f>
        <v>0.41666666666666669</v>
      </c>
      <c r="F73" s="79">
        <v>5</v>
      </c>
      <c r="G73" s="86">
        <f>127/$H$1</f>
        <v>2.1166666666666667</v>
      </c>
    </row>
    <row r="74" spans="1:12" x14ac:dyDescent="0.35">
      <c r="A74" s="71" t="s">
        <v>140</v>
      </c>
      <c r="B74" s="63">
        <v>3</v>
      </c>
      <c r="C74" s="78">
        <v>1.7</v>
      </c>
      <c r="D74" s="65">
        <f t="shared" si="1"/>
        <v>4.7</v>
      </c>
      <c r="E74" s="65">
        <f>20/$H$1</f>
        <v>0.33333333333333331</v>
      </c>
      <c r="F74" s="78">
        <v>4</v>
      </c>
      <c r="G74" s="85">
        <f>104/$H$1</f>
        <v>1.7333333333333334</v>
      </c>
    </row>
    <row r="75" spans="1:12" x14ac:dyDescent="0.35">
      <c r="A75" s="71" t="s">
        <v>141</v>
      </c>
      <c r="B75" s="63">
        <v>3</v>
      </c>
      <c r="C75" s="78">
        <v>1.26</v>
      </c>
      <c r="D75" s="65">
        <f t="shared" si="1"/>
        <v>4.26</v>
      </c>
      <c r="E75" s="65">
        <f>16/$H$1</f>
        <v>0.26666666666666666</v>
      </c>
      <c r="F75" s="78">
        <v>4</v>
      </c>
      <c r="G75" s="85">
        <f>94/$H$1</f>
        <v>1.5666666666666667</v>
      </c>
    </row>
    <row r="76" spans="1:12" x14ac:dyDescent="0.35">
      <c r="A76" s="71" t="s">
        <v>142</v>
      </c>
      <c r="B76" s="63">
        <v>3</v>
      </c>
      <c r="C76" s="78">
        <f>11.6*H2</f>
        <v>1.5664639999999999</v>
      </c>
      <c r="D76" s="65">
        <f t="shared" si="1"/>
        <v>4.5664639999999999</v>
      </c>
      <c r="E76" s="65">
        <f>20/$H$1</f>
        <v>0.33333333333333331</v>
      </c>
      <c r="F76" s="78">
        <v>4</v>
      </c>
      <c r="G76" s="85">
        <f>136/$H$1</f>
        <v>2.2666666666666666</v>
      </c>
    </row>
    <row r="77" spans="1:12" x14ac:dyDescent="0.35">
      <c r="A77" s="71" t="s">
        <v>143</v>
      </c>
      <c r="B77" s="63">
        <v>3</v>
      </c>
      <c r="C77" s="78">
        <f>12.9*H2</f>
        <v>1.742016</v>
      </c>
      <c r="D77" s="65">
        <f t="shared" si="1"/>
        <v>4.7420159999999996</v>
      </c>
      <c r="E77" s="65">
        <f>22/$H$1</f>
        <v>0.36666666666666664</v>
      </c>
      <c r="F77" s="78">
        <v>6</v>
      </c>
      <c r="G77" s="85">
        <f>93/$H$1</f>
        <v>1.55</v>
      </c>
    </row>
    <row r="78" spans="1:12" x14ac:dyDescent="0.35">
      <c r="A78" s="71" t="s">
        <v>144</v>
      </c>
      <c r="B78" s="63">
        <v>3</v>
      </c>
      <c r="C78" s="78">
        <f>10.1*H2</f>
        <v>1.3639039999999998</v>
      </c>
      <c r="D78" s="65">
        <f t="shared" si="1"/>
        <v>4.3639039999999998</v>
      </c>
      <c r="E78" s="65">
        <f>13/$H$1</f>
        <v>0.21666666666666667</v>
      </c>
      <c r="F78" s="78">
        <v>4</v>
      </c>
      <c r="G78" s="85">
        <f>108/$H$1</f>
        <v>1.8</v>
      </c>
    </row>
    <row r="79" spans="1:12" x14ac:dyDescent="0.35">
      <c r="A79" s="71" t="s">
        <v>145</v>
      </c>
      <c r="B79" s="63">
        <v>3</v>
      </c>
      <c r="C79" s="78">
        <f>5.7*H2</f>
        <v>0.76972799999999997</v>
      </c>
      <c r="D79" s="65">
        <f t="shared" si="1"/>
        <v>3.7697279999999997</v>
      </c>
      <c r="E79" s="65">
        <f>11/$H$1</f>
        <v>0.18333333333333332</v>
      </c>
      <c r="F79" s="78">
        <v>4</v>
      </c>
      <c r="G79" s="85">
        <f>76/$H$1</f>
        <v>1.2666666666666666</v>
      </c>
    </row>
    <row r="80" spans="1:12" x14ac:dyDescent="0.35">
      <c r="A80" s="71" t="s">
        <v>146</v>
      </c>
      <c r="B80" s="63">
        <v>3</v>
      </c>
      <c r="C80" s="78">
        <f>7.6*H2</f>
        <v>1.0263039999999999</v>
      </c>
      <c r="D80" s="65">
        <f t="shared" si="1"/>
        <v>4.0263039999999997</v>
      </c>
      <c r="E80" s="65">
        <f>11/$H$1</f>
        <v>0.18333333333333332</v>
      </c>
      <c r="F80" s="78">
        <v>4</v>
      </c>
      <c r="G80" s="85">
        <f>82/$H$1</f>
        <v>1.3666666666666667</v>
      </c>
    </row>
    <row r="81" spans="1:19" x14ac:dyDescent="0.35">
      <c r="A81" s="71" t="s">
        <v>147</v>
      </c>
      <c r="B81" s="63">
        <v>3</v>
      </c>
      <c r="C81" s="78">
        <f>14.7*H2</f>
        <v>1.9850879999999997</v>
      </c>
      <c r="D81" s="65">
        <f t="shared" si="1"/>
        <v>4.9850879999999993</v>
      </c>
      <c r="E81" s="65">
        <f>19/$H$1</f>
        <v>0.31666666666666665</v>
      </c>
      <c r="F81" s="78">
        <v>4</v>
      </c>
      <c r="G81" s="85">
        <f>127/$H$1</f>
        <v>2.1166666666666667</v>
      </c>
    </row>
    <row r="82" spans="1:19" x14ac:dyDescent="0.35">
      <c r="A82" s="71" t="s">
        <v>148</v>
      </c>
      <c r="B82" s="63">
        <v>3</v>
      </c>
      <c r="C82" s="78">
        <f>5.3*H2</f>
        <v>0.7157119999999999</v>
      </c>
      <c r="D82" s="65">
        <f t="shared" si="1"/>
        <v>3.7157119999999999</v>
      </c>
      <c r="E82" s="65">
        <f>12/$H$1</f>
        <v>0.2</v>
      </c>
      <c r="F82" s="78">
        <v>2</v>
      </c>
      <c r="G82" s="85">
        <f>61/$H$1</f>
        <v>1.0166666666666666</v>
      </c>
    </row>
    <row r="83" spans="1:19" x14ac:dyDescent="0.35">
      <c r="A83" s="9" t="s">
        <v>149</v>
      </c>
      <c r="B83" s="2">
        <v>3</v>
      </c>
      <c r="C83" s="79">
        <f>11.8*H2</f>
        <v>1.593472</v>
      </c>
      <c r="D83" s="65">
        <f t="shared" si="1"/>
        <v>4.5934720000000002</v>
      </c>
      <c r="E83" s="65">
        <f>22/$H$1</f>
        <v>0.36666666666666664</v>
      </c>
      <c r="F83" s="79">
        <v>4</v>
      </c>
      <c r="G83" s="86">
        <f>81/$H$1</f>
        <v>1.35</v>
      </c>
    </row>
    <row r="84" spans="1:19" x14ac:dyDescent="0.35">
      <c r="A84" s="9" t="s">
        <v>150</v>
      </c>
      <c r="B84" s="2">
        <v>3</v>
      </c>
      <c r="C84" s="79">
        <f>11*H2</f>
        <v>1.4854399999999999</v>
      </c>
      <c r="D84" s="65">
        <f t="shared" si="1"/>
        <v>4.4854399999999996</v>
      </c>
      <c r="E84" s="65">
        <f>18/$H$1</f>
        <v>0.3</v>
      </c>
      <c r="F84" s="79">
        <v>4</v>
      </c>
      <c r="G84" s="86">
        <f>74/$H$1</f>
        <v>1.2333333333333334</v>
      </c>
    </row>
    <row r="85" spans="1:19" x14ac:dyDescent="0.35">
      <c r="A85" s="9" t="s">
        <v>151</v>
      </c>
      <c r="B85" s="2">
        <v>3</v>
      </c>
      <c r="C85" s="79">
        <f>10.5*H2</f>
        <v>1.4179199999999998</v>
      </c>
      <c r="D85" s="65">
        <f t="shared" si="1"/>
        <v>4.4179199999999996</v>
      </c>
      <c r="E85" s="65">
        <f>18/$H$1</f>
        <v>0.3</v>
      </c>
      <c r="F85" s="79">
        <v>6</v>
      </c>
      <c r="G85" s="86">
        <f>116/$H$1</f>
        <v>1.9333333333333333</v>
      </c>
    </row>
    <row r="86" spans="1:19" x14ac:dyDescent="0.35">
      <c r="A86" s="9" t="s">
        <v>152</v>
      </c>
      <c r="B86" s="2">
        <v>3</v>
      </c>
      <c r="C86" s="79">
        <f>13.8*H2</f>
        <v>1.8635520000000001</v>
      </c>
      <c r="D86" s="65">
        <f t="shared" si="1"/>
        <v>4.8635520000000003</v>
      </c>
      <c r="E86" s="65">
        <f>27/$H$1</f>
        <v>0.45</v>
      </c>
      <c r="F86" s="79">
        <v>4</v>
      </c>
      <c r="G86" s="86">
        <f>73/$H$1</f>
        <v>1.2166666666666666</v>
      </c>
    </row>
    <row r="87" spans="1:19" x14ac:dyDescent="0.35">
      <c r="A87" s="9" t="s">
        <v>153</v>
      </c>
      <c r="B87" s="2">
        <v>3</v>
      </c>
      <c r="C87" s="79">
        <f>14.5*H2</f>
        <v>1.9580799999999998</v>
      </c>
      <c r="D87" s="65">
        <f t="shared" si="1"/>
        <v>4.9580799999999998</v>
      </c>
      <c r="E87" s="65">
        <f>21/$H$1</f>
        <v>0.35</v>
      </c>
      <c r="F87" s="79">
        <v>4</v>
      </c>
      <c r="G87" s="86">
        <f>88/$H$1</f>
        <v>1.4666666666666666</v>
      </c>
    </row>
    <row r="88" spans="1:19" x14ac:dyDescent="0.35">
      <c r="A88" s="9" t="s">
        <v>154</v>
      </c>
      <c r="B88" s="2">
        <v>3</v>
      </c>
      <c r="C88" s="79">
        <f>4.7*H2</f>
        <v>0.63468800000000003</v>
      </c>
      <c r="D88" s="65">
        <f t="shared" si="1"/>
        <v>3.6346880000000001</v>
      </c>
      <c r="E88" s="65">
        <f>10/$H$1</f>
        <v>0.16666666666666666</v>
      </c>
      <c r="F88" s="79">
        <v>2</v>
      </c>
      <c r="G88" s="86">
        <f>41/$H$1</f>
        <v>0.68333333333333335</v>
      </c>
      <c r="O88" s="29"/>
      <c r="P88" s="29"/>
      <c r="R88" s="29"/>
      <c r="S88" s="29"/>
    </row>
    <row r="89" spans="1:19" x14ac:dyDescent="0.35">
      <c r="A89" s="9" t="s">
        <v>155</v>
      </c>
      <c r="B89" s="2">
        <v>3</v>
      </c>
      <c r="C89" s="79">
        <f>10.2*H2</f>
        <v>1.3774079999999997</v>
      </c>
      <c r="D89" s="65">
        <f t="shared" si="1"/>
        <v>4.377408</v>
      </c>
      <c r="E89" s="65">
        <f>20/$H$1</f>
        <v>0.33333333333333331</v>
      </c>
      <c r="F89" s="79">
        <v>2</v>
      </c>
      <c r="G89" s="86">
        <f>62/$H$1</f>
        <v>1.0333333333333334</v>
      </c>
    </row>
    <row r="90" spans="1:19" x14ac:dyDescent="0.35">
      <c r="A90" s="9" t="s">
        <v>156</v>
      </c>
      <c r="B90" s="2">
        <v>3</v>
      </c>
      <c r="C90" s="79">
        <f>19.1*H2</f>
        <v>2.5792640000000002</v>
      </c>
      <c r="D90" s="65">
        <f t="shared" si="1"/>
        <v>5.5792640000000002</v>
      </c>
      <c r="E90" s="65">
        <f>26/$H$1</f>
        <v>0.43333333333333335</v>
      </c>
      <c r="F90" s="79">
        <v>4</v>
      </c>
      <c r="G90" s="86">
        <f>106/$H$1</f>
        <v>1.7666666666666666</v>
      </c>
    </row>
    <row r="91" spans="1:19" ht="16" thickBot="1" x14ac:dyDescent="0.4">
      <c r="A91" s="35" t="s">
        <v>157</v>
      </c>
      <c r="B91" s="82">
        <v>3</v>
      </c>
      <c r="C91" s="87">
        <f>5.3*H2</f>
        <v>0.7157119999999999</v>
      </c>
      <c r="D91" s="88">
        <f t="shared" si="1"/>
        <v>3.7157119999999999</v>
      </c>
      <c r="E91" s="88">
        <f>12/$H$1</f>
        <v>0.2</v>
      </c>
      <c r="F91" s="87">
        <v>2</v>
      </c>
      <c r="G91" s="89">
        <f>52/$H$1</f>
        <v>0.8666666666666667</v>
      </c>
    </row>
    <row r="92" spans="1:19" x14ac:dyDescent="0.35">
      <c r="D92" s="83"/>
    </row>
  </sheetData>
  <phoneticPr fontId="9" type="noConversion"/>
  <conditionalFormatting sqref="E2:E5 E11:E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47">
    <cfRule type="cellIs" dxfId="2" priority="1" operator="greaterThan">
      <formula>0.5</formula>
    </cfRule>
  </conditionalFormatting>
  <conditionalFormatting sqref="P56:P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E13F-BB25-4E4A-AE19-989A2D4F4D2A}">
  <dimension ref="A1:U93"/>
  <sheetViews>
    <sheetView topLeftCell="K1" zoomScale="107" zoomScaleNormal="75" workbookViewId="0">
      <selection activeCell="P93" sqref="P93:Q93"/>
    </sheetView>
  </sheetViews>
  <sheetFormatPr defaultColWidth="11" defaultRowHeight="15.5" x14ac:dyDescent="0.35"/>
  <cols>
    <col min="2" max="2" width="29" customWidth="1"/>
    <col min="4" max="4" width="15.83203125" customWidth="1"/>
    <col min="5" max="5" width="25.5" customWidth="1"/>
    <col min="6" max="6" width="33" customWidth="1"/>
    <col min="7" max="7" width="20.5" customWidth="1"/>
    <col min="8" max="8" width="19.58203125" customWidth="1"/>
    <col min="9" max="9" width="37.08203125" customWidth="1"/>
    <col min="10" max="10" width="19.33203125" customWidth="1"/>
    <col min="11" max="11" width="20.5" customWidth="1"/>
    <col min="13" max="13" width="22.83203125" customWidth="1"/>
    <col min="14" max="14" width="23.08203125" customWidth="1"/>
    <col min="15" max="15" width="24.83203125" customWidth="1"/>
    <col min="17" max="17" width="17" customWidth="1"/>
  </cols>
  <sheetData>
    <row r="1" spans="1:21" x14ac:dyDescent="0.35">
      <c r="A1" s="6" t="s">
        <v>26</v>
      </c>
      <c r="B1" s="100" t="s">
        <v>27</v>
      </c>
      <c r="C1" s="69" t="s">
        <v>28</v>
      </c>
      <c r="D1" s="69" t="s">
        <v>29</v>
      </c>
      <c r="E1" s="101" t="s">
        <v>30</v>
      </c>
      <c r="F1" s="102" t="s">
        <v>31</v>
      </c>
      <c r="G1" s="103" t="s">
        <v>32</v>
      </c>
      <c r="H1" s="103" t="s">
        <v>33</v>
      </c>
      <c r="I1" s="103" t="s">
        <v>34</v>
      </c>
      <c r="J1" s="101" t="s">
        <v>35</v>
      </c>
      <c r="K1" s="100" t="s">
        <v>36</v>
      </c>
      <c r="L1" s="100" t="s">
        <v>37</v>
      </c>
      <c r="M1" s="104" t="s">
        <v>38</v>
      </c>
      <c r="N1" s="104" t="s">
        <v>39</v>
      </c>
      <c r="O1" s="104" t="s">
        <v>40</v>
      </c>
      <c r="P1" s="105" t="s">
        <v>41</v>
      </c>
      <c r="Q1" s="105" t="s">
        <v>42</v>
      </c>
      <c r="R1" s="106" t="s">
        <v>41</v>
      </c>
    </row>
    <row r="2" spans="1:21" s="94" customFormat="1" x14ac:dyDescent="0.35">
      <c r="A2" s="71" t="s">
        <v>6</v>
      </c>
      <c r="B2" s="66">
        <v>29.8274038461538</v>
      </c>
      <c r="C2" s="67">
        <f>0.5*B2</f>
        <v>14.9137019230769</v>
      </c>
      <c r="D2" s="68">
        <f>-(Transportation_info!D2+C2*Transportation_info!E2)</f>
        <v>-4.4428084935897418</v>
      </c>
      <c r="E2" s="68">
        <f>-(Transportation_info!F2+C2*Transportation_info!G2)</f>
        <v>-4.2370552884615353</v>
      </c>
      <c r="F2" s="63">
        <f>Solver_page!C6/(-(0.5*D2+0.5*E2))^2</f>
        <v>1647.30477689648</v>
      </c>
      <c r="G2" s="95">
        <f>F2/SUM($F$2:$F$10)</f>
        <v>0.3264560742836326</v>
      </c>
      <c r="H2" s="95">
        <f>G2*Solver_page!$F$5</f>
        <v>1.1222829497460203E-2</v>
      </c>
      <c r="I2" s="96">
        <f>Solver_page!$E$5*G2</f>
        <v>3287.7391241104638</v>
      </c>
      <c r="J2" s="81">
        <f>EXP(E2)/(EXP(D2)+EXP(E2))</f>
        <v>0.55125759884725389</v>
      </c>
      <c r="K2" s="66">
        <f>MAX(0,1-(Transportation_info!F2+$C$92*Transportation_info!G2)/(B2*1.5))*G2</f>
        <v>0.29743984409841195</v>
      </c>
      <c r="L2" s="97">
        <f>Solver_page!Y2</f>
        <v>0</v>
      </c>
      <c r="M2" s="90">
        <f>E2+L2</f>
        <v>-4.2370552884615353</v>
      </c>
      <c r="N2" s="91">
        <f>EXP(M2)/(EXP(M2)+EXP(D2))</f>
        <v>0.55125759884725389</v>
      </c>
      <c r="O2" s="90">
        <f>MAX(0,1-(Transportation_info!F2+$C$92*Transportation_info!G2-L2)/(B2*1.5))*G2</f>
        <v>0.29743984409841195</v>
      </c>
      <c r="P2" s="92">
        <f>N2*I2*Transportation_info!F2</f>
        <v>3624.7823503866157</v>
      </c>
      <c r="Q2" s="93">
        <f>N2*I2*L2</f>
        <v>0</v>
      </c>
      <c r="R2" s="72">
        <f>P2-Q2</f>
        <v>3624.7823503866157</v>
      </c>
    </row>
    <row r="3" spans="1:21" s="94" customFormat="1" x14ac:dyDescent="0.35">
      <c r="A3" s="71" t="s">
        <v>7</v>
      </c>
      <c r="B3" s="66">
        <v>29.827403846153846</v>
      </c>
      <c r="C3" s="67">
        <f>0.5*B3</f>
        <v>14.913701923076923</v>
      </c>
      <c r="D3" s="68">
        <f>-(Transportation_info!D3+C3*Transportation_info!E3)</f>
        <v>-5.0599318910256406</v>
      </c>
      <c r="E3" s="68">
        <f>-(Transportation_info!F3+C3*Transportation_info!G3)</f>
        <v>-6.4741105769230769</v>
      </c>
      <c r="F3" s="63">
        <f>Solver_page!C7/(-(0.5*D3+0.5*E3))^2</f>
        <v>1515.0096553154588</v>
      </c>
      <c r="G3" s="95">
        <f t="shared" ref="G3:G10" si="0">F3/SUM($F$2:$F$10)</f>
        <v>0.30023837210493609</v>
      </c>
      <c r="H3" s="95">
        <f>G3*Solver_page!$F$5</f>
        <v>1.032152354990702E-2</v>
      </c>
      <c r="I3" s="96">
        <f>Solver_page!$E$5*G3</f>
        <v>3023.7006454688112</v>
      </c>
      <c r="J3" s="81">
        <f t="shared" ref="J3:J66" si="1">EXP(E3)/(EXP(D3)+EXP(E3))</f>
        <v>0.19557580440802719</v>
      </c>
      <c r="K3" s="66">
        <f>MAX(0,1-(Transportation_info!F3+$C$92*Transportation_info!G3)/(B3*1.5))*G3</f>
        <v>0.26028764350061645</v>
      </c>
      <c r="L3" s="97">
        <f>Solver_page!Y3</f>
        <v>0</v>
      </c>
      <c r="M3" s="90">
        <f>E3+L3</f>
        <v>-6.4741105769230769</v>
      </c>
      <c r="N3" s="91">
        <f t="shared" ref="N3:N66" si="2">EXP(M3)/(EXP(M3)+EXP(D3))</f>
        <v>0.19557580440802719</v>
      </c>
      <c r="O3" s="90">
        <f>MAX(0,1-(Transportation_info!F3+$C$92*Transportation_info!G3-L3)/(B3*1.5))*G3</f>
        <v>0.26028764350061645</v>
      </c>
      <c r="P3" s="92">
        <f>N3*I3*Transportation_info!F3</f>
        <v>1182.7253720532676</v>
      </c>
      <c r="Q3" s="93">
        <f t="shared" ref="Q3:Q66" si="3">N3*I3*L3</f>
        <v>0</v>
      </c>
      <c r="R3" s="72">
        <f t="shared" ref="R3:R66" si="4">P3-Q3</f>
        <v>1182.7253720532676</v>
      </c>
    </row>
    <row r="4" spans="1:21" s="94" customFormat="1" x14ac:dyDescent="0.35">
      <c r="A4" s="71" t="s">
        <v>8</v>
      </c>
      <c r="B4" s="66">
        <v>29.827403846153846</v>
      </c>
      <c r="C4" s="67">
        <f t="shared" ref="C4:C5" si="5">0.5*B4</f>
        <v>14.913701923076923</v>
      </c>
      <c r="D4" s="68">
        <f>-(Transportation_info!D4+C4*Transportation_info!E4)</f>
        <v>-5.6870552884615382</v>
      </c>
      <c r="E4" s="68">
        <f>-(Transportation_info!F4+C4*Transportation_info!G4)</f>
        <v>-10.202536057692308</v>
      </c>
      <c r="F4" s="63">
        <f>Solver_page!C8/(-(0.5*D4+0.5*E4))^2</f>
        <v>579.89747418951902</v>
      </c>
      <c r="G4" s="95">
        <f t="shared" si="0"/>
        <v>0.11492169243117617</v>
      </c>
      <c r="H4" s="95">
        <f>G4*Solver_page!$F$5</f>
        <v>3.9507506868874838E-3</v>
      </c>
      <c r="I4" s="96">
        <f>Solver_page!$E$5*G4</f>
        <v>1157.3763644743751</v>
      </c>
      <c r="J4" s="81">
        <f t="shared" si="1"/>
        <v>1.0819992234338365E-2</v>
      </c>
      <c r="K4" s="66">
        <f>MAX(0,1-(Transportation_info!F4+$C$92*Transportation_info!G4)/(B4*1.5))*G4</f>
        <v>9.1167590761557116E-2</v>
      </c>
      <c r="L4" s="97">
        <f>Solver_page!Y4</f>
        <v>0</v>
      </c>
      <c r="M4" s="90">
        <f t="shared" ref="M4:M67" si="6">E4+L4</f>
        <v>-10.202536057692308</v>
      </c>
      <c r="N4" s="91">
        <f t="shared" si="2"/>
        <v>1.0819992234338365E-2</v>
      </c>
      <c r="O4" s="90">
        <f>MAX(0,1-(Transportation_info!F4+$C$92*Transportation_info!G4-L4)/(B4*1.5))*G4</f>
        <v>9.1167590761557116E-2</v>
      </c>
      <c r="P4" s="92">
        <f>N4*I4*Transportation_info!F4</f>
        <v>25.045606551639015</v>
      </c>
      <c r="Q4" s="93">
        <f t="shared" si="3"/>
        <v>0</v>
      </c>
      <c r="R4" s="72">
        <f t="shared" si="4"/>
        <v>25.045606551639015</v>
      </c>
    </row>
    <row r="5" spans="1:21" s="94" customFormat="1" x14ac:dyDescent="0.35">
      <c r="A5" s="71" t="s">
        <v>9</v>
      </c>
      <c r="B5" s="66">
        <v>29.827403846153846</v>
      </c>
      <c r="C5" s="67">
        <f t="shared" si="5"/>
        <v>14.913701923076923</v>
      </c>
      <c r="D5" s="68">
        <f>-(Transportation_info!D5+C5*Transportation_info!E5)</f>
        <v>-5.6570552884615388</v>
      </c>
      <c r="E5" s="68">
        <f>-(Transportation_info!F5+C5*Transportation_info!G5)</f>
        <v>-9.7169190705128212</v>
      </c>
      <c r="F5" s="63">
        <f>Solver_page!C9/(-(0.5*D5+0.5*E5))^2</f>
        <v>419.73423155162402</v>
      </c>
      <c r="G5" s="95">
        <f t="shared" si="0"/>
        <v>8.3181200829730462E-2</v>
      </c>
      <c r="H5" s="95">
        <f>G5*Solver_page!$F$5</f>
        <v>2.8595835943765868E-3</v>
      </c>
      <c r="I5" s="96">
        <f>Solver_page!$E$5*G5</f>
        <v>837.71787355621552</v>
      </c>
      <c r="J5" s="81">
        <f t="shared" si="1"/>
        <v>1.6958806278153875E-2</v>
      </c>
      <c r="K5" s="66">
        <f>MAX(0,1-(Transportation_info!F5+$C$92*Transportation_info!G5)/(B5*1.5))*G5</f>
        <v>6.6352818926180779E-2</v>
      </c>
      <c r="L5" s="97">
        <f>Solver_page!Y5</f>
        <v>0</v>
      </c>
      <c r="M5" s="90">
        <f t="shared" si="6"/>
        <v>-9.7169190705128212</v>
      </c>
      <c r="N5" s="91">
        <f t="shared" si="2"/>
        <v>1.6958806278153875E-2</v>
      </c>
      <c r="O5" s="90">
        <f>MAX(0,1-(Transportation_info!F5+$C$92*Transportation_info!G5-L5)/(B5*1.5))*G5</f>
        <v>6.6352818926180779E-2</v>
      </c>
      <c r="P5" s="92">
        <f>N5*I5*Transportation_info!F5</f>
        <v>56.826780533547449</v>
      </c>
      <c r="Q5" s="93">
        <f t="shared" si="3"/>
        <v>0</v>
      </c>
      <c r="R5" s="72">
        <f t="shared" si="4"/>
        <v>56.826780533547449</v>
      </c>
    </row>
    <row r="6" spans="1:21" s="94" customFormat="1" x14ac:dyDescent="0.35">
      <c r="A6" s="71" t="s">
        <v>88</v>
      </c>
      <c r="B6" s="66">
        <v>29.827403846153846</v>
      </c>
      <c r="C6" s="67">
        <f>0.5*B6</f>
        <v>14.913701923076923</v>
      </c>
      <c r="D6" s="68">
        <f>-(Transportation_info!D6+C6*Transportation_info!E6)</f>
        <v>-7.7169871794871803</v>
      </c>
      <c r="E6" s="68">
        <f>-(Transportation_info!F6+C6*Transportation_info!G6)</f>
        <v>-16.428084935897438</v>
      </c>
      <c r="F6" s="63">
        <f>Solver_page!C10/(-(0.5*D6+0.5*E6))^2</f>
        <v>221.34378932786711</v>
      </c>
      <c r="G6" s="95">
        <f t="shared" si="0"/>
        <v>4.3865000298957929E-2</v>
      </c>
      <c r="H6" s="95">
        <f>G6*Solver_page!$F$5</f>
        <v>1.5079805769934401E-3</v>
      </c>
      <c r="I6" s="96">
        <f>Solver_page!$E$5*G6</f>
        <v>441.76441801080529</v>
      </c>
      <c r="J6" s="81">
        <f t="shared" si="1"/>
        <v>1.6472016556033073E-4</v>
      </c>
      <c r="K6" s="66">
        <f>MAX(0,1-(Transportation_info!F6+$C$92*Transportation_info!G6)/(B6*1.5))*G6</f>
        <v>2.9176693760143004E-2</v>
      </c>
      <c r="L6" s="97">
        <f>Solver_page!Y6</f>
        <v>0</v>
      </c>
      <c r="M6" s="90">
        <f t="shared" si="6"/>
        <v>-16.428084935897438</v>
      </c>
      <c r="N6" s="91">
        <f t="shared" si="2"/>
        <v>1.6472016556033073E-4</v>
      </c>
      <c r="O6" s="90">
        <f>MAX(0,1-(Transportation_info!F6+$C$92*Transportation_info!G6-L6)/(B6*1.5))*G6</f>
        <v>2.9176693760143004E-2</v>
      </c>
      <c r="P6" s="92">
        <f>N6*I6*Transportation_info!F6</f>
        <v>0.291070032293612</v>
      </c>
      <c r="Q6" s="93">
        <f t="shared" si="3"/>
        <v>0</v>
      </c>
      <c r="R6" s="72">
        <f t="shared" si="4"/>
        <v>0.291070032293612</v>
      </c>
      <c r="U6" s="107"/>
    </row>
    <row r="7" spans="1:21" s="94" customFormat="1" x14ac:dyDescent="0.35">
      <c r="A7" s="71" t="s">
        <v>89</v>
      </c>
      <c r="B7" s="66">
        <v>29.827403846153846</v>
      </c>
      <c r="C7" s="67">
        <f>0.5*B7</f>
        <v>14.913701923076923</v>
      </c>
      <c r="D7" s="68">
        <f>-(Transportation_info!D7+C7*Transportation_info!E7)</f>
        <v>-6.8813020833333329</v>
      </c>
      <c r="E7" s="68">
        <f>-(Transportation_info!F7+C7*Transportation_info!G7)</f>
        <v>-10.948221153846154</v>
      </c>
      <c r="F7" s="63">
        <f>Solver_page!C11/(-(0.5*D7+0.5*E7))^2</f>
        <v>340.84542697318665</v>
      </c>
      <c r="G7" s="95">
        <f t="shared" si="0"/>
        <v>6.7547342536594612E-2</v>
      </c>
      <c r="H7" s="95">
        <f>G7*Solver_page!$F$5</f>
        <v>2.3221265217938983E-3</v>
      </c>
      <c r="I7" s="96">
        <f>Solver_page!$E$5*G7</f>
        <v>680.26928668604432</v>
      </c>
      <c r="J7" s="81">
        <f t="shared" si="1"/>
        <v>1.6841586088748146E-2</v>
      </c>
      <c r="K7" s="66">
        <f>MAX(0,1-(Transportation_info!F7+$C$92*Transportation_info!G7)/(B7*1.5))*G7</f>
        <v>5.2590664693958532E-2</v>
      </c>
      <c r="L7" s="97">
        <f>Solver_page!Y7</f>
        <v>0</v>
      </c>
      <c r="M7" s="90">
        <f t="shared" si="6"/>
        <v>-10.948221153846154</v>
      </c>
      <c r="N7" s="91">
        <f t="shared" si="2"/>
        <v>1.6841586088748146E-2</v>
      </c>
      <c r="O7" s="90">
        <f>MAX(0,1-(Transportation_info!F7+$C$92*Transportation_info!G7-L7)/(B7*1.5))*G7</f>
        <v>5.2590664693958532E-2</v>
      </c>
      <c r="P7" s="92">
        <f>N7*I7*Transportation_info!F7</f>
        <v>22.913627510508618</v>
      </c>
      <c r="Q7" s="93">
        <f t="shared" si="3"/>
        <v>0</v>
      </c>
      <c r="R7" s="72">
        <f t="shared" si="4"/>
        <v>22.913627510508618</v>
      </c>
    </row>
    <row r="8" spans="1:21" s="94" customFormat="1" x14ac:dyDescent="0.35">
      <c r="A8" s="71" t="s">
        <v>90</v>
      </c>
      <c r="B8" s="66">
        <v>29.827403846153846</v>
      </c>
      <c r="C8" s="67">
        <f>0.5*B8</f>
        <v>14.913701923076923</v>
      </c>
      <c r="D8" s="68">
        <f>-(Transportation_info!D8+C8*Transportation_info!E8)</f>
        <v>-7.9055488782051277</v>
      </c>
      <c r="E8" s="68">
        <f>-(Transportation_info!F8+C8*Transportation_info!G8)</f>
        <v>-15.173770032051282</v>
      </c>
      <c r="F8" s="63">
        <f>Solver_page!C12/(-(0.5*D8+0.5*E8))^2</f>
        <v>105.45663529809214</v>
      </c>
      <c r="G8" s="95">
        <f t="shared" si="0"/>
        <v>2.0898961533661223E-2</v>
      </c>
      <c r="H8" s="95">
        <f>G8*Solver_page!$F$5</f>
        <v>7.1845954308229763E-4</v>
      </c>
      <c r="I8" s="96">
        <f>Solver_page!$E$5*G8</f>
        <v>210.47344160550219</v>
      </c>
      <c r="J8" s="81">
        <f t="shared" si="1"/>
        <v>6.9686541185636777E-4</v>
      </c>
      <c r="K8" s="66">
        <f>MAX(0,1-(Transportation_info!F8+$C$92*Transportation_info!G8)/(B8*1.5))*G8</f>
        <v>1.4527330652100346E-2</v>
      </c>
      <c r="L8" s="97">
        <f>Solver_page!Y8</f>
        <v>0</v>
      </c>
      <c r="M8" s="90">
        <f t="shared" si="6"/>
        <v>-15.173770032051282</v>
      </c>
      <c r="N8" s="91">
        <f t="shared" si="2"/>
        <v>6.9686541185636777E-4</v>
      </c>
      <c r="O8" s="90">
        <f>MAX(0,1-(Transportation_info!F8+$C$92*Transportation_info!G8-L8)/(B8*1.5))*G8</f>
        <v>1.4527330652100346E-2</v>
      </c>
      <c r="P8" s="92">
        <f>N8*I8*Transportation_info!F8</f>
        <v>0.29334332313849093</v>
      </c>
      <c r="Q8" s="93">
        <f t="shared" si="3"/>
        <v>0</v>
      </c>
      <c r="R8" s="72">
        <f t="shared" si="4"/>
        <v>0.29334332313849093</v>
      </c>
    </row>
    <row r="9" spans="1:21" s="94" customFormat="1" x14ac:dyDescent="0.35">
      <c r="A9" s="71" t="s">
        <v>91</v>
      </c>
      <c r="B9" s="66">
        <v>29.827403846153846</v>
      </c>
      <c r="C9" s="67">
        <f t="shared" ref="C9:C10" si="7">0.5*B9</f>
        <v>14.913701923076923</v>
      </c>
      <c r="D9" s="68">
        <f>-(Transportation_info!D9+C9*Transportation_info!E9)</f>
        <v>-9.0326722756410263</v>
      </c>
      <c r="E9" s="68">
        <f>-(Transportation_info!F9+C9*Transportation_info!G9)</f>
        <v>-29.104731570512822</v>
      </c>
      <c r="F9" s="63">
        <f>Solver_page!C13/(-(0.5*D9+0.5*E9))^2</f>
        <v>76.776177618002677</v>
      </c>
      <c r="G9" s="95">
        <f t="shared" si="0"/>
        <v>1.5215186585506472E-2</v>
      </c>
      <c r="H9" s="95">
        <f>G9*Solver_page!$F$5</f>
        <v>5.2306407591247569E-4</v>
      </c>
      <c r="I9" s="96">
        <f>Solver_page!$E$5*G9</f>
        <v>153.23214410263569</v>
      </c>
      <c r="J9" s="81">
        <f t="shared" si="1"/>
        <v>1.9178534007708217E-9</v>
      </c>
      <c r="K9" s="66">
        <f>MAX(0,1-(Transportation_info!F9+$C$92*Transportation_info!G9)/(B9*1.5))*G9</f>
        <v>6.3110948995788244E-3</v>
      </c>
      <c r="L9" s="97">
        <f>Solver_page!Y9</f>
        <v>0</v>
      </c>
      <c r="M9" s="90">
        <f t="shared" si="6"/>
        <v>-29.104731570512822</v>
      </c>
      <c r="N9" s="91">
        <f t="shared" si="2"/>
        <v>1.9178534007708217E-9</v>
      </c>
      <c r="O9" s="90">
        <f>MAX(0,1-(Transportation_info!F9+$C$92*Transportation_info!G9-L9)/(B9*1.5))*G9</f>
        <v>6.3110948995788244E-3</v>
      </c>
      <c r="P9" s="92">
        <f>N9*I9*Transportation_info!F9</f>
        <v>1.1755071546985778E-6</v>
      </c>
      <c r="Q9" s="93">
        <f t="shared" si="3"/>
        <v>0</v>
      </c>
      <c r="R9" s="72">
        <f t="shared" si="4"/>
        <v>1.1755071546985778E-6</v>
      </c>
    </row>
    <row r="10" spans="1:21" s="94" customFormat="1" x14ac:dyDescent="0.35">
      <c r="A10" s="71" t="s">
        <v>92</v>
      </c>
      <c r="B10" s="66">
        <v>29.827403846153846</v>
      </c>
      <c r="C10" s="67">
        <f t="shared" si="7"/>
        <v>14.913701923076923</v>
      </c>
      <c r="D10" s="68">
        <f>-(Transportation_info!D10+C10*Transportation_info!E10)</f>
        <v>-9.1826722756410248</v>
      </c>
      <c r="E10" s="68">
        <f>-(Transportation_info!F10+C10*Transportation_info!G10)</f>
        <v>-24.133497596153848</v>
      </c>
      <c r="F10" s="63">
        <f>Solver_page!C14/(-(0.5*D10+0.5*E10))^2</f>
        <v>139.65458033503884</v>
      </c>
      <c r="G10" s="95">
        <f t="shared" si="0"/>
        <v>2.7676169395804535E-2</v>
      </c>
      <c r="H10" s="95">
        <f>G10*Solver_page!$F$5</f>
        <v>9.5144478764417077E-4</v>
      </c>
      <c r="I10" s="96">
        <f>Solver_page!$E$5*G10</f>
        <v>278.72670198514749</v>
      </c>
      <c r="J10" s="81">
        <f t="shared" si="1"/>
        <v>3.2132086236204234E-7</v>
      </c>
      <c r="K10" s="66">
        <f>MAX(0,1-(Transportation_info!F10+$C$92*Transportation_info!G10)/(B10*1.5))*G10</f>
        <v>1.4197014308770024E-2</v>
      </c>
      <c r="L10" s="97">
        <f>Solver_page!Y10</f>
        <v>0</v>
      </c>
      <c r="M10" s="90">
        <f t="shared" si="6"/>
        <v>-24.133497596153848</v>
      </c>
      <c r="N10" s="91">
        <f t="shared" si="2"/>
        <v>3.2132086236204234E-7</v>
      </c>
      <c r="O10" s="90">
        <f>MAX(0,1-(Transportation_info!F10+$C$92*Transportation_info!G10-L10)/(B10*1.5))*G10</f>
        <v>1.4197014308770024E-2</v>
      </c>
      <c r="P10" s="92">
        <f>N10*I10*Transportation_info!F10</f>
        <v>3.5824281698078228E-4</v>
      </c>
      <c r="Q10" s="93">
        <f t="shared" si="3"/>
        <v>0</v>
      </c>
      <c r="R10" s="72">
        <f t="shared" si="4"/>
        <v>3.5824281698078228E-4</v>
      </c>
    </row>
    <row r="11" spans="1:21" x14ac:dyDescent="0.35">
      <c r="A11" s="9" t="s">
        <v>10</v>
      </c>
      <c r="B11" s="30">
        <v>15.841346153846155</v>
      </c>
      <c r="C11" s="62">
        <f>0.5*B11</f>
        <v>7.9206730769230775</v>
      </c>
      <c r="D11" s="8">
        <f>-(Transportation_info!D11+C11*Transportation_info!E11)</f>
        <v>-3.8500560897435898</v>
      </c>
      <c r="E11" s="8">
        <f>-(Transportation_info!F11+C11*Transportation_info!G11)</f>
        <v>-3.5841346153846159</v>
      </c>
      <c r="F11" s="2">
        <f>Solver_page!C5/(-(0.5*D11+0.5*E11))^2</f>
        <v>728.89537083818152</v>
      </c>
      <c r="G11" s="98">
        <f>F11/SUM($F$11:$F$19)</f>
        <v>0.13974490228312686</v>
      </c>
      <c r="H11" s="98">
        <f>G11*Solver_page!$F$6</f>
        <v>1.4800649539133086E-2</v>
      </c>
      <c r="I11" s="99">
        <f>Solver_page!$E$6*G11</f>
        <v>4335.8650831385767</v>
      </c>
      <c r="J11" s="31">
        <f t="shared" si="1"/>
        <v>0.5660913601921449</v>
      </c>
      <c r="K11" s="30">
        <f>MAX(0,1-(Transportation_info!F11+$C$92*Transportation_info!G11)/(B11*1.5))*G11</f>
        <v>0.11248283905998217</v>
      </c>
      <c r="L11" s="97">
        <f>Solver_page!Y11</f>
        <v>0</v>
      </c>
      <c r="M11" s="32">
        <f t="shared" si="6"/>
        <v>-3.5841346153846159</v>
      </c>
      <c r="N11" s="33">
        <f t="shared" si="2"/>
        <v>0.5660913601921449</v>
      </c>
      <c r="O11" s="32">
        <f>MAX(0,1-(Transportation_info!F11+$C$92*Transportation_info!G11-L11)/(B11*1.5))*G11</f>
        <v>0.11248283905998217</v>
      </c>
      <c r="P11" s="34">
        <f>N11*I11*Transportation_info!F11</f>
        <v>4908.9915250470885</v>
      </c>
      <c r="Q11" s="7">
        <f t="shared" si="3"/>
        <v>0</v>
      </c>
      <c r="R11" s="73">
        <f t="shared" si="4"/>
        <v>4908.9915250470885</v>
      </c>
    </row>
    <row r="12" spans="1:21" x14ac:dyDescent="0.35">
      <c r="A12" s="9" t="s">
        <v>11</v>
      </c>
      <c r="B12" s="30">
        <v>15.841346153846155</v>
      </c>
      <c r="C12" s="62">
        <f t="shared" ref="C12:C19" si="8">0.5*B12</f>
        <v>7.9206730769230775</v>
      </c>
      <c r="D12" s="8">
        <f>-(Transportation_info!D12+C12*Transportation_info!E12)</f>
        <v>-4.142067307692308</v>
      </c>
      <c r="E12" s="8">
        <f>-(Transportation_info!F12+C12*Transportation_info!G12)</f>
        <v>-8.6203926282051277</v>
      </c>
      <c r="F12" s="2">
        <f>Solver_page!C7/(-(0.5*D12+0.5*E12))^2</f>
        <v>1237.3988538479837</v>
      </c>
      <c r="G12" s="98">
        <f>F12/SUM($F$11:$F$19)</f>
        <v>0.23723594473839624</v>
      </c>
      <c r="H12" s="98">
        <f>G12*Solver_page!$F$6</f>
        <v>2.5126112071295951E-2</v>
      </c>
      <c r="I12" s="99">
        <f>Solver_page!$E$6*G12</f>
        <v>7360.7196573982201</v>
      </c>
      <c r="J12" s="31">
        <f t="shared" si="1"/>
        <v>1.122497834666248E-2</v>
      </c>
      <c r="K12" s="30">
        <f>MAX(0,1-(Transportation_info!F12+$C$92*Transportation_info!G12)/(B12*1.5))*G12</f>
        <v>0.12055322528838958</v>
      </c>
      <c r="L12" s="97">
        <f>Solver_page!Y12</f>
        <v>0</v>
      </c>
      <c r="M12" s="32">
        <f t="shared" si="6"/>
        <v>-8.6203926282051277</v>
      </c>
      <c r="N12" s="33">
        <f t="shared" si="2"/>
        <v>1.122497834666248E-2</v>
      </c>
      <c r="O12" s="32">
        <f>MAX(0,1-(Transportation_info!F12+$C$92*Transportation_info!G12-L12)/(B12*1.5))*G12</f>
        <v>0.12055322528838958</v>
      </c>
      <c r="P12" s="34">
        <f>N12*I12*Transportation_info!F12</f>
        <v>330.49567508059158</v>
      </c>
      <c r="Q12" s="7">
        <f t="shared" si="3"/>
        <v>0</v>
      </c>
      <c r="R12" s="73">
        <f t="shared" si="4"/>
        <v>330.49567508059158</v>
      </c>
    </row>
    <row r="13" spans="1:21" x14ac:dyDescent="0.35">
      <c r="A13" s="9" t="s">
        <v>12</v>
      </c>
      <c r="B13" s="30">
        <v>15.841346153846155</v>
      </c>
      <c r="C13" s="62">
        <f t="shared" si="8"/>
        <v>7.9206730769230775</v>
      </c>
      <c r="D13" s="8">
        <f>-(Transportation_info!D13+C13*Transportation_info!E13)</f>
        <v>-5.0221233974358972</v>
      </c>
      <c r="E13" s="8">
        <f>-(Transportation_info!F13+C13*Transportation_info!G13)</f>
        <v>-10.072516025641026</v>
      </c>
      <c r="F13" s="2">
        <f>Solver_page!C8/(-(0.5*D13+0.5*E13))^2</f>
        <v>642.58589269872516</v>
      </c>
      <c r="G13" s="98">
        <f t="shared" ref="G13:G19" si="9">F13/SUM($F$11:$F$19)</f>
        <v>0.12319752103849597</v>
      </c>
      <c r="H13" s="98">
        <f>G13*Solver_page!$F$6</f>
        <v>1.3048084782989014E-2</v>
      </c>
      <c r="I13" s="99">
        <f>Solver_page!$E$6*G13</f>
        <v>3822.4494852614148</v>
      </c>
      <c r="J13" s="31">
        <f t="shared" si="1"/>
        <v>6.3660314536887952E-3</v>
      </c>
      <c r="K13" s="30">
        <f>MAX(0,1-(Transportation_info!F13+$C$92*Transportation_info!G13)/(B13*1.5))*G13</f>
        <v>5.0077819812417032E-2</v>
      </c>
      <c r="L13" s="97">
        <f>Solver_page!Y13</f>
        <v>0</v>
      </c>
      <c r="M13" s="32">
        <f t="shared" si="6"/>
        <v>-10.072516025641026</v>
      </c>
      <c r="N13" s="33">
        <f t="shared" si="2"/>
        <v>6.3660314536887952E-3</v>
      </c>
      <c r="O13" s="32">
        <f>MAX(0,1-(Transportation_info!F13+$C$92*Transportation_info!G13-L13)/(B13*1.5))*G13</f>
        <v>5.0077819812417032E-2</v>
      </c>
      <c r="P13" s="34">
        <f>N13*I13*Transportation_info!F13</f>
        <v>97.33533461324285</v>
      </c>
      <c r="Q13" s="7">
        <f t="shared" si="3"/>
        <v>0</v>
      </c>
      <c r="R13" s="73">
        <f t="shared" si="4"/>
        <v>97.33533461324285</v>
      </c>
    </row>
    <row r="14" spans="1:21" x14ac:dyDescent="0.35">
      <c r="A14" s="9" t="s">
        <v>13</v>
      </c>
      <c r="B14" s="30">
        <v>15.841346153846155</v>
      </c>
      <c r="C14" s="62">
        <f t="shared" si="8"/>
        <v>7.9206730769230775</v>
      </c>
      <c r="D14" s="8">
        <f>-(Transportation_info!D14+C14*Transportation_info!E14)</f>
        <v>-4.7181009615384619</v>
      </c>
      <c r="E14" s="8">
        <f>-(Transportation_info!F14+C14*Transportation_info!G14)</f>
        <v>-10.864583333333334</v>
      </c>
      <c r="F14" s="2">
        <f>Solver_page!C9/(-(0.5*D14+0.5*E14))^2</f>
        <v>408.56593212944045</v>
      </c>
      <c r="G14" s="98">
        <f t="shared" si="9"/>
        <v>7.8330866878723371E-2</v>
      </c>
      <c r="H14" s="98">
        <f>G14*Solver_page!$F$6</f>
        <v>8.296171737410523E-3</v>
      </c>
      <c r="I14" s="99">
        <f>Solver_page!$E$6*G14</f>
        <v>2430.3718066461502</v>
      </c>
      <c r="J14" s="31">
        <f t="shared" si="1"/>
        <v>2.1364256937762942E-3</v>
      </c>
      <c r="K14" s="30">
        <f>MAX(0,1-(Transportation_info!F14+$C$92*Transportation_info!G14)/(B14*1.5))*G14</f>
        <v>2.7496148081645109E-2</v>
      </c>
      <c r="L14" s="97">
        <f>Solver_page!Y14</f>
        <v>0</v>
      </c>
      <c r="M14" s="32">
        <f t="shared" si="6"/>
        <v>-10.864583333333334</v>
      </c>
      <c r="N14" s="33">
        <f t="shared" si="2"/>
        <v>2.1364256937762942E-3</v>
      </c>
      <c r="O14" s="32">
        <f>MAX(0,1-(Transportation_info!F14+$C$92*Transportation_info!G14-L14)/(B14*1.5))*G14</f>
        <v>2.7496148081645109E-2</v>
      </c>
      <c r="P14" s="34">
        <f>N14*I14*Transportation_info!F14</f>
        <v>20.769235092593387</v>
      </c>
      <c r="Q14" s="7">
        <f t="shared" si="3"/>
        <v>0</v>
      </c>
      <c r="R14" s="73">
        <f t="shared" si="4"/>
        <v>20.769235092593387</v>
      </c>
    </row>
    <row r="15" spans="1:21" x14ac:dyDescent="0.35">
      <c r="A15" s="9" t="s">
        <v>93</v>
      </c>
      <c r="B15" s="30">
        <v>15.841346153846155</v>
      </c>
      <c r="C15" s="62">
        <f t="shared" si="8"/>
        <v>7.9206730769230775</v>
      </c>
      <c r="D15" s="8">
        <f>-(Transportation_info!D15+C15*Transportation_info!E15)</f>
        <v>-5.0421233974358977</v>
      </c>
      <c r="E15" s="8">
        <f>-(Transportation_info!F15+C15*Transportation_info!G15)</f>
        <v>-11.12860576923077</v>
      </c>
      <c r="F15" s="2">
        <f>Solver_page!C10/(-(0.5*D15+0.5*E15))^2</f>
        <v>493.4749906413503</v>
      </c>
      <c r="G15" s="98">
        <f t="shared" si="9"/>
        <v>9.4609757593936E-2</v>
      </c>
      <c r="H15" s="98">
        <f>G15*Solver_page!$F$6</f>
        <v>1.0020300148717881E-2</v>
      </c>
      <c r="I15" s="99">
        <f>Solver_page!$E$6*G15</f>
        <v>2935.4569488670522</v>
      </c>
      <c r="J15" s="31">
        <f t="shared" si="1"/>
        <v>2.2682352259189042E-3</v>
      </c>
      <c r="K15" s="30">
        <f>MAX(0,1-(Transportation_info!F15+$C$92*Transportation_info!G15)/(B15*1.5))*G15</f>
        <v>3.1461492420324991E-2</v>
      </c>
      <c r="L15" s="97">
        <f>Solver_page!Y15</f>
        <v>0</v>
      </c>
      <c r="M15" s="32">
        <f t="shared" si="6"/>
        <v>-11.12860576923077</v>
      </c>
      <c r="N15" s="33">
        <f t="shared" si="2"/>
        <v>2.2682352259189042E-3</v>
      </c>
      <c r="O15" s="32">
        <f>MAX(0,1-(Transportation_info!F15+$C$92*Transportation_info!G15-L15)/(B15*1.5))*G15</f>
        <v>3.1461492420324991E-2</v>
      </c>
      <c r="P15" s="34">
        <f>N15*I15*Transportation_info!F15</f>
        <v>26.6332274223547</v>
      </c>
      <c r="Q15" s="7">
        <f t="shared" si="3"/>
        <v>0</v>
      </c>
      <c r="R15" s="73">
        <f t="shared" si="4"/>
        <v>26.6332274223547</v>
      </c>
    </row>
    <row r="16" spans="1:21" x14ac:dyDescent="0.35">
      <c r="A16" s="9" t="s">
        <v>94</v>
      </c>
      <c r="B16" s="30">
        <v>15.841346153846155</v>
      </c>
      <c r="C16" s="62">
        <f t="shared" si="8"/>
        <v>7.9206730769230775</v>
      </c>
      <c r="D16" s="8">
        <f>-(Transportation_info!D16+C16*Transportation_info!E16)</f>
        <v>-4.4460897435897433</v>
      </c>
      <c r="E16" s="8">
        <f>-(Transportation_info!F16+C16*Transportation_info!G16)</f>
        <v>-6.564302884615385</v>
      </c>
      <c r="F16" s="2">
        <f>Solver_page!C11/(-(0.5*D16+0.5*E16))^2</f>
        <v>893.78141513082369</v>
      </c>
      <c r="G16" s="98">
        <f t="shared" si="9"/>
        <v>0.17135709940962232</v>
      </c>
      <c r="H16" s="98">
        <f>G16*Solver_page!$F$6</f>
        <v>1.8148757721879603E-2</v>
      </c>
      <c r="I16" s="99">
        <f>Solver_page!$E$6*G16</f>
        <v>5316.6967233823516</v>
      </c>
      <c r="J16" s="31">
        <f t="shared" si="1"/>
        <v>0.10733916269819559</v>
      </c>
      <c r="K16" s="30">
        <f>MAX(0,1-(Transportation_info!F16+$C$92*Transportation_info!G16)/(B16*1.5))*G16</f>
        <v>0.10695867540939594</v>
      </c>
      <c r="L16" s="97">
        <f>Solver_page!Y16</f>
        <v>0</v>
      </c>
      <c r="M16" s="32">
        <f t="shared" si="6"/>
        <v>-6.564302884615385</v>
      </c>
      <c r="N16" s="33">
        <f t="shared" si="2"/>
        <v>0.10733916269819559</v>
      </c>
      <c r="O16" s="32">
        <f>MAX(0,1-(Transportation_info!F16+$C$92*Transportation_info!G16-L16)/(B16*1.5))*G16</f>
        <v>0.10695867540939594</v>
      </c>
      <c r="P16" s="34">
        <f>N16*I16*Transportation_info!F16</f>
        <v>1712.0693238243048</v>
      </c>
      <c r="Q16" s="7">
        <f t="shared" si="3"/>
        <v>0</v>
      </c>
      <c r="R16" s="73">
        <f t="shared" si="4"/>
        <v>1712.0693238243048</v>
      </c>
    </row>
    <row r="17" spans="1:18" x14ac:dyDescent="0.35">
      <c r="A17" s="9" t="s">
        <v>95</v>
      </c>
      <c r="B17" s="30">
        <v>15.841346153846155</v>
      </c>
      <c r="C17" s="62">
        <f t="shared" si="8"/>
        <v>7.9206730769230775</v>
      </c>
      <c r="D17" s="8">
        <f>-(Transportation_info!D17+C17*Transportation_info!E17)</f>
        <v>-6.2962019230769233</v>
      </c>
      <c r="E17" s="8">
        <f>-(Transportation_info!F17+C17*Transportation_info!G17)</f>
        <v>-11.920673076923077</v>
      </c>
      <c r="F17" s="2">
        <f>Solver_page!C12/(-(0.5*D17+0.5*E17))^2</f>
        <v>169.26693510357458</v>
      </c>
      <c r="G17" s="98">
        <f t="shared" si="9"/>
        <v>3.2452108014642281E-2</v>
      </c>
      <c r="H17" s="98">
        <f>G17*Solver_page!$F$6</f>
        <v>3.4370647492935882E-3</v>
      </c>
      <c r="I17" s="99">
        <f>Solver_page!$E$6*G17</f>
        <v>1006.891555370306</v>
      </c>
      <c r="J17" s="31">
        <f t="shared" si="1"/>
        <v>3.5954967120233024E-3</v>
      </c>
      <c r="K17" s="30">
        <f>MAX(0,1-(Transportation_info!F17+$C$92*Transportation_info!G17)/(B17*1.5))*G17</f>
        <v>8.9918734238337242E-3</v>
      </c>
      <c r="L17" s="97">
        <f>Solver_page!Y17</f>
        <v>0</v>
      </c>
      <c r="M17" s="32">
        <f t="shared" si="6"/>
        <v>-11.920673076923077</v>
      </c>
      <c r="N17" s="33">
        <f t="shared" si="2"/>
        <v>3.5954967120233024E-3</v>
      </c>
      <c r="O17" s="32">
        <f>MAX(0,1-(Transportation_info!F17+$C$92*Transportation_info!G17-L17)/(B17*1.5))*G17</f>
        <v>8.9918734238337242E-3</v>
      </c>
      <c r="P17" s="34">
        <f>N17*I17*Transportation_info!F17</f>
        <v>14.481101106791858</v>
      </c>
      <c r="Q17" s="7">
        <f t="shared" si="3"/>
        <v>0</v>
      </c>
      <c r="R17" s="73">
        <f t="shared" si="4"/>
        <v>14.481101106791858</v>
      </c>
    </row>
    <row r="18" spans="1:18" x14ac:dyDescent="0.35">
      <c r="A18" s="9" t="s">
        <v>96</v>
      </c>
      <c r="B18" s="30">
        <v>15.841346153846155</v>
      </c>
      <c r="C18" s="62">
        <f t="shared" si="8"/>
        <v>7.9206730769230775</v>
      </c>
      <c r="D18" s="8">
        <f>-(Transportation_info!D18+C18*Transportation_info!E18)</f>
        <v>-6.1001682692307693</v>
      </c>
      <c r="E18" s="8">
        <f>-(Transportation_info!F18+C18*Transportation_info!G18)</f>
        <v>-17.069110576923077</v>
      </c>
      <c r="F18" s="2">
        <f>Solver_page!C13/(-(0.5*D18+0.5*E18))^2</f>
        <v>208.01933567896256</v>
      </c>
      <c r="G18" s="98">
        <f t="shared" si="9"/>
        <v>3.988177576711651E-2</v>
      </c>
      <c r="H18" s="98">
        <f>G18*Solver_page!$F$6</f>
        <v>4.2239550529826623E-3</v>
      </c>
      <c r="I18" s="99">
        <f>Solver_page!$E$6*G18</f>
        <v>1237.411856726324</v>
      </c>
      <c r="J18" s="31">
        <f t="shared" si="1"/>
        <v>1.7228259363847224E-5</v>
      </c>
      <c r="K18" s="30">
        <f>MAX(0,1-(Transportation_info!F18+$C$92*Transportation_info!G18)/(B18*1.5))*G18</f>
        <v>0</v>
      </c>
      <c r="L18" s="97">
        <f>Solver_page!Y18</f>
        <v>0</v>
      </c>
      <c r="M18" s="32">
        <f t="shared" si="6"/>
        <v>-17.069110576923077</v>
      </c>
      <c r="N18" s="33">
        <f t="shared" si="2"/>
        <v>1.7228259363847224E-5</v>
      </c>
      <c r="O18" s="32">
        <f>MAX(0,1-(Transportation_info!F18+$C$92*Transportation_info!G18-L18)/(B18*1.5))*G18</f>
        <v>0</v>
      </c>
      <c r="P18" s="34">
        <f>N18*I18*Transportation_info!F18</f>
        <v>8.527380963032348E-2</v>
      </c>
      <c r="Q18" s="7">
        <f t="shared" si="3"/>
        <v>0</v>
      </c>
      <c r="R18" s="73">
        <f t="shared" si="4"/>
        <v>8.527380963032348E-2</v>
      </c>
    </row>
    <row r="19" spans="1:18" x14ac:dyDescent="0.35">
      <c r="A19" s="9" t="s">
        <v>97</v>
      </c>
      <c r="B19" s="30">
        <v>15.841346153846155</v>
      </c>
      <c r="C19" s="62">
        <f t="shared" si="8"/>
        <v>7.9206730769230775</v>
      </c>
      <c r="D19" s="8">
        <f>-(Transportation_info!D19+C19*Transportation_info!E19)</f>
        <v>-6.4521794871794871</v>
      </c>
      <c r="E19" s="8">
        <f>-(Transportation_info!F19+C19*Transportation_info!G19)</f>
        <v>-12.448717948717949</v>
      </c>
      <c r="F19" s="2">
        <f>Solver_page!C14/(-(0.5*D19+0.5*E19))^2</f>
        <v>433.91080893811124</v>
      </c>
      <c r="G19" s="98">
        <f t="shared" si="9"/>
        <v>8.3190024275940383E-2</v>
      </c>
      <c r="H19" s="98">
        <f>G19*Solver_page!$F$6</f>
        <v>8.8108143792292974E-3</v>
      </c>
      <c r="I19" s="99">
        <f>Solver_page!$E$6*G19</f>
        <v>2581.1368832096023</v>
      </c>
      <c r="J19" s="31">
        <f t="shared" si="1"/>
        <v>2.4811757943119968E-3</v>
      </c>
      <c r="K19" s="30">
        <f>MAX(0,1-(Transportation_info!F19+$C$92*Transportation_info!G19)/(B19*1.5))*G19</f>
        <v>1.9974685896047832E-2</v>
      </c>
      <c r="L19" s="97">
        <f>Solver_page!Y19</f>
        <v>0</v>
      </c>
      <c r="M19" s="32">
        <f t="shared" si="6"/>
        <v>-12.448717948717949</v>
      </c>
      <c r="N19" s="33">
        <f t="shared" si="2"/>
        <v>2.4811757943119968E-3</v>
      </c>
      <c r="O19" s="32">
        <f>MAX(0,1-(Transportation_info!F19+$C$92*Transportation_info!G19-L19)/(B19*1.5))*G19</f>
        <v>1.9974685896047832E-2</v>
      </c>
      <c r="P19" s="34">
        <f>N19*I19*Transportation_info!F19</f>
        <v>25.617017425702308</v>
      </c>
      <c r="Q19" s="7">
        <f t="shared" si="3"/>
        <v>0</v>
      </c>
      <c r="R19" s="73">
        <f t="shared" si="4"/>
        <v>25.617017425702308</v>
      </c>
    </row>
    <row r="20" spans="1:18" s="94" customFormat="1" x14ac:dyDescent="0.35">
      <c r="A20" s="71" t="s">
        <v>14</v>
      </c>
      <c r="B20" s="66">
        <v>44.041826923076925</v>
      </c>
      <c r="C20" s="67">
        <f>0.5*B20</f>
        <v>22.020913461538463</v>
      </c>
      <c r="D20" s="68">
        <f>-(Transportation_info!D20+C20*Transportation_info!E20)</f>
        <v>-5.8891065705128209</v>
      </c>
      <c r="E20" s="68">
        <f>-(Transportation_info!F20+C20*Transportation_info!G20)</f>
        <v>-13.74448717948718</v>
      </c>
      <c r="F20" s="63">
        <f>Solver_page!C5/(-(0.5*D20+0.5*E20))^2</f>
        <v>104.5040174278472</v>
      </c>
      <c r="G20" s="95">
        <f>F20/SUM($F$20:$F$28)</f>
        <v>0.11884934764767333</v>
      </c>
      <c r="H20" s="95">
        <f>G20*Solver_page!$F$7</f>
        <v>2.0441855736704484E-2</v>
      </c>
      <c r="I20" s="96">
        <f>Solver_page!$E$7*G20</f>
        <v>5988.4620799233162</v>
      </c>
      <c r="J20" s="81">
        <f t="shared" si="1"/>
        <v>3.875102746291098E-4</v>
      </c>
      <c r="K20" s="66">
        <f>MAX(0,1-(Transportation_info!F20+$C$92*Transportation_info!G20)/(B20*1.5))*G20</f>
        <v>0.10260715038809183</v>
      </c>
      <c r="L20" s="97">
        <f>Solver_page!Y20</f>
        <v>0</v>
      </c>
      <c r="M20" s="90">
        <f t="shared" si="6"/>
        <v>-13.74448717948718</v>
      </c>
      <c r="N20" s="91">
        <f t="shared" si="2"/>
        <v>3.875102746291098E-4</v>
      </c>
      <c r="O20" s="90">
        <f>MAX(0,1-(Transportation_info!F20+$C$92*Transportation_info!G20-L20)/(B20*1.5))*G20</f>
        <v>0.10260715038809183</v>
      </c>
      <c r="P20" s="92">
        <f>N20*I20*Transportation_info!F20</f>
        <v>4.641181170394189</v>
      </c>
      <c r="Q20" s="93">
        <f t="shared" si="3"/>
        <v>0</v>
      </c>
      <c r="R20" s="72">
        <f t="shared" si="4"/>
        <v>4.641181170394189</v>
      </c>
    </row>
    <row r="21" spans="1:18" s="94" customFormat="1" x14ac:dyDescent="0.35">
      <c r="A21" s="71" t="s">
        <v>15</v>
      </c>
      <c r="B21" s="66">
        <v>44.041826923076925</v>
      </c>
      <c r="C21" s="67">
        <f>0.5*B21</f>
        <v>22.020913461538463</v>
      </c>
      <c r="D21" s="68">
        <f>-(Transportation_info!D21+C21*Transportation_info!E21)</f>
        <v>-5.5420913461538461</v>
      </c>
      <c r="E21" s="68">
        <f>-(Transportation_info!F21+C21*Transportation_info!G21)</f>
        <v>-18.047624198717948</v>
      </c>
      <c r="F21" s="63">
        <f>Solver_page!C6/(-(0.5*D21+0.5*E21))^2</f>
        <v>223.02542159545624</v>
      </c>
      <c r="G21" s="95">
        <f>F21/SUM($F$20:$F$28)</f>
        <v>0.25364025726348888</v>
      </c>
      <c r="H21" s="95">
        <f>G21*Solver_page!$F$7</f>
        <v>4.3625629005312881E-2</v>
      </c>
      <c r="I21" s="96">
        <f>Solver_page!$E$7*G21</f>
        <v>12780.171642735415</v>
      </c>
      <c r="J21" s="81">
        <f t="shared" si="1"/>
        <v>3.7060773504112313E-6</v>
      </c>
      <c r="K21" s="66">
        <f>MAX(0,1-(Transportation_info!F21+$C$92*Transportation_info!G21)/(B21*1.5))*G21</f>
        <v>0.20754855616306089</v>
      </c>
      <c r="L21" s="97">
        <f>Solver_page!Y21</f>
        <v>0</v>
      </c>
      <c r="M21" s="90">
        <f t="shared" si="6"/>
        <v>-18.047624198717948</v>
      </c>
      <c r="N21" s="91">
        <f t="shared" si="2"/>
        <v>3.7060773504112313E-6</v>
      </c>
      <c r="O21" s="90">
        <f>MAX(0,1-(Transportation_info!F21+$C$92*Transportation_info!G21-L21)/(B21*1.5))*G21</f>
        <v>0.20754855616306089</v>
      </c>
      <c r="P21" s="92">
        <f>N21*I21*Transportation_info!F21</f>
        <v>0.14209291397852886</v>
      </c>
      <c r="Q21" s="93">
        <f t="shared" si="3"/>
        <v>0</v>
      </c>
      <c r="R21" s="72">
        <f t="shared" si="4"/>
        <v>0.14209291397852886</v>
      </c>
    </row>
    <row r="22" spans="1:18" s="94" customFormat="1" x14ac:dyDescent="0.35">
      <c r="A22" s="71" t="s">
        <v>16</v>
      </c>
      <c r="B22" s="66">
        <v>44.041826923076925</v>
      </c>
      <c r="C22" s="67">
        <f t="shared" ref="C22:C28" si="10">0.5*B22</f>
        <v>22.020913461538463</v>
      </c>
      <c r="D22" s="68">
        <f>-(Transportation_info!D22+C22*Transportation_info!E22)</f>
        <v>-6.4261217948717952</v>
      </c>
      <c r="E22" s="68">
        <f>-(Transportation_info!F22+C22*Transportation_info!G22)</f>
        <v>-18.7816546474359</v>
      </c>
      <c r="F22" s="63">
        <f>Solver_page!C8/(-(0.5*D22+0.5*E22))^2</f>
        <v>230.41332758625862</v>
      </c>
      <c r="G22" s="95">
        <f t="shared" ref="G22:G28" si="11">F22/SUM($F$20:$F$28)</f>
        <v>0.26204230561627523</v>
      </c>
      <c r="H22" s="95">
        <f>G22*Solver_page!$F$7</f>
        <v>4.5070764916614929E-2</v>
      </c>
      <c r="I22" s="96">
        <f>Solver_page!$E$7*G22</f>
        <v>13203.525653087259</v>
      </c>
      <c r="J22" s="81">
        <f t="shared" si="1"/>
        <v>4.3058449893898587E-6</v>
      </c>
      <c r="K22" s="66">
        <f>MAX(0,1-(Transportation_info!F22+$C$92*Transportation_info!G22)/(B22*1.5))*G22</f>
        <v>0.21268139612911507</v>
      </c>
      <c r="L22" s="97">
        <f>Solver_page!Y22</f>
        <v>0</v>
      </c>
      <c r="M22" s="90">
        <f t="shared" si="6"/>
        <v>-18.7816546474359</v>
      </c>
      <c r="N22" s="91">
        <f t="shared" si="2"/>
        <v>4.3058449893898587E-6</v>
      </c>
      <c r="O22" s="90">
        <f>MAX(0,1-(Transportation_info!F22+$C$92*Transportation_info!G22-L22)/(B22*1.5))*G22</f>
        <v>0.21268139612911507</v>
      </c>
      <c r="P22" s="92">
        <f>N22*I22*Transportation_info!F22</f>
        <v>0.17055700432687873</v>
      </c>
      <c r="Q22" s="93">
        <f t="shared" si="3"/>
        <v>0</v>
      </c>
      <c r="R22" s="72">
        <f t="shared" si="4"/>
        <v>0.17055700432687873</v>
      </c>
    </row>
    <row r="23" spans="1:18" s="94" customFormat="1" x14ac:dyDescent="0.35">
      <c r="A23" s="71" t="s">
        <v>17</v>
      </c>
      <c r="B23" s="66">
        <v>44.041826923076925</v>
      </c>
      <c r="C23" s="67">
        <f t="shared" si="10"/>
        <v>22.020913461538463</v>
      </c>
      <c r="D23" s="68">
        <f>-(Transportation_info!D23+C23*Transportation_info!E23)</f>
        <v>-8.4511979166666666</v>
      </c>
      <c r="E23" s="68">
        <f>-(Transportation_info!F23+C23*Transportation_info!G23)</f>
        <v>-30.425096153846155</v>
      </c>
      <c r="F23" s="63">
        <f>Solver_page!C9/(-(0.5*D23+0.5*E23))^2</f>
        <v>65.641270349451716</v>
      </c>
      <c r="G23" s="95">
        <f t="shared" si="11"/>
        <v>7.4651887571530351E-2</v>
      </c>
      <c r="H23" s="95">
        <f>G23*Solver_page!$F$7</f>
        <v>1.2839978901136025E-2</v>
      </c>
      <c r="I23" s="96">
        <f>Solver_page!$E$7*G23</f>
        <v>3761.4846590666998</v>
      </c>
      <c r="J23" s="81">
        <f t="shared" si="1"/>
        <v>2.8632366835676121E-10</v>
      </c>
      <c r="K23" s="66">
        <f>MAX(0,1-(Transportation_info!F23+$C$92*Transportation_info!G23)/(B23*1.5))*G23</f>
        <v>5.2262212589811285E-2</v>
      </c>
      <c r="L23" s="97">
        <f>Solver_page!Y23</f>
        <v>0</v>
      </c>
      <c r="M23" s="90">
        <f t="shared" si="6"/>
        <v>-30.425096153846155</v>
      </c>
      <c r="N23" s="91">
        <f t="shared" si="2"/>
        <v>2.8632366835676121E-10</v>
      </c>
      <c r="O23" s="90">
        <f>MAX(0,1-(Transportation_info!F23+$C$92*Transportation_info!G23-L23)/(B23*1.5))*G23</f>
        <v>5.2262212589811285E-2</v>
      </c>
      <c r="P23" s="92">
        <f>N23*I23*Transportation_info!F23</f>
        <v>4.3080083442066352E-6</v>
      </c>
      <c r="Q23" s="93">
        <f t="shared" si="3"/>
        <v>0</v>
      </c>
      <c r="R23" s="72">
        <f t="shared" si="4"/>
        <v>4.3080083442066352E-6</v>
      </c>
    </row>
    <row r="24" spans="1:18" s="94" customFormat="1" x14ac:dyDescent="0.35">
      <c r="A24" s="71" t="s">
        <v>98</v>
      </c>
      <c r="B24" s="66">
        <v>44.041826923076925</v>
      </c>
      <c r="C24" s="67">
        <f t="shared" si="10"/>
        <v>22.020913461538463</v>
      </c>
      <c r="D24" s="68">
        <f>-(Transportation_info!D24+C24*Transportation_info!E24)</f>
        <v>-9.7622435897435906</v>
      </c>
      <c r="E24" s="68">
        <f>-(Transportation_info!F24+C24*Transportation_info!G24)</f>
        <v>-36.462263621794875</v>
      </c>
      <c r="F24" s="63">
        <f>Solver_page!C10/(-(0.5*D24+0.5*E24))^2</f>
        <v>60.392050356403011</v>
      </c>
      <c r="G24" s="95">
        <f t="shared" si="11"/>
        <v>6.8682103948008902E-2</v>
      </c>
      <c r="H24" s="95">
        <f>G24*Solver_page!$F$7</f>
        <v>1.1813187774161292E-2</v>
      </c>
      <c r="I24" s="96">
        <f>Solver_page!$E$7*G24</f>
        <v>3460.6851716283245</v>
      </c>
      <c r="J24" s="81">
        <f t="shared" si="1"/>
        <v>2.5370477043129818E-12</v>
      </c>
      <c r="K24" s="66">
        <f>MAX(0,1-(Transportation_info!F24+$C$92*Transportation_info!G24)/(B24*1.5))*G24</f>
        <v>4.3491833427944576E-2</v>
      </c>
      <c r="L24" s="97">
        <f>Solver_page!Y24</f>
        <v>0</v>
      </c>
      <c r="M24" s="90">
        <f t="shared" si="6"/>
        <v>-36.462263621794875</v>
      </c>
      <c r="N24" s="91">
        <f t="shared" si="2"/>
        <v>2.5370477043129818E-12</v>
      </c>
      <c r="O24" s="90">
        <f>MAX(0,1-(Transportation_info!F24+$C$92*Transportation_info!G24-L24)/(B24*1.5))*G24</f>
        <v>4.3491833427944576E-2</v>
      </c>
      <c r="P24" s="92">
        <f>N24*I24*Transportation_info!F24</f>
        <v>5.2679540220177709E-8</v>
      </c>
      <c r="Q24" s="93">
        <f t="shared" si="3"/>
        <v>0</v>
      </c>
      <c r="R24" s="72">
        <f t="shared" si="4"/>
        <v>5.2679540220177709E-8</v>
      </c>
    </row>
    <row r="25" spans="1:18" s="94" customFormat="1" x14ac:dyDescent="0.35">
      <c r="A25" s="71" t="s">
        <v>99</v>
      </c>
      <c r="B25" s="66">
        <v>44.041826923076925</v>
      </c>
      <c r="C25" s="67">
        <f t="shared" si="10"/>
        <v>22.020913461538463</v>
      </c>
      <c r="D25" s="68">
        <f>-(Transportation_info!D25+C25*Transportation_info!E25)</f>
        <v>-8.8282131410256408</v>
      </c>
      <c r="E25" s="68">
        <f>-(Transportation_info!F25+C25*Transportation_info!G25)</f>
        <v>-28.48897435897436</v>
      </c>
      <c r="F25" s="63">
        <f>Solver_page!C11/(-(0.5*D25+0.5*E25))^2</f>
        <v>77.807081017118207</v>
      </c>
      <c r="G25" s="95">
        <f t="shared" si="11"/>
        <v>8.8487706490698328E-2</v>
      </c>
      <c r="H25" s="95">
        <f>G25*Solver_page!$F$7</f>
        <v>1.5219712740174352E-2</v>
      </c>
      <c r="I25" s="96">
        <f>Solver_page!$E$7*G25</f>
        <v>4458.6300669468164</v>
      </c>
      <c r="J25" s="81">
        <f t="shared" si="1"/>
        <v>2.8936093013426404E-9</v>
      </c>
      <c r="K25" s="66">
        <f>MAX(0,1-(Transportation_info!F25+$C$92*Transportation_info!G25)/(B25*1.5))*G25</f>
        <v>6.2962431590089282E-2</v>
      </c>
      <c r="L25" s="97">
        <f>Solver_page!Y25</f>
        <v>0</v>
      </c>
      <c r="M25" s="90">
        <f t="shared" si="6"/>
        <v>-28.48897435897436</v>
      </c>
      <c r="N25" s="91">
        <f t="shared" si="2"/>
        <v>2.8936093013426404E-9</v>
      </c>
      <c r="O25" s="90">
        <f>MAX(0,1-(Transportation_info!F25+$C$92*Transportation_info!G25-L25)/(B25*1.5))*G25</f>
        <v>6.2962431590089282E-2</v>
      </c>
      <c r="P25" s="92">
        <f>N25*I25*Transportation_info!F25</f>
        <v>6.4507667164816337E-5</v>
      </c>
      <c r="Q25" s="93">
        <f t="shared" si="3"/>
        <v>0</v>
      </c>
      <c r="R25" s="72">
        <f t="shared" si="4"/>
        <v>6.4507667164816337E-5</v>
      </c>
    </row>
    <row r="26" spans="1:18" s="94" customFormat="1" x14ac:dyDescent="0.35">
      <c r="A26" s="71" t="s">
        <v>100</v>
      </c>
      <c r="B26" s="66">
        <v>44.041826923076925</v>
      </c>
      <c r="C26" s="67">
        <f t="shared" si="10"/>
        <v>22.020913461538463</v>
      </c>
      <c r="D26" s="68">
        <f>-(Transportation_info!D26+C26*Transportation_info!E26)</f>
        <v>-11.230304487179488</v>
      </c>
      <c r="E26" s="68">
        <f>-(Transportation_info!F26+C26*Transportation_info!G26)</f>
        <v>-24.653898237179487</v>
      </c>
      <c r="F26" s="63">
        <f>Solver_page!C12/(-(0.5*D26+0.5*E26))^2</f>
        <v>43.622774498228075</v>
      </c>
      <c r="G26" s="95">
        <f t="shared" si="11"/>
        <v>4.9610899363515204E-2</v>
      </c>
      <c r="H26" s="95">
        <f>G26*Solver_page!$F$7</f>
        <v>8.5329778230128599E-3</v>
      </c>
      <c r="I26" s="96">
        <f>Solver_page!$E$7*G26</f>
        <v>2499.7443862294408</v>
      </c>
      <c r="J26" s="81">
        <f t="shared" si="1"/>
        <v>1.4798124076444485E-6</v>
      </c>
      <c r="K26" s="66">
        <f>MAX(0,1-(Transportation_info!F26+$C$92*Transportation_info!G26)/(B26*1.5))*G26</f>
        <v>3.7626696620716049E-2</v>
      </c>
      <c r="L26" s="97">
        <f>Solver_page!Y26</f>
        <v>0</v>
      </c>
      <c r="M26" s="90">
        <f t="shared" si="6"/>
        <v>-24.653898237179487</v>
      </c>
      <c r="N26" s="91">
        <f t="shared" si="2"/>
        <v>1.4798124076444485E-6</v>
      </c>
      <c r="O26" s="90">
        <f>MAX(0,1-(Transportation_info!F26+$C$92*Transportation_info!G26-L26)/(B26*1.5))*G26</f>
        <v>3.7626696620716049E-2</v>
      </c>
      <c r="P26" s="92">
        <f>N26*I26*Transportation_info!F26</f>
        <v>1.1097458276045649E-2</v>
      </c>
      <c r="Q26" s="93">
        <f t="shared" si="3"/>
        <v>0</v>
      </c>
      <c r="R26" s="72">
        <f t="shared" si="4"/>
        <v>1.1097458276045649E-2</v>
      </c>
    </row>
    <row r="27" spans="1:18" s="94" customFormat="1" x14ac:dyDescent="0.35">
      <c r="A27" s="71" t="s">
        <v>101</v>
      </c>
      <c r="B27" s="66">
        <v>44.041826923076925</v>
      </c>
      <c r="C27" s="67">
        <f t="shared" si="10"/>
        <v>22.020913461538463</v>
      </c>
      <c r="D27" s="68">
        <f>-(Transportation_info!D27+C27*Transportation_info!E27)</f>
        <v>-11.770304487179487</v>
      </c>
      <c r="E27" s="68">
        <f>-(Transportation_info!F27+C27*Transportation_info!G27)</f>
        <v>-55.18004006410257</v>
      </c>
      <c r="F27" s="63">
        <f>Solver_page!C13/(-(0.5*D27+0.5*E27))^2</f>
        <v>24.912832329621338</v>
      </c>
      <c r="G27" s="95">
        <f t="shared" si="11"/>
        <v>2.8332632020349271E-2</v>
      </c>
      <c r="H27" s="95">
        <f>G27*Solver_page!$F$7</f>
        <v>4.8731573867620819E-3</v>
      </c>
      <c r="I27" s="96">
        <f>Solver_page!$E$7*G27</f>
        <v>1427.5963296093387</v>
      </c>
      <c r="J27" s="81">
        <f t="shared" si="1"/>
        <v>1.4040784638341024E-19</v>
      </c>
      <c r="K27" s="66">
        <f>MAX(0,1-(Transportation_info!F27+$C$92*Transportation_info!G27)/(B27*1.5))*G27</f>
        <v>1.3137225988096106E-2</v>
      </c>
      <c r="L27" s="97">
        <f>Solver_page!Y27</f>
        <v>0</v>
      </c>
      <c r="M27" s="90">
        <f t="shared" si="6"/>
        <v>-55.18004006410257</v>
      </c>
      <c r="N27" s="91">
        <f t="shared" si="2"/>
        <v>1.4040784638341024E-19</v>
      </c>
      <c r="O27" s="90">
        <f>MAX(0,1-(Transportation_info!F27+$C$92*Transportation_info!G27-L27)/(B27*1.5))*G27</f>
        <v>1.3137225988096106E-2</v>
      </c>
      <c r="P27" s="92">
        <f>N27*I27*Transportation_info!F27</f>
        <v>1.2026743568718499E-15</v>
      </c>
      <c r="Q27" s="93">
        <f t="shared" si="3"/>
        <v>0</v>
      </c>
      <c r="R27" s="72">
        <f t="shared" si="4"/>
        <v>1.2026743568718499E-15</v>
      </c>
    </row>
    <row r="28" spans="1:18" s="94" customFormat="1" x14ac:dyDescent="0.35">
      <c r="A28" s="71" t="s">
        <v>102</v>
      </c>
      <c r="B28" s="66">
        <v>44.041826923076925</v>
      </c>
      <c r="C28" s="67">
        <f t="shared" si="10"/>
        <v>22.020913461538463</v>
      </c>
      <c r="D28" s="68">
        <f>-(Transportation_info!D28+C28*Transportation_info!E28)</f>
        <v>-10.619258814102565</v>
      </c>
      <c r="E28" s="68">
        <f>-(Transportation_info!F28+C28*Transportation_info!G28)</f>
        <v>-45.637644230769233</v>
      </c>
      <c r="F28" s="63">
        <f>Solver_page!C14/(-(0.5*D28+0.5*E28))^2</f>
        <v>48.979424587816155</v>
      </c>
      <c r="G28" s="95">
        <f t="shared" si="11"/>
        <v>5.5702860078460412E-2</v>
      </c>
      <c r="H28" s="95">
        <f>G28*Solver_page!$F$7</f>
        <v>9.5807831711562166E-3</v>
      </c>
      <c r="I28" s="96">
        <f>Solver_page!$E$7*G28</f>
        <v>2806.7000107733847</v>
      </c>
      <c r="J28" s="81">
        <f t="shared" si="1"/>
        <v>6.1902536995110883E-16</v>
      </c>
      <c r="K28" s="66">
        <f>MAX(0,1-(Transportation_info!F28+$C$92*Transportation_info!G28)/(B28*1.5))*G28</f>
        <v>3.0643166882212351E-2</v>
      </c>
      <c r="L28" s="97">
        <f>Solver_page!Y28</f>
        <v>0</v>
      </c>
      <c r="M28" s="90">
        <f t="shared" si="6"/>
        <v>-45.637644230769233</v>
      </c>
      <c r="N28" s="91">
        <f t="shared" si="2"/>
        <v>6.1902536995110883E-16</v>
      </c>
      <c r="O28" s="90">
        <f>MAX(0,1-(Transportation_info!F28+$C$92*Transportation_info!G28-L28)/(B28*1.5))*G28</f>
        <v>3.0643166882212351E-2</v>
      </c>
      <c r="P28" s="92">
        <f>N28*I28*Transportation_info!F28</f>
        <v>1.0424511075064654E-11</v>
      </c>
      <c r="Q28" s="93">
        <f t="shared" si="3"/>
        <v>0</v>
      </c>
      <c r="R28" s="72">
        <f t="shared" si="4"/>
        <v>1.0424511075064654E-11</v>
      </c>
    </row>
    <row r="29" spans="1:18" x14ac:dyDescent="0.35">
      <c r="A29" s="9" t="s">
        <v>18</v>
      </c>
      <c r="B29" s="30">
        <v>33.210096153846152</v>
      </c>
      <c r="C29" s="62">
        <f>0.5*B29</f>
        <v>16.605048076923076</v>
      </c>
      <c r="D29" s="8">
        <f>-(Transportation_info!D29+C29*Transportation_info!E29)</f>
        <v>-6.5842588141025633</v>
      </c>
      <c r="E29" s="8">
        <f>-(Transportation_info!F29+C29*Transportation_info!G29)</f>
        <v>-9.1955208333333331</v>
      </c>
      <c r="F29" s="2">
        <f>Solver_page!C5/(-(0.5*D29+0.5*E29))^2</f>
        <v>161.78219320475338</v>
      </c>
      <c r="G29" s="98">
        <f>F29/SUM($F$29:$F$37)</f>
        <v>8.9330907323176376E-2</v>
      </c>
      <c r="H29" s="98">
        <f>G29*Solver_page!$F$8</f>
        <v>1.1161522578008695E-2</v>
      </c>
      <c r="I29" s="99">
        <f>Solver_page!$E$8*G29</f>
        <v>3269.7792007502248</v>
      </c>
      <c r="J29" s="31">
        <f t="shared" si="1"/>
        <v>6.841712356390485E-2</v>
      </c>
      <c r="K29" s="30">
        <f>MAX(0,1-(Transportation_info!F29+$C$92*Transportation_info!G29)/(B29*1.5))*G29</f>
        <v>7.5504122858060102E-2</v>
      </c>
      <c r="L29" s="97">
        <f>Solver_page!Y29</f>
        <v>0</v>
      </c>
      <c r="M29" s="32">
        <f t="shared" si="6"/>
        <v>-9.1955208333333331</v>
      </c>
      <c r="N29" s="33">
        <f t="shared" si="2"/>
        <v>6.841712356390485E-2</v>
      </c>
      <c r="O29" s="32">
        <f>MAX(0,1-(Transportation_info!F29+$C$92*Transportation_info!G29-L29)/(B29*1.5))*G29</f>
        <v>7.5504122858060102E-2</v>
      </c>
      <c r="P29" s="34">
        <f>N29*I29*Transportation_info!F29</f>
        <v>447.41777520882835</v>
      </c>
      <c r="Q29" s="7">
        <f t="shared" si="3"/>
        <v>0</v>
      </c>
      <c r="R29" s="73">
        <f t="shared" si="4"/>
        <v>447.41777520882835</v>
      </c>
    </row>
    <row r="30" spans="1:18" x14ac:dyDescent="0.35">
      <c r="A30" s="9" t="s">
        <v>19</v>
      </c>
      <c r="B30" s="30">
        <v>33.210096153846152</v>
      </c>
      <c r="C30" s="62">
        <f t="shared" ref="C30:C37" si="12">0.5*B30</f>
        <v>16.605048076923076</v>
      </c>
      <c r="D30" s="8">
        <f>-(Transportation_info!D30+C30*Transportation_info!E30)</f>
        <v>-6.9710096153846148</v>
      </c>
      <c r="E30" s="8">
        <f>-(Transportation_info!F30+C30*Transportation_info!G30)</f>
        <v>-16.453786057692305</v>
      </c>
      <c r="F30" s="2">
        <f>Solver_page!C6/(-(0.5*D30+0.5*E30))^2</f>
        <v>226.17685156063831</v>
      </c>
      <c r="G30" s="98">
        <f t="shared" ref="G30:G37" si="13">F30/SUM($F$29:$F$37)</f>
        <v>0.12488756002856291</v>
      </c>
      <c r="H30" s="98">
        <f>G30*Solver_page!$F$8</f>
        <v>1.5604177352954891E-2</v>
      </c>
      <c r="I30" s="99">
        <f>Solver_page!$E$8*G30</f>
        <v>4571.2593597254881</v>
      </c>
      <c r="J30" s="31">
        <f t="shared" si="1"/>
        <v>7.6146412429842854E-5</v>
      </c>
      <c r="K30" s="30">
        <f>MAX(0,1-(Transportation_info!F30+$C$92*Transportation_info!G30)/(B30*1.5))*G30</f>
        <v>9.0081335096282675E-2</v>
      </c>
      <c r="L30" s="97">
        <f>Solver_page!Y30</f>
        <v>0</v>
      </c>
      <c r="M30" s="32">
        <f t="shared" si="6"/>
        <v>-16.453786057692305</v>
      </c>
      <c r="N30" s="33">
        <f t="shared" si="2"/>
        <v>7.6146412429842854E-5</v>
      </c>
      <c r="O30" s="32">
        <f>MAX(0,1-(Transportation_info!F30+$C$92*Transportation_info!G30-L30)/(B30*1.5))*G30</f>
        <v>9.0081335096282675E-2</v>
      </c>
      <c r="P30" s="34">
        <f>N30*I30*Transportation_info!F30</f>
        <v>1.3923400021177457</v>
      </c>
      <c r="Q30" s="7">
        <f t="shared" si="3"/>
        <v>0</v>
      </c>
      <c r="R30" s="73">
        <f t="shared" si="4"/>
        <v>1.3923400021177457</v>
      </c>
    </row>
    <row r="31" spans="1:18" x14ac:dyDescent="0.35">
      <c r="A31" s="9" t="s">
        <v>20</v>
      </c>
      <c r="B31" s="30">
        <v>33.210096153846152</v>
      </c>
      <c r="C31" s="62">
        <f t="shared" si="12"/>
        <v>16.605048076923076</v>
      </c>
      <c r="D31" s="8">
        <f>-(Transportation_info!D31+C31*Transportation_info!E31)</f>
        <v>-6.5742588141025635</v>
      </c>
      <c r="E31" s="8">
        <f>-(Transportation_info!F31+C31*Transportation_info!G31)</f>
        <v>-13.623533653846152</v>
      </c>
      <c r="F31" s="2">
        <f>Solver_page!C7/(-(0.5*D31+0.5*E31))^2</f>
        <v>494.04974774723644</v>
      </c>
      <c r="G31" s="98">
        <f t="shared" si="13"/>
        <v>0.27279833061226127</v>
      </c>
      <c r="H31" s="98">
        <f>G31*Solver_page!$F$8</f>
        <v>3.4085008398676231E-2</v>
      </c>
      <c r="I31" s="99">
        <f>Solver_page!$E$8*G31</f>
        <v>9985.2372954005987</v>
      </c>
      <c r="J31" s="31">
        <f t="shared" si="1"/>
        <v>8.6728535911226225E-4</v>
      </c>
      <c r="K31" s="30">
        <f>MAX(0,1-(Transportation_info!F31+$C$92*Transportation_info!G31)/(B31*1.5))*G31</f>
        <v>0.21133000474106942</v>
      </c>
      <c r="L31" s="97">
        <f>Solver_page!Y31</f>
        <v>0</v>
      </c>
      <c r="M31" s="32">
        <f t="shared" si="6"/>
        <v>-13.623533653846152</v>
      </c>
      <c r="N31" s="33">
        <f t="shared" si="2"/>
        <v>8.6728535911226225E-4</v>
      </c>
      <c r="O31" s="32">
        <f>MAX(0,1-(Transportation_info!F31+$C$92*Transportation_info!G31-L31)/(B31*1.5))*G31</f>
        <v>0.21133000474106942</v>
      </c>
      <c r="P31" s="34">
        <f>N31*I31*Transportation_info!F31</f>
        <v>17.320100227125327</v>
      </c>
      <c r="Q31" s="7">
        <f t="shared" si="3"/>
        <v>0</v>
      </c>
      <c r="R31" s="73">
        <f t="shared" si="4"/>
        <v>17.320100227125327</v>
      </c>
    </row>
    <row r="32" spans="1:18" x14ac:dyDescent="0.35">
      <c r="A32" s="9" t="s">
        <v>21</v>
      </c>
      <c r="B32" s="30">
        <v>33.210096153846152</v>
      </c>
      <c r="C32" s="62">
        <f t="shared" si="12"/>
        <v>16.605048076923076</v>
      </c>
      <c r="D32" s="8">
        <f>-(Transportation_info!D32+C32*Transportation_info!E32)</f>
        <v>-6.1975080128205127</v>
      </c>
      <c r="E32" s="8">
        <f>-(Transportation_info!F32+C32*Transportation_info!G32)</f>
        <v>-11.409527243589743</v>
      </c>
      <c r="F32" s="2">
        <f>Solver_page!C9/(-(0.5*D32+0.5*E32))^2</f>
        <v>320.01786740657656</v>
      </c>
      <c r="G32" s="98">
        <f t="shared" si="13"/>
        <v>0.17670354127834567</v>
      </c>
      <c r="H32" s="98">
        <f>G32*Solver_page!$F$8</f>
        <v>2.207836710375212E-2</v>
      </c>
      <c r="I32" s="99">
        <f>Solver_page!$E$8*G32</f>
        <v>6467.8797214112865</v>
      </c>
      <c r="J32" s="31">
        <f t="shared" si="1"/>
        <v>5.4211078386845217E-3</v>
      </c>
      <c r="K32" s="30">
        <f>MAX(0,1-(Transportation_info!F32+$C$92*Transportation_info!G32)/(B32*1.5))*G32</f>
        <v>0.14312043286603934</v>
      </c>
      <c r="L32" s="97">
        <f>Solver_page!Y32</f>
        <v>0</v>
      </c>
      <c r="M32" s="32">
        <f t="shared" si="6"/>
        <v>-11.409527243589743</v>
      </c>
      <c r="N32" s="33">
        <f t="shared" si="2"/>
        <v>5.4211078386845217E-3</v>
      </c>
      <c r="O32" s="32">
        <f>MAX(0,1-(Transportation_info!F32+$C$92*Transportation_info!G32-L32)/(B32*1.5))*G32</f>
        <v>0.14312043286603934</v>
      </c>
      <c r="P32" s="34">
        <f>N32*I32*Transportation_info!F32</f>
        <v>70.126146914822769</v>
      </c>
      <c r="Q32" s="7">
        <f t="shared" si="3"/>
        <v>0</v>
      </c>
      <c r="R32" s="73">
        <f t="shared" si="4"/>
        <v>70.126146914822769</v>
      </c>
    </row>
    <row r="33" spans="1:18" x14ac:dyDescent="0.35">
      <c r="A33" s="9" t="s">
        <v>103</v>
      </c>
      <c r="B33" s="30">
        <v>33.210096153846152</v>
      </c>
      <c r="C33" s="62">
        <f t="shared" si="12"/>
        <v>16.605048076923076</v>
      </c>
      <c r="D33" s="8">
        <f>-(Transportation_info!D33+C33*Transportation_info!E33)</f>
        <v>-10.308517628205127</v>
      </c>
      <c r="E33" s="8">
        <f>-(Transportation_info!F33+C33*Transportation_info!G33)</f>
        <v>-18.667792467948715</v>
      </c>
      <c r="F33" s="2">
        <f>Solver_page!C10/(-(0.5*D33+0.5*E33))^2</f>
        <v>153.68737505212533</v>
      </c>
      <c r="G33" s="98">
        <f>F33/SUM($F$29:$F$37)</f>
        <v>8.4861209911699223E-2</v>
      </c>
      <c r="H33" s="98">
        <f>G33*Solver_page!$F$8</f>
        <v>1.0603052614252645E-2</v>
      </c>
      <c r="I33" s="99">
        <f>Solver_page!$E$8*G33</f>
        <v>3106.1748663979265</v>
      </c>
      <c r="J33" s="31">
        <f t="shared" si="1"/>
        <v>2.341592715635439E-4</v>
      </c>
      <c r="K33" s="30">
        <f>MAX(0,1-(Transportation_info!F33+$C$92*Transportation_info!G33)/(B33*1.5))*G33</f>
        <v>5.8217144695878048E-2</v>
      </c>
      <c r="L33" s="97">
        <f>Solver_page!Y33</f>
        <v>0</v>
      </c>
      <c r="M33" s="32">
        <f t="shared" si="6"/>
        <v>-18.667792467948715</v>
      </c>
      <c r="N33" s="33">
        <f t="shared" si="2"/>
        <v>2.341592715635439E-4</v>
      </c>
      <c r="O33" s="32">
        <f>MAX(0,1-(Transportation_info!F33+$C$92*Transportation_info!G33-L33)/(B33*1.5))*G33</f>
        <v>5.8217144695878048E-2</v>
      </c>
      <c r="P33" s="34">
        <f>N33*I33*Transportation_info!F33</f>
        <v>2.9093585762589069</v>
      </c>
      <c r="Q33" s="7">
        <f t="shared" si="3"/>
        <v>0</v>
      </c>
      <c r="R33" s="73">
        <f t="shared" si="4"/>
        <v>2.9093585762589069</v>
      </c>
    </row>
    <row r="34" spans="1:18" x14ac:dyDescent="0.35">
      <c r="A34" s="9" t="s">
        <v>104</v>
      </c>
      <c r="B34" s="30">
        <v>33.210096153846152</v>
      </c>
      <c r="C34" s="62">
        <f t="shared" si="12"/>
        <v>16.605048076923076</v>
      </c>
      <c r="D34" s="8">
        <f>-(Transportation_info!D34+C34*Transportation_info!E34)</f>
        <v>-9.1782652243589737</v>
      </c>
      <c r="E34" s="8">
        <f>-(Transportation_info!F34+C34*Transportation_info!G34)</f>
        <v>-14.453786057692307</v>
      </c>
      <c r="F34" s="2">
        <f>Solver_page!C11/(-(0.5*D34+0.5*E34))^2</f>
        <v>194.01445641065655</v>
      </c>
      <c r="G34" s="98">
        <f t="shared" si="13"/>
        <v>0.10712852311899293</v>
      </c>
      <c r="H34" s="98">
        <f>G34*Solver_page!$F$8</f>
        <v>1.3385260100578248E-2</v>
      </c>
      <c r="I34" s="99">
        <f>Solver_page!$E$8*G34</f>
        <v>3921.2253317244981</v>
      </c>
      <c r="J34" s="31">
        <f t="shared" si="1"/>
        <v>5.0892587562838135E-3</v>
      </c>
      <c r="K34" s="30">
        <f>MAX(0,1-(Transportation_info!F34+$C$92*Transportation_info!G34)/(B34*1.5))*G34</f>
        <v>8.1572792957735632E-2</v>
      </c>
      <c r="L34" s="97">
        <f>Solver_page!Y34</f>
        <v>0</v>
      </c>
      <c r="M34" s="32">
        <f t="shared" si="6"/>
        <v>-14.453786057692307</v>
      </c>
      <c r="N34" s="33">
        <f t="shared" si="2"/>
        <v>5.0892587562838135E-3</v>
      </c>
      <c r="O34" s="32">
        <f>MAX(0,1-(Transportation_info!F34+$C$92*Transportation_info!G34-L34)/(B34*1.5))*G34</f>
        <v>8.1572792957735632E-2</v>
      </c>
      <c r="P34" s="34">
        <f>N34*I34*Transportation_info!F34</f>
        <v>39.912260709681604</v>
      </c>
      <c r="Q34" s="7">
        <f t="shared" si="3"/>
        <v>0</v>
      </c>
      <c r="R34" s="73">
        <f t="shared" si="4"/>
        <v>39.912260709681604</v>
      </c>
    </row>
    <row r="35" spans="1:18" x14ac:dyDescent="0.35">
      <c r="A35" s="9" t="s">
        <v>105</v>
      </c>
      <c r="B35" s="30">
        <v>33.210096153846152</v>
      </c>
      <c r="C35" s="62">
        <f t="shared" si="12"/>
        <v>16.605048076923076</v>
      </c>
      <c r="D35" s="8">
        <f>-(Transportation_info!D35+C35*Transportation_info!E35)</f>
        <v>-8.3547636217948718</v>
      </c>
      <c r="E35" s="8">
        <f>-(Transportation_info!F35+C35*Transportation_info!G35)</f>
        <v>-14.007287660256409</v>
      </c>
      <c r="F35" s="2">
        <f>Solver_page!C12/(-(0.5*D35+0.5*E35))^2</f>
        <v>112.33021988104448</v>
      </c>
      <c r="G35" s="98">
        <f t="shared" si="13"/>
        <v>6.2025123179568688E-2</v>
      </c>
      <c r="H35" s="98">
        <f>G35*Solver_page!$F$8</f>
        <v>7.7497792591312295E-3</v>
      </c>
      <c r="I35" s="99">
        <f>Solver_page!$E$8*G35</f>
        <v>2270.3055837417528</v>
      </c>
      <c r="J35" s="31">
        <f t="shared" si="1"/>
        <v>3.4963820429723359E-3</v>
      </c>
      <c r="K35" s="30">
        <f>MAX(0,1-(Transportation_info!F35+$C$92*Transportation_info!G35)/(B35*1.5))*G35</f>
        <v>4.7927074113155763E-2</v>
      </c>
      <c r="L35" s="97">
        <f>Solver_page!Y35</f>
        <v>0</v>
      </c>
      <c r="M35" s="32">
        <f t="shared" si="6"/>
        <v>-14.007287660256409</v>
      </c>
      <c r="N35" s="33">
        <f t="shared" si="2"/>
        <v>3.4963820429723359E-3</v>
      </c>
      <c r="O35" s="32">
        <f>MAX(0,1-(Transportation_info!F35+$C$92*Transportation_info!G35-L35)/(B35*1.5))*G35</f>
        <v>4.7927074113155763E-2</v>
      </c>
      <c r="P35" s="34">
        <f>N35*I35*Transportation_info!F35</f>
        <v>7.9378556750544913</v>
      </c>
      <c r="Q35" s="7">
        <f t="shared" si="3"/>
        <v>0</v>
      </c>
      <c r="R35" s="73">
        <f t="shared" si="4"/>
        <v>7.9378556750544913</v>
      </c>
    </row>
    <row r="36" spans="1:18" x14ac:dyDescent="0.35">
      <c r="A36" s="9" t="s">
        <v>106</v>
      </c>
      <c r="B36" s="30">
        <v>33.210096153846152</v>
      </c>
      <c r="C36" s="62">
        <f t="shared" si="12"/>
        <v>16.605048076923076</v>
      </c>
      <c r="D36" s="8">
        <f>-(Transportation_info!D36+C36*Transportation_info!E36)</f>
        <v>-11.252019230769232</v>
      </c>
      <c r="E36" s="8">
        <f>-(Transportation_info!F36+C36*Transportation_info!G36)</f>
        <v>-34.782083333333333</v>
      </c>
      <c r="F36" s="2">
        <f>Solver_page!C13/(-(0.5*D36+0.5*E36))^2</f>
        <v>52.69499600398786</v>
      </c>
      <c r="G36" s="98">
        <f t="shared" si="13"/>
        <v>2.9096476634296747E-2</v>
      </c>
      <c r="H36" s="98">
        <f>G36*Solver_page!$F$8</f>
        <v>3.6354828426773209E-3</v>
      </c>
      <c r="I36" s="99">
        <f>Solver_page!$E$8*G36</f>
        <v>1065.0183342451637</v>
      </c>
      <c r="J36" s="31">
        <f t="shared" si="1"/>
        <v>6.0398061696243962E-11</v>
      </c>
      <c r="K36" s="30">
        <f>MAX(0,1-(Transportation_info!F36+$C$92*Transportation_info!G36)/(B36*1.5))*G36</f>
        <v>1.2250252936247472E-2</v>
      </c>
      <c r="L36" s="97">
        <f>Solver_page!Y36</f>
        <v>0</v>
      </c>
      <c r="M36" s="32">
        <f t="shared" si="6"/>
        <v>-34.782083333333333</v>
      </c>
      <c r="N36" s="33">
        <f t="shared" si="2"/>
        <v>6.0398061696243962E-11</v>
      </c>
      <c r="O36" s="32">
        <f>MAX(0,1-(Transportation_info!F36+$C$92*Transportation_info!G36-L36)/(B36*1.5))*G36</f>
        <v>1.2250252936247472E-2</v>
      </c>
      <c r="P36" s="34">
        <f>N36*I36*Transportation_info!F36</f>
        <v>3.8595025835622227E-7</v>
      </c>
      <c r="Q36" s="7">
        <f t="shared" si="3"/>
        <v>0</v>
      </c>
      <c r="R36" s="73">
        <f t="shared" si="4"/>
        <v>3.8595025835622227E-7</v>
      </c>
    </row>
    <row r="37" spans="1:18" x14ac:dyDescent="0.35">
      <c r="A37" s="9" t="s">
        <v>107</v>
      </c>
      <c r="B37" s="30">
        <v>33.210096153846152</v>
      </c>
      <c r="C37" s="62">
        <f t="shared" si="12"/>
        <v>16.605048076923076</v>
      </c>
      <c r="D37" s="8">
        <f>-(Transportation_info!D37+C37*Transportation_info!E37)</f>
        <v>-12.322271634615383</v>
      </c>
      <c r="E37" s="8">
        <f>-(Transportation_info!F37+C37*Transportation_info!G37)</f>
        <v>-27.800568910256409</v>
      </c>
      <c r="F37" s="2">
        <f>Solver_page!C14/(-(0.5*D37+0.5*E37))^2</f>
        <v>96.29017499723254</v>
      </c>
      <c r="G37" s="98">
        <f t="shared" si="13"/>
        <v>5.3168327913096218E-2</v>
      </c>
      <c r="H37" s="98">
        <f>G37*Solver_page!$F$8</f>
        <v>6.6431598001135371E-3</v>
      </c>
      <c r="I37" s="99">
        <f>Solver_page!$E$8*G37</f>
        <v>1946.120306603061</v>
      </c>
      <c r="J37" s="31">
        <f t="shared" si="1"/>
        <v>1.8960981809762694E-7</v>
      </c>
      <c r="K37" s="30">
        <f>MAX(0,1-(Transportation_info!F37+$C$92*Transportation_info!G37)/(B37*1.5))*G37</f>
        <v>2.8739169480867764E-2</v>
      </c>
      <c r="L37" s="97">
        <f>Solver_page!Y37</f>
        <v>0</v>
      </c>
      <c r="M37" s="32">
        <f t="shared" si="6"/>
        <v>-27.800568910256409</v>
      </c>
      <c r="N37" s="33">
        <f t="shared" si="2"/>
        <v>1.8960981809762694E-7</v>
      </c>
      <c r="O37" s="32">
        <f>MAX(0,1-(Transportation_info!F37+$C$92*Transportation_info!G37-L37)/(B37*1.5))*G37</f>
        <v>2.8739169480867764E-2</v>
      </c>
      <c r="P37" s="34">
        <f>N37*I37*Transportation_info!F37</f>
        <v>1.4760140693244174E-3</v>
      </c>
      <c r="Q37" s="7">
        <f t="shared" si="3"/>
        <v>0</v>
      </c>
      <c r="R37" s="73">
        <f t="shared" si="4"/>
        <v>1.4760140693244174E-3</v>
      </c>
    </row>
    <row r="38" spans="1:18" s="94" customFormat="1" x14ac:dyDescent="0.35">
      <c r="A38" s="71" t="s">
        <v>22</v>
      </c>
      <c r="B38" s="66">
        <v>56.045673076923102</v>
      </c>
      <c r="C38" s="67">
        <f>0.5*B38</f>
        <v>28.022836538461551</v>
      </c>
      <c r="D38" s="68">
        <f>-(Transportation_info!D38+C38*Transportation_info!E38)</f>
        <v>-7.1463782051282063</v>
      </c>
      <c r="E38" s="68">
        <f>-(Transportation_info!F38+C38*Transportation_info!G38)</f>
        <v>-22.681891025641033</v>
      </c>
      <c r="F38" s="63">
        <f>Solver_page!C5/(-(0.5*D38+0.5*E38))^2</f>
        <v>45.276878566616531</v>
      </c>
      <c r="G38" s="95">
        <f>F38/SUM($F$38:$F$46)</f>
        <v>5.9520743197669548E-2</v>
      </c>
      <c r="H38" s="95">
        <f>G38*Solver_page!$F$9</f>
        <v>5.0391822277056578E-3</v>
      </c>
      <c r="I38" s="96">
        <f>Solver_page!$E$9*G38</f>
        <v>1476.2334727886002</v>
      </c>
      <c r="J38" s="81">
        <f t="shared" si="1"/>
        <v>1.7906571070156333E-7</v>
      </c>
      <c r="K38" s="66">
        <f>MAX(0,1-(Transportation_info!F38+$C$92*Transportation_info!G38)/(B38*1.5))*G38</f>
        <v>5.0468687538910796E-2</v>
      </c>
      <c r="L38" s="97">
        <f>Solver_page!Y38</f>
        <v>0</v>
      </c>
      <c r="M38" s="90">
        <f t="shared" si="6"/>
        <v>-22.681891025641033</v>
      </c>
      <c r="N38" s="91">
        <f t="shared" si="2"/>
        <v>1.7906571070156333E-7</v>
      </c>
      <c r="O38" s="90">
        <f>MAX(0,1-(Transportation_info!F38+$C$92*Transportation_info!G38-L38)/(B38*1.5))*G38</f>
        <v>5.0468687538910796E-2</v>
      </c>
      <c r="P38" s="92">
        <f>N38*I38*Transportation_info!F38</f>
        <v>1.0573711838653107E-3</v>
      </c>
      <c r="Q38" s="93">
        <f t="shared" si="3"/>
        <v>0</v>
      </c>
      <c r="R38" s="72">
        <f t="shared" si="4"/>
        <v>1.0573711838653107E-3</v>
      </c>
    </row>
    <row r="39" spans="1:18" s="94" customFormat="1" x14ac:dyDescent="0.35">
      <c r="A39" s="71" t="s">
        <v>23</v>
      </c>
      <c r="B39" s="66">
        <v>56.045673076923073</v>
      </c>
      <c r="C39" s="67">
        <f t="shared" ref="C39:C91" si="14">0.5*B39</f>
        <v>28.022836538461537</v>
      </c>
      <c r="D39" s="68">
        <f>-(Transportation_info!D39+C39*Transportation_info!E39)</f>
        <v>-8.1604727564102557</v>
      </c>
      <c r="E39" s="68">
        <f>-(Transportation_info!F39+C39*Transportation_info!G39)</f>
        <v>-30.154647435897434</v>
      </c>
      <c r="F39" s="63">
        <f>Solver_page!C6/(-(0.5*D39+0.5*E39))^2</f>
        <v>84.539445028820168</v>
      </c>
      <c r="G39" s="95">
        <f t="shared" ref="G39:G45" si="15">F39/SUM($F$38:$F$46)</f>
        <v>0.1111351037645069</v>
      </c>
      <c r="H39" s="95">
        <f>G39*Solver_page!$F$9</f>
        <v>9.4089893653453993E-3</v>
      </c>
      <c r="I39" s="96">
        <f>Solver_page!$E$9*G39</f>
        <v>2756.3728435673002</v>
      </c>
      <c r="J39" s="81">
        <f t="shared" si="1"/>
        <v>2.8057650592258759E-10</v>
      </c>
      <c r="K39" s="66">
        <f>MAX(0,1-(Transportation_info!F39+$C$92*Transportation_info!G39)/(B39*1.5))*G39</f>
        <v>8.9587871922069628E-2</v>
      </c>
      <c r="L39" s="97">
        <f>Solver_page!Y39</f>
        <v>0</v>
      </c>
      <c r="M39" s="90">
        <f t="shared" si="6"/>
        <v>-30.154647435897434</v>
      </c>
      <c r="N39" s="91">
        <f t="shared" si="2"/>
        <v>2.8057650592258759E-10</v>
      </c>
      <c r="O39" s="90">
        <f>MAX(0,1-(Transportation_info!F39+$C$92*Transportation_info!G39-L39)/(B39*1.5))*G39</f>
        <v>8.9587871922069628E-2</v>
      </c>
      <c r="P39" s="92">
        <f>N39*I39*Transportation_info!F39</f>
        <v>3.0934938458720807E-6</v>
      </c>
      <c r="Q39" s="93">
        <f t="shared" si="3"/>
        <v>0</v>
      </c>
      <c r="R39" s="72">
        <f t="shared" si="4"/>
        <v>3.0934938458720807E-6</v>
      </c>
    </row>
    <row r="40" spans="1:18" s="94" customFormat="1" x14ac:dyDescent="0.35">
      <c r="A40" s="71" t="s">
        <v>24</v>
      </c>
      <c r="B40" s="66">
        <v>56.045673076923073</v>
      </c>
      <c r="C40" s="67">
        <f t="shared" si="14"/>
        <v>28.022836538461537</v>
      </c>
      <c r="D40" s="68">
        <f>-(Transportation_info!D40+C40*Transportation_info!E40)</f>
        <v>-9.254567307692307</v>
      </c>
      <c r="E40" s="68">
        <f>-(Transportation_info!F40+C40*Transportation_info!G40)</f>
        <v>-26.41826923076923</v>
      </c>
      <c r="F40" s="63">
        <f>Solver_page!C7/(-(0.5*D40+0.5*E40))^2</f>
        <v>158.38104544321399</v>
      </c>
      <c r="G40" s="95">
        <f t="shared" si="15"/>
        <v>0.20820687802790891</v>
      </c>
      <c r="H40" s="95">
        <f>G40*Solver_page!$F$9</f>
        <v>1.7627340370397086E-2</v>
      </c>
      <c r="I40" s="96">
        <f>Solver_page!$E$9*G40</f>
        <v>5163.9469888481972</v>
      </c>
      <c r="J40" s="81">
        <f t="shared" si="1"/>
        <v>3.514786507018092E-8</v>
      </c>
      <c r="K40" s="66">
        <f>MAX(0,1-(Transportation_info!F40+$C$92*Transportation_info!G40)/(B40*1.5))*G40</f>
        <v>0.17219067031732882</v>
      </c>
      <c r="L40" s="97">
        <f>Solver_page!Y40</f>
        <v>0</v>
      </c>
      <c r="M40" s="90">
        <f t="shared" si="6"/>
        <v>-26.41826923076923</v>
      </c>
      <c r="N40" s="91">
        <f t="shared" si="2"/>
        <v>3.514786507018092E-8</v>
      </c>
      <c r="O40" s="90">
        <f>MAX(0,1-(Transportation_info!F40+$C$92*Transportation_info!G40-L40)/(B40*1.5))*G40</f>
        <v>0.17219067031732882</v>
      </c>
      <c r="P40" s="92">
        <f>N40*I40*Transportation_info!F40</f>
        <v>7.2600684797441395E-4</v>
      </c>
      <c r="Q40" s="93">
        <f t="shared" si="3"/>
        <v>0</v>
      </c>
      <c r="R40" s="72">
        <f t="shared" si="4"/>
        <v>7.2600684797441395E-4</v>
      </c>
    </row>
    <row r="41" spans="1:18" s="94" customFormat="1" x14ac:dyDescent="0.35">
      <c r="A41" s="71" t="s">
        <v>25</v>
      </c>
      <c r="B41" s="66">
        <v>56.045673076923073</v>
      </c>
      <c r="C41" s="67">
        <f t="shared" si="14"/>
        <v>28.022836538461537</v>
      </c>
      <c r="D41" s="68">
        <f>-(Transportation_info!D41+C41*Transportation_info!E41)</f>
        <v>-7.126378205128205</v>
      </c>
      <c r="E41" s="68">
        <f>-(Transportation_info!F41+C41*Transportation_info!G41)</f>
        <v>-19.879607371794869</v>
      </c>
      <c r="F41" s="63">
        <f>Solver_page!C8/(-(0.5*D41+0.5*E41))^2</f>
        <v>200.75048834459264</v>
      </c>
      <c r="G41" s="95">
        <f t="shared" si="15"/>
        <v>0.26390552179927296</v>
      </c>
      <c r="H41" s="95">
        <f>G41*Solver_page!$F$9</f>
        <v>2.2342933636224381E-2</v>
      </c>
      <c r="I41" s="96">
        <f>Solver_page!$E$9*G41</f>
        <v>6545.3847516655678</v>
      </c>
      <c r="J41" s="81">
        <f t="shared" si="1"/>
        <v>2.8929550788409622E-6</v>
      </c>
      <c r="K41" s="66">
        <f>MAX(0,1-(Transportation_info!F41+$C$92*Transportation_info!G41)/(B41*1.5))*G41</f>
        <v>0.22790694801237507</v>
      </c>
      <c r="L41" s="97">
        <f>Solver_page!Y41</f>
        <v>0</v>
      </c>
      <c r="M41" s="90">
        <f t="shared" si="6"/>
        <v>-19.879607371794869</v>
      </c>
      <c r="N41" s="91">
        <f t="shared" si="2"/>
        <v>2.8929550788409622E-6</v>
      </c>
      <c r="O41" s="90">
        <f>MAX(0,1-(Transportation_info!F41+$C$92*Transportation_info!G41-L41)/(B41*1.5))*G41</f>
        <v>0.22790694801237507</v>
      </c>
      <c r="P41" s="92">
        <f>N41*I41*Transportation_info!F41</f>
        <v>7.5742016241196378E-2</v>
      </c>
      <c r="Q41" s="93">
        <f t="shared" si="3"/>
        <v>0</v>
      </c>
      <c r="R41" s="72">
        <f t="shared" si="4"/>
        <v>7.5742016241196378E-2</v>
      </c>
    </row>
    <row r="42" spans="1:18" s="94" customFormat="1" x14ac:dyDescent="0.35">
      <c r="A42" s="71" t="s">
        <v>108</v>
      </c>
      <c r="B42" s="66">
        <v>56.045673076923073</v>
      </c>
      <c r="C42" s="67">
        <f t="shared" si="14"/>
        <v>28.022836538461537</v>
      </c>
      <c r="D42" s="68">
        <f>-(Transportation_info!D42+C42*Transportation_info!E42)</f>
        <v>-9.4845673076923074</v>
      </c>
      <c r="E42" s="68">
        <f>-(Transportation_info!F42+C42*Transportation_info!G42)</f>
        <v>-48.83653846153846</v>
      </c>
      <c r="F42" s="63">
        <f>Solver_page!C10/(-(0.5*D42+0.5*E42))^2</f>
        <v>37.937862235904689</v>
      </c>
      <c r="G42" s="95">
        <f t="shared" si="15"/>
        <v>4.9872911452795675E-2</v>
      </c>
      <c r="H42" s="95">
        <f>G42*Solver_page!$F$9</f>
        <v>4.2223714882428749E-3</v>
      </c>
      <c r="I42" s="96">
        <f>Solver_page!$E$9*G42</f>
        <v>1236.9479498522383</v>
      </c>
      <c r="J42" s="81">
        <f t="shared" si="1"/>
        <v>8.1218707863638283E-18</v>
      </c>
      <c r="K42" s="66">
        <f>MAX(0,1-(Transportation_info!F42+$C$92*Transportation_info!G42)/(B42*1.5))*G42</f>
        <v>3.499156538883718E-2</v>
      </c>
      <c r="L42" s="97">
        <f>Solver_page!Y42</f>
        <v>0</v>
      </c>
      <c r="M42" s="90">
        <f t="shared" si="6"/>
        <v>-48.83653846153846</v>
      </c>
      <c r="N42" s="91">
        <f t="shared" si="2"/>
        <v>8.1218707863638283E-18</v>
      </c>
      <c r="O42" s="90">
        <f>MAX(0,1-(Transportation_info!F42+$C$92*Transportation_info!G42-L42)/(B42*1.5))*G42</f>
        <v>3.499156538883718E-2</v>
      </c>
      <c r="P42" s="92">
        <f>N42*I42*Transportation_info!F42</f>
        <v>4.0185325672630095E-14</v>
      </c>
      <c r="Q42" s="93">
        <f t="shared" si="3"/>
        <v>0</v>
      </c>
      <c r="R42" s="72">
        <f t="shared" si="4"/>
        <v>4.0185325672630095E-14</v>
      </c>
    </row>
    <row r="43" spans="1:18" s="94" customFormat="1" x14ac:dyDescent="0.35">
      <c r="A43" s="71" t="s">
        <v>109</v>
      </c>
      <c r="B43" s="66">
        <v>56.045673076923073</v>
      </c>
      <c r="C43" s="67">
        <f t="shared" si="14"/>
        <v>28.022836538461537</v>
      </c>
      <c r="D43" s="68">
        <f>-(Transportation_info!D43+C43*Transportation_info!E43)</f>
        <v>-7.7734254807692302</v>
      </c>
      <c r="E43" s="68">
        <f>-(Transportation_info!F43+C43*Transportation_info!G43)</f>
        <v>-24.951221955128204</v>
      </c>
      <c r="F43" s="63">
        <f>Solver_page!C11/(-(0.5*D43+0.5*E43))^2</f>
        <v>101.17820712991326</v>
      </c>
      <c r="G43" s="95">
        <f t="shared" si="15"/>
        <v>0.13300833172321347</v>
      </c>
      <c r="H43" s="95">
        <f>G43*Solver_page!$F$9</f>
        <v>1.1260834212544557E-2</v>
      </c>
      <c r="I43" s="96">
        <f>Solver_page!$E$9*G43</f>
        <v>3298.8726433991405</v>
      </c>
      <c r="J43" s="81">
        <f t="shared" si="1"/>
        <v>3.4655946529746249E-8</v>
      </c>
      <c r="K43" s="66">
        <f>MAX(0,1-(Transportation_info!F43+$C$92*Transportation_info!G43)/(B43*1.5))*G43</f>
        <v>0.11192981221873699</v>
      </c>
      <c r="L43" s="97">
        <f>Solver_page!Y43</f>
        <v>0</v>
      </c>
      <c r="M43" s="90">
        <f t="shared" si="6"/>
        <v>-24.951221955128204</v>
      </c>
      <c r="N43" s="91">
        <f t="shared" si="2"/>
        <v>3.4655946529746249E-8</v>
      </c>
      <c r="O43" s="90">
        <f>MAX(0,1-(Transportation_info!F43+$C$92*Transportation_info!G43-L43)/(B43*1.5))*G43</f>
        <v>0.11192981221873699</v>
      </c>
      <c r="P43" s="92">
        <f>N43*I43*Transportation_info!F43</f>
        <v>3.4297666181424982E-4</v>
      </c>
      <c r="Q43" s="93">
        <f t="shared" si="3"/>
        <v>0</v>
      </c>
      <c r="R43" s="72">
        <f t="shared" si="4"/>
        <v>3.4297666181424982E-4</v>
      </c>
    </row>
    <row r="44" spans="1:18" s="94" customFormat="1" x14ac:dyDescent="0.35">
      <c r="A44" s="71" t="s">
        <v>110</v>
      </c>
      <c r="B44" s="66">
        <v>56.045673076923073</v>
      </c>
      <c r="C44" s="67">
        <f t="shared" si="14"/>
        <v>28.022836538461537</v>
      </c>
      <c r="D44" s="68">
        <f>-(Transportation_info!D44+C44*Transportation_info!E44)</f>
        <v>-8.1204727564102548</v>
      </c>
      <c r="E44" s="68">
        <f>-(Transportation_info!F44+C44*Transportation_info!G44)</f>
        <v>-20.681891025641022</v>
      </c>
      <c r="F44" s="63">
        <f>Solver_page!C12/(-(0.5*D44+0.5*E44))^2</f>
        <v>67.711685492927614</v>
      </c>
      <c r="G44" s="95">
        <f t="shared" si="15"/>
        <v>8.9013420785537284E-2</v>
      </c>
      <c r="H44" s="95">
        <f>G44*Solver_page!$F$9</f>
        <v>7.536109664493024E-3</v>
      </c>
      <c r="I44" s="96">
        <f>Solver_page!$E$9*G44</f>
        <v>2207.7108623228955</v>
      </c>
      <c r="J44" s="81">
        <f t="shared" si="1"/>
        <v>3.5046434320470962E-6</v>
      </c>
      <c r="K44" s="66">
        <f>MAX(0,1-(Transportation_info!F44+$C$92*Transportation_info!G44)/(B44*1.5))*G44</f>
        <v>7.7593688871011562E-2</v>
      </c>
      <c r="L44" s="97">
        <f>Solver_page!Y44</f>
        <v>0</v>
      </c>
      <c r="M44" s="90">
        <f t="shared" si="6"/>
        <v>-20.681891025641022</v>
      </c>
      <c r="N44" s="91">
        <f t="shared" si="2"/>
        <v>3.5046434320470962E-6</v>
      </c>
      <c r="O44" s="90">
        <f>MAX(0,1-(Transportation_info!F44+$C$92*Transportation_info!G44-L44)/(B44*1.5))*G44</f>
        <v>7.7593688871011562E-2</v>
      </c>
      <c r="P44" s="92">
        <f>N44*I44*Transportation_info!F44</f>
        <v>1.5474478746997934E-2</v>
      </c>
      <c r="Q44" s="93">
        <f t="shared" si="3"/>
        <v>0</v>
      </c>
      <c r="R44" s="72">
        <f t="shared" si="4"/>
        <v>1.5474478746997934E-2</v>
      </c>
    </row>
    <row r="45" spans="1:18" s="94" customFormat="1" x14ac:dyDescent="0.35">
      <c r="A45" s="71" t="s">
        <v>111</v>
      </c>
      <c r="B45" s="66">
        <v>56.045673076923073</v>
      </c>
      <c r="C45" s="67">
        <f t="shared" si="14"/>
        <v>28.022836538461537</v>
      </c>
      <c r="D45" s="68">
        <f>-(Transportation_info!D45+C45*Transportation_info!E45)</f>
        <v>-10.291614583333333</v>
      </c>
      <c r="E45" s="68">
        <f>-(Transportation_info!F45+C45*Transportation_info!G45)</f>
        <v>-60.644531249999993</v>
      </c>
      <c r="F45" s="63">
        <f>Solver_page!C13/(-(0.5*D45+0.5*E45))^2</f>
        <v>22.191852711188915</v>
      </c>
      <c r="G45" s="95">
        <f t="shared" si="15"/>
        <v>2.9173291271830028E-2</v>
      </c>
      <c r="H45" s="95">
        <f>G45*Solver_page!$F$9</f>
        <v>2.4698873535981391E-3</v>
      </c>
      <c r="I45" s="96">
        <f>Solver_page!$E$9*G45</f>
        <v>723.55597012392832</v>
      </c>
      <c r="J45" s="81">
        <f t="shared" si="1"/>
        <v>1.3552085842525126E-22</v>
      </c>
      <c r="K45" s="66">
        <f>MAX(0,1-(Transportation_info!F45+$C$92*Transportation_info!G45)/(B45*1.5))*G45</f>
        <v>1.8173820182687393E-2</v>
      </c>
      <c r="L45" s="97">
        <f>Solver_page!Y45</f>
        <v>0</v>
      </c>
      <c r="M45" s="90">
        <f t="shared" si="6"/>
        <v>-60.644531249999993</v>
      </c>
      <c r="N45" s="91">
        <f t="shared" si="2"/>
        <v>1.3552085842525126E-22</v>
      </c>
      <c r="O45" s="90">
        <f>MAX(0,1-(Transportation_info!F45+$C$92*Transportation_info!G45-L45)/(B45*1.5))*G45</f>
        <v>1.8173820182687393E-2</v>
      </c>
      <c r="P45" s="92">
        <f>N45*I45*Transportation_info!F45</f>
        <v>5.8834155713946136E-19</v>
      </c>
      <c r="Q45" s="93">
        <f t="shared" si="3"/>
        <v>0</v>
      </c>
      <c r="R45" s="72">
        <f t="shared" si="4"/>
        <v>5.8834155713946136E-19</v>
      </c>
    </row>
    <row r="46" spans="1:18" s="94" customFormat="1" x14ac:dyDescent="0.35">
      <c r="A46" s="71" t="s">
        <v>112</v>
      </c>
      <c r="B46" s="66">
        <v>56.045673076923102</v>
      </c>
      <c r="C46" s="67">
        <f t="shared" si="14"/>
        <v>28.022836538461551</v>
      </c>
      <c r="D46" s="68">
        <f>-(Transportation_info!D46+C46*Transportation_info!E46)</f>
        <v>-13.733898237179492</v>
      </c>
      <c r="E46" s="68">
        <f>-(Transportation_info!F46+C46*Transportation_info!G46)</f>
        <v>-46.50130208333335</v>
      </c>
      <c r="F46" s="63">
        <f>Solver_page!C14/(-(0.5*D46+0.5*E46))^2</f>
        <v>42.723281401435692</v>
      </c>
      <c r="G46" s="95">
        <f>F46/SUM($F$38:$F$46)</f>
        <v>5.6163797977265326E-2</v>
      </c>
      <c r="H46" s="95">
        <f>G46*Solver_page!$F$9</f>
        <v>4.7549744408864779E-3</v>
      </c>
      <c r="I46" s="96">
        <f>Solver_page!$E$9*G46</f>
        <v>1392.9745174321347</v>
      </c>
      <c r="J46" s="81">
        <f t="shared" si="1"/>
        <v>5.8789169264174247E-15</v>
      </c>
      <c r="K46" s="66">
        <f>MAX(0,1-(Transportation_info!F46+$C$92*Transportation_info!G46)/(B46*1.5))*G46</f>
        <v>4.0138998095085934E-2</v>
      </c>
      <c r="L46" s="97">
        <f>Solver_page!Y46</f>
        <v>0</v>
      </c>
      <c r="M46" s="90">
        <f t="shared" si="6"/>
        <v>-46.50130208333335</v>
      </c>
      <c r="N46" s="91">
        <f t="shared" si="2"/>
        <v>5.8789169264174247E-15</v>
      </c>
      <c r="O46" s="90">
        <f>MAX(0,1-(Transportation_info!F46+$C$92*Transportation_info!G46-L46)/(B46*1.5))*G46</f>
        <v>4.0138998095085934E-2</v>
      </c>
      <c r="P46" s="92">
        <f>N46*I46*Transportation_info!F46</f>
        <v>3.2756725874399683E-11</v>
      </c>
      <c r="Q46" s="93">
        <f t="shared" si="3"/>
        <v>0</v>
      </c>
      <c r="R46" s="72">
        <f t="shared" si="4"/>
        <v>3.2756725874399683E-11</v>
      </c>
    </row>
    <row r="47" spans="1:18" x14ac:dyDescent="0.35">
      <c r="A47" s="9" t="s">
        <v>113</v>
      </c>
      <c r="B47" s="1">
        <f>Solver_page!$G$10/2080</f>
        <v>17.651442307692307</v>
      </c>
      <c r="C47" s="62">
        <f t="shared" si="14"/>
        <v>8.8257211538461533</v>
      </c>
      <c r="D47" s="8">
        <f>-(Transportation_info!D47+C47*Transportation_info!E47)</f>
        <v>-6.5306209935897437</v>
      </c>
      <c r="E47" s="8">
        <f>-(Transportation_info!F47+C47*Transportation_info!G47)</f>
        <v>-10.472195512820512</v>
      </c>
      <c r="F47" s="2">
        <f>Solver_page!C5/(-(0.5*D47+0.5*E47))^2</f>
        <v>139.34482721193586</v>
      </c>
      <c r="G47" s="98">
        <f>F47/SUM($F$47:$F$55)</f>
        <v>3.7080990173604424E-2</v>
      </c>
      <c r="H47" s="98">
        <f>G47*Solver_page!$F$10</f>
        <v>4.0833884950059185E-3</v>
      </c>
      <c r="I47" s="99">
        <f>Solver_page!$E$10*G47</f>
        <v>1196.2327430004786</v>
      </c>
      <c r="J47" s="31">
        <f t="shared" si="1"/>
        <v>1.9047755231172876E-2</v>
      </c>
      <c r="K47" s="30">
        <f>MAX(0,1-(Transportation_info!F47+$C$92*Transportation_info!G47)/(B47*1.5))*G47</f>
        <v>1.7944880580992566E-2</v>
      </c>
      <c r="L47" s="97">
        <f>Solver_page!Y47</f>
        <v>0</v>
      </c>
      <c r="M47" s="32">
        <f t="shared" si="6"/>
        <v>-10.472195512820512</v>
      </c>
      <c r="N47" s="33">
        <f t="shared" si="2"/>
        <v>1.9047755231172876E-2</v>
      </c>
      <c r="O47" s="32">
        <f>MAX(0,1-(Transportation_info!F47+$C$92*Transportation_info!G47-L47)/(B47*1.5))*G47</f>
        <v>1.7944880580992566E-2</v>
      </c>
      <c r="P47" s="34">
        <f>N47*I47*Transportation_info!F47</f>
        <v>91.142193952750574</v>
      </c>
      <c r="Q47" s="7">
        <f t="shared" si="3"/>
        <v>0</v>
      </c>
      <c r="R47" s="73">
        <f t="shared" si="4"/>
        <v>91.142193952750574</v>
      </c>
    </row>
    <row r="48" spans="1:18" x14ac:dyDescent="0.35">
      <c r="A48" s="9" t="s">
        <v>114</v>
      </c>
      <c r="B48" s="1">
        <f>Solver_page!$G$10/2080</f>
        <v>17.651442307692307</v>
      </c>
      <c r="C48" s="62">
        <f t="shared" si="14"/>
        <v>8.8257211538461533</v>
      </c>
      <c r="D48" s="8">
        <f>-(Transportation_info!D48+C48*Transportation_info!E48)</f>
        <v>-5.3551442307692305</v>
      </c>
      <c r="E48" s="8">
        <f>-(Transportation_info!F48+C48*Transportation_info!G48)</f>
        <v>-9.4425280448717945</v>
      </c>
      <c r="F48" s="2">
        <f>Solver_page!C6/(-(0.5*D48+0.5*E48))^2</f>
        <v>566.77797797218773</v>
      </c>
      <c r="G48" s="98">
        <f t="shared" ref="G48:G55" si="16">F48/SUM($F$47:$F$55)</f>
        <v>0.15082503636706113</v>
      </c>
      <c r="H48" s="98">
        <f>G48*Solver_page!$F$10</f>
        <v>1.6608974446925908E-2</v>
      </c>
      <c r="I48" s="99">
        <f>Solver_page!$E$10*G48</f>
        <v>4865.6156732013924</v>
      </c>
      <c r="J48" s="31">
        <f t="shared" si="1"/>
        <v>1.6506061231065534E-2</v>
      </c>
      <c r="K48" s="30">
        <f>MAX(0,1-(Transportation_info!F48+$C$92*Transportation_info!G48)/(B48*1.5))*G48</f>
        <v>8.1747756926009926E-2</v>
      </c>
      <c r="L48" s="97">
        <f>Solver_page!Y48</f>
        <v>0</v>
      </c>
      <c r="M48" s="32">
        <f t="shared" si="6"/>
        <v>-9.4425280448717945</v>
      </c>
      <c r="N48" s="33">
        <f t="shared" si="2"/>
        <v>1.6506061231065534E-2</v>
      </c>
      <c r="O48" s="32">
        <f>MAX(0,1-(Transportation_info!F48+$C$92*Transportation_info!G48-L48)/(B48*1.5))*G48</f>
        <v>8.1747756926009926E-2</v>
      </c>
      <c r="P48" s="34">
        <f>N48*I48*Transportation_info!F48</f>
        <v>321.24860091477734</v>
      </c>
      <c r="Q48" s="7">
        <f t="shared" si="3"/>
        <v>0</v>
      </c>
      <c r="R48" s="73">
        <f t="shared" si="4"/>
        <v>321.24860091477734</v>
      </c>
    </row>
    <row r="49" spans="1:18" x14ac:dyDescent="0.35">
      <c r="A49" s="9" t="s">
        <v>115</v>
      </c>
      <c r="B49" s="1">
        <f>Solver_page!$G$10/2080</f>
        <v>17.651442307692307</v>
      </c>
      <c r="C49" s="62">
        <f t="shared" si="14"/>
        <v>8.8257211538461533</v>
      </c>
      <c r="D49" s="8">
        <f>-(Transportation_info!D49+C49*Transportation_info!E49)</f>
        <v>-6.0964302884615389</v>
      </c>
      <c r="E49" s="8">
        <f>-(Transportation_info!F49+C49*Transportation_info!G49)</f>
        <v>-16.737960737179485</v>
      </c>
      <c r="F49" s="2">
        <f>Solver_page!C7/(-(0.5*D49+0.5*E49))^2</f>
        <v>386.54461307574689</v>
      </c>
      <c r="G49" s="98">
        <f t="shared" si="16"/>
        <v>0.10286321556322353</v>
      </c>
      <c r="H49" s="98">
        <f>G49*Solver_page!$F$10</f>
        <v>1.1327380121827853E-2</v>
      </c>
      <c r="I49" s="99">
        <f>Solver_page!$E$10*G49</f>
        <v>3318.3673340695909</v>
      </c>
      <c r="J49" s="31">
        <f t="shared" si="1"/>
        <v>2.3901858253379407E-5</v>
      </c>
      <c r="K49" s="30">
        <f>MAX(0,1-(Transportation_info!F49+$C$92*Transportation_info!G49)/(B49*1.5))*G49</f>
        <v>1.7264539717922488E-2</v>
      </c>
      <c r="L49" s="97">
        <f>Solver_page!Y49</f>
        <v>0</v>
      </c>
      <c r="M49" s="32">
        <f t="shared" si="6"/>
        <v>-16.737960737179485</v>
      </c>
      <c r="N49" s="33">
        <f t="shared" si="2"/>
        <v>2.3901858253379407E-5</v>
      </c>
      <c r="O49" s="32">
        <f>MAX(0,1-(Transportation_info!F49+$C$92*Transportation_info!G49-L49)/(B49*1.5))*G49</f>
        <v>1.7264539717922488E-2</v>
      </c>
      <c r="P49" s="34">
        <f>N49*I49*Transportation_info!F49</f>
        <v>0.47589087390945517</v>
      </c>
      <c r="Q49" s="7">
        <f t="shared" si="3"/>
        <v>0</v>
      </c>
      <c r="R49" s="73">
        <f t="shared" si="4"/>
        <v>0.47589087390945517</v>
      </c>
    </row>
    <row r="50" spans="1:18" x14ac:dyDescent="0.35">
      <c r="A50" s="9" t="s">
        <v>116</v>
      </c>
      <c r="B50" s="1">
        <f>Solver_page!$G$10/2080</f>
        <v>17.651442307692307</v>
      </c>
      <c r="C50" s="62">
        <f t="shared" si="14"/>
        <v>8.8257211538461533</v>
      </c>
      <c r="D50" s="8">
        <f>-(Transportation_info!D50+C50*Transportation_info!E50)</f>
        <v>-7.1419070512820513</v>
      </c>
      <c r="E50" s="8">
        <f>-(Transportation_info!F50+C50*Transportation_info!G50)</f>
        <v>-11.648958333333333</v>
      </c>
      <c r="F50" s="2">
        <f>Solver_page!C8/(-(0.5*D50+0.5*E50))^2</f>
        <v>414.65137562355494</v>
      </c>
      <c r="G50" s="98">
        <f t="shared" si="16"/>
        <v>0.1103426936802112</v>
      </c>
      <c r="H50" s="98">
        <f>G50*Solver_page!$F$10</f>
        <v>1.2151026274440481E-2</v>
      </c>
      <c r="I50" s="99">
        <f>Solver_page!$E$10*G50</f>
        <v>3559.6552981236132</v>
      </c>
      <c r="J50" s="31">
        <f t="shared" si="1"/>
        <v>1.0910585389037495E-2</v>
      </c>
      <c r="K50" s="30">
        <f>MAX(0,1-(Transportation_info!F50+$C$92*Transportation_info!G50)/(B50*1.5))*G50</f>
        <v>4.6076443438693687E-2</v>
      </c>
      <c r="L50" s="97">
        <f>Solver_page!Y50</f>
        <v>0</v>
      </c>
      <c r="M50" s="32">
        <f t="shared" si="6"/>
        <v>-11.648958333333333</v>
      </c>
      <c r="N50" s="33">
        <f t="shared" si="2"/>
        <v>1.0910585389037495E-2</v>
      </c>
      <c r="O50" s="32">
        <f>MAX(0,1-(Transportation_info!F50+$C$92*Transportation_info!G50-L50)/(B50*1.5))*G50</f>
        <v>4.6076443438693687E-2</v>
      </c>
      <c r="P50" s="34">
        <f>N50*I50*Transportation_info!F50</f>
        <v>155.35169234286963</v>
      </c>
      <c r="Q50" s="7">
        <f t="shared" si="3"/>
        <v>0</v>
      </c>
      <c r="R50" s="73">
        <f t="shared" si="4"/>
        <v>155.35169234286963</v>
      </c>
    </row>
    <row r="51" spans="1:18" x14ac:dyDescent="0.35">
      <c r="A51" s="9" t="s">
        <v>117</v>
      </c>
      <c r="B51" s="1">
        <f>Solver_page!$G$10/2080</f>
        <v>17.651442307692307</v>
      </c>
      <c r="C51" s="62">
        <f t="shared" si="14"/>
        <v>8.8257211538461533</v>
      </c>
      <c r="D51" s="8">
        <f>-(Transportation_info!D51+C51*Transportation_info!E51)</f>
        <v>-5.7922395833333331</v>
      </c>
      <c r="E51" s="8">
        <f>-(Transportation_info!F51+C51*Transportation_info!G51)</f>
        <v>-13.414102564102564</v>
      </c>
      <c r="F51" s="2">
        <f>Solver_page!C9/(-(0.5*D51+0.5*E51))^2</f>
        <v>268.94122084215962</v>
      </c>
      <c r="G51" s="98">
        <f t="shared" si="16"/>
        <v>7.1567829009953191E-2</v>
      </c>
      <c r="H51" s="98">
        <f>G51*Solver_page!$F$10</f>
        <v>7.8811069559792928E-3</v>
      </c>
      <c r="I51" s="99">
        <f>Solver_page!$E$10*G51</f>
        <v>2308.77816386109</v>
      </c>
      <c r="J51" s="31">
        <f t="shared" si="1"/>
        <v>4.8938919279881696E-4</v>
      </c>
      <c r="K51" s="30">
        <f>MAX(0,1-(Transportation_info!F51+$C$92*Transportation_info!G51)/(B51*1.5))*G51</f>
        <v>2.2760960309253071E-2</v>
      </c>
      <c r="L51" s="97">
        <f>Solver_page!Y51</f>
        <v>0</v>
      </c>
      <c r="M51" s="32">
        <f t="shared" si="6"/>
        <v>-13.414102564102564</v>
      </c>
      <c r="N51" s="33">
        <f t="shared" si="2"/>
        <v>4.8938919279881696E-4</v>
      </c>
      <c r="O51" s="32">
        <f>MAX(0,1-(Transportation_info!F51+$C$92*Transportation_info!G51-L51)/(B51*1.5))*G51</f>
        <v>2.2760960309253071E-2</v>
      </c>
      <c r="P51" s="34">
        <f>N51*I51*Transportation_info!F51</f>
        <v>4.519564327854054</v>
      </c>
      <c r="Q51" s="7">
        <f t="shared" si="3"/>
        <v>0</v>
      </c>
      <c r="R51" s="73">
        <f t="shared" si="4"/>
        <v>4.519564327854054</v>
      </c>
    </row>
    <row r="52" spans="1:18" x14ac:dyDescent="0.35">
      <c r="A52" s="9" t="s">
        <v>118</v>
      </c>
      <c r="B52" s="1">
        <f>Solver_page!$G$10/2080</f>
        <v>17.651442307692307</v>
      </c>
      <c r="C52" s="62">
        <f t="shared" si="14"/>
        <v>8.8257211538461533</v>
      </c>
      <c r="D52" s="8">
        <f>-(Transportation_info!D52+C52*Transportation_info!E52)</f>
        <v>-5.248048878205128</v>
      </c>
      <c r="E52" s="8">
        <f>-(Transportation_info!F52+C52*Transportation_info!G52)</f>
        <v>-7.7070512820512818</v>
      </c>
      <c r="F52" s="2">
        <f>Solver_page!C11/(-(0.5*D52+0.5*E52))^2</f>
        <v>645.58790013190833</v>
      </c>
      <c r="G52" s="98">
        <f t="shared" si="16"/>
        <v>0.17179710980285789</v>
      </c>
      <c r="H52" s="98">
        <f>G52*Solver_page!$F$10</f>
        <v>1.8918436060092629E-2</v>
      </c>
      <c r="I52" s="99">
        <f>Solver_page!$E$10*G52</f>
        <v>5542.1747622401954</v>
      </c>
      <c r="J52" s="31">
        <f t="shared" si="1"/>
        <v>7.8782708285485656E-2</v>
      </c>
      <c r="K52" s="30">
        <f>MAX(0,1-(Transportation_info!F52+$C$92*Transportation_info!G52)/(B52*1.5))*G52</f>
        <v>0.10672866344430362</v>
      </c>
      <c r="L52" s="97">
        <f>Solver_page!Y52</f>
        <v>0</v>
      </c>
      <c r="M52" s="32">
        <f t="shared" si="6"/>
        <v>-7.7070512820512818</v>
      </c>
      <c r="N52" s="33">
        <f t="shared" si="2"/>
        <v>7.8782708285485656E-2</v>
      </c>
      <c r="O52" s="32">
        <f>MAX(0,1-(Transportation_info!F52+$C$92*Transportation_info!G52-L52)/(B52*1.5))*G52</f>
        <v>0.10672866344430362</v>
      </c>
      <c r="P52" s="34">
        <f>N52*I52*Transportation_info!F52</f>
        <v>1309.8826126822503</v>
      </c>
      <c r="Q52" s="7">
        <f t="shared" si="3"/>
        <v>0</v>
      </c>
      <c r="R52" s="73">
        <f t="shared" si="4"/>
        <v>1309.8826126822503</v>
      </c>
    </row>
    <row r="53" spans="1:18" x14ac:dyDescent="0.35">
      <c r="A53" s="9" t="s">
        <v>119</v>
      </c>
      <c r="B53" s="1">
        <f>Solver_page!$G$10/2080</f>
        <v>17.651442307692307</v>
      </c>
      <c r="C53" s="62">
        <f t="shared" si="14"/>
        <v>8.8257211538461533</v>
      </c>
      <c r="D53" s="8">
        <f>-(Transportation_info!D53+C53*Transportation_info!E53)</f>
        <v>-7.2019070512820509</v>
      </c>
      <c r="E53" s="8">
        <f>-(Transportation_info!F53+C53*Transportation_info!G53)</f>
        <v>-17.503104967948715</v>
      </c>
      <c r="F53" s="2">
        <f>Solver_page!C12/(-(0.5*D53+0.5*E53))^2</f>
        <v>92.034307346100988</v>
      </c>
      <c r="G53" s="98">
        <f t="shared" si="16"/>
        <v>2.4491208713077629E-2</v>
      </c>
      <c r="H53" s="98">
        <f>G53*Solver_page!$F$10</f>
        <v>2.6969916234588186E-3</v>
      </c>
      <c r="I53" s="99">
        <f>Solver_page!$E$10*G53</f>
        <v>790.08639308388433</v>
      </c>
      <c r="J53" s="31">
        <f t="shared" si="1"/>
        <v>3.3591701222332964E-5</v>
      </c>
      <c r="K53" s="30">
        <f>MAX(0,1-(Transportation_info!F53+$C$92*Transportation_info!G53)/(B53*1.5))*G53</f>
        <v>2.5976781536413535E-3</v>
      </c>
      <c r="L53" s="97">
        <f>Solver_page!Y53</f>
        <v>0</v>
      </c>
      <c r="M53" s="32">
        <f t="shared" si="6"/>
        <v>-17.503104967948715</v>
      </c>
      <c r="N53" s="33">
        <f t="shared" si="2"/>
        <v>3.3591701222332964E-5</v>
      </c>
      <c r="O53" s="32">
        <f>MAX(0,1-(Transportation_info!F53+$C$92*Transportation_info!G53-L53)/(B53*1.5))*G53</f>
        <v>2.5976781536413535E-3</v>
      </c>
      <c r="P53" s="34">
        <f>N53*I53*Transportation_info!F53</f>
        <v>0.1327017302815228</v>
      </c>
      <c r="Q53" s="7">
        <f t="shared" si="3"/>
        <v>0</v>
      </c>
      <c r="R53" s="73">
        <f t="shared" si="4"/>
        <v>0.1327017302815228</v>
      </c>
    </row>
    <row r="54" spans="1:18" x14ac:dyDescent="0.35">
      <c r="A54" s="9" t="s">
        <v>120</v>
      </c>
      <c r="B54" s="1">
        <f>Solver_page!$G$10/2080</f>
        <v>17.651442307692307</v>
      </c>
      <c r="C54" s="62">
        <f t="shared" si="14"/>
        <v>8.8257211538461533</v>
      </c>
      <c r="D54" s="8">
        <f>-(Transportation_info!D54+C54*Transportation_info!E54)</f>
        <v>-5.3880488782051277</v>
      </c>
      <c r="E54" s="8">
        <f>-(Transportation_info!F54+C54*Transportation_info!G54)</f>
        <v>-11.267007211538461</v>
      </c>
      <c r="F54" s="2">
        <f>Solver_page!C13/(-(0.5*D54+0.5*E54))^2</f>
        <v>402.56548674110098</v>
      </c>
      <c r="G54" s="98">
        <f t="shared" si="16"/>
        <v>0.10712652314947504</v>
      </c>
      <c r="H54" s="98">
        <f>G54*Solver_page!$F$10</f>
        <v>1.1796858985980813E-2</v>
      </c>
      <c r="I54" s="99">
        <f>Solver_page!$E$10*G54</f>
        <v>3455.9016368020648</v>
      </c>
      <c r="J54" s="31">
        <f t="shared" si="1"/>
        <v>2.7898927490548541E-3</v>
      </c>
      <c r="K54" s="30">
        <f>MAX(0,1-(Transportation_info!F54+$C$92*Transportation_info!G54)/(B54*1.5))*G54</f>
        <v>4.3050443092607124E-2</v>
      </c>
      <c r="L54" s="97">
        <f>Solver_page!Y54</f>
        <v>0</v>
      </c>
      <c r="M54" s="32">
        <f t="shared" si="6"/>
        <v>-11.267007211538461</v>
      </c>
      <c r="N54" s="33">
        <f t="shared" si="2"/>
        <v>2.7898927490548541E-3</v>
      </c>
      <c r="O54" s="32">
        <f>MAX(0,1-(Transportation_info!F54+$C$92*Transportation_info!G54-L54)/(B54*1.5))*G54</f>
        <v>4.3050443092607124E-2</v>
      </c>
      <c r="P54" s="34">
        <f>N54*I54*Transportation_info!F54</f>
        <v>19.283189835921764</v>
      </c>
      <c r="Q54" s="7">
        <f t="shared" si="3"/>
        <v>0</v>
      </c>
      <c r="R54" s="73">
        <f t="shared" si="4"/>
        <v>19.283189835921764</v>
      </c>
    </row>
    <row r="55" spans="1:18" x14ac:dyDescent="0.35">
      <c r="A55" s="9" t="s">
        <v>121</v>
      </c>
      <c r="B55" s="1">
        <f>Solver_page!$G$10/2080</f>
        <v>17.651442307692307</v>
      </c>
      <c r="C55" s="62">
        <f t="shared" si="14"/>
        <v>8.8257211538461533</v>
      </c>
      <c r="D55" s="8">
        <f>-(Transportation_info!D55+C55*Transportation_info!E55)</f>
        <v>-5.1009535256410254</v>
      </c>
      <c r="E55" s="8">
        <f>-(Transportation_info!F55+C55*Transportation_info!G55)</f>
        <v>-8.4721955128205124</v>
      </c>
      <c r="F55" s="2">
        <f>Solver_page!C14/(-(0.5*D55+0.5*E55))^2</f>
        <v>841.40305392750292</v>
      </c>
      <c r="G55" s="98">
        <f t="shared" si="16"/>
        <v>0.22390539354053599</v>
      </c>
      <c r="H55" s="98">
        <f>G55*Solver_page!$F$10</f>
        <v>2.4656642222138484E-2</v>
      </c>
      <c r="I55" s="99">
        <f>Solver_page!$E$10*G55</f>
        <v>7223.1879956176908</v>
      </c>
      <c r="J55" s="31">
        <f t="shared" si="1"/>
        <v>3.3206413272409765E-2</v>
      </c>
      <c r="K55" s="30">
        <f>MAX(0,1-(Transportation_info!F55+$C$92*Transportation_info!G55)/(B55*1.5))*G55</f>
        <v>0.1252693049688467</v>
      </c>
      <c r="L55" s="97">
        <f>Solver_page!Y55</f>
        <v>0</v>
      </c>
      <c r="M55" s="32">
        <f t="shared" si="6"/>
        <v>-8.4721955128205124</v>
      </c>
      <c r="N55" s="33">
        <f t="shared" si="2"/>
        <v>3.3206413272409765E-2</v>
      </c>
      <c r="O55" s="32">
        <f>MAX(0,1-(Transportation_info!F55+$C$92*Transportation_info!G55-L55)/(B55*1.5))*G55</f>
        <v>0.1252693049688467</v>
      </c>
      <c r="P55" s="34">
        <f>N55*I55*Transportation_info!F55</f>
        <v>479.71233145358036</v>
      </c>
      <c r="Q55" s="7">
        <f t="shared" si="3"/>
        <v>0</v>
      </c>
      <c r="R55" s="73">
        <f t="shared" si="4"/>
        <v>479.71233145358036</v>
      </c>
    </row>
    <row r="56" spans="1:18" s="94" customFormat="1" x14ac:dyDescent="0.35">
      <c r="A56" s="71" t="s">
        <v>122</v>
      </c>
      <c r="B56" s="64">
        <f>Solver_page!$G$11/2080</f>
        <v>20.80528846153846</v>
      </c>
      <c r="C56" s="67">
        <f t="shared" si="14"/>
        <v>10.40264423076923</v>
      </c>
      <c r="D56" s="68">
        <f>-(Transportation_info!D56+C56*Transportation_info!E56)</f>
        <v>-5.9739062499999998</v>
      </c>
      <c r="E56" s="68">
        <f>-(Transportation_info!F56+C56*Transportation_info!G56)</f>
        <v>-9.9350961538461533</v>
      </c>
      <c r="F56" s="63">
        <f>Solver_page!C5/(-(0.5*D56+0.5*E56))^2</f>
        <v>159.16467704318794</v>
      </c>
      <c r="G56" s="95">
        <f>F56/SUM($F$56:$F$64)</f>
        <v>4.8551115451977475E-2</v>
      </c>
      <c r="H56" s="95">
        <f>G56*Solver_page!$F$11</f>
        <v>4.4893262537528998E-3</v>
      </c>
      <c r="I56" s="96">
        <f>Solver_page!$E$11*G56</f>
        <v>1315.1526153631658</v>
      </c>
      <c r="J56" s="81">
        <f t="shared" si="1"/>
        <v>1.8684679897942473E-2</v>
      </c>
      <c r="K56" s="66">
        <f>MAX(0,1-(Transportation_info!F56+$C$92*Transportation_info!G56)/(B56*1.5))*G56</f>
        <v>3.0216311978546288E-2</v>
      </c>
      <c r="L56" s="97">
        <f>Solver_page!Y56</f>
        <v>0</v>
      </c>
      <c r="M56" s="90">
        <f t="shared" si="6"/>
        <v>-9.9350961538461533</v>
      </c>
      <c r="N56" s="91">
        <f t="shared" si="2"/>
        <v>1.8684679897942473E-2</v>
      </c>
      <c r="O56" s="90">
        <f>MAX(0,1-(Transportation_info!F56+$C$92*Transportation_info!G56-L56)/(B56*1.5))*G56</f>
        <v>3.0216311978546288E-2</v>
      </c>
      <c r="P56" s="92">
        <f>N56*I56*Transportation_info!F56</f>
        <v>73.71961690500784</v>
      </c>
      <c r="Q56" s="93">
        <f t="shared" si="3"/>
        <v>0</v>
      </c>
      <c r="R56" s="72">
        <f t="shared" si="4"/>
        <v>73.71961690500784</v>
      </c>
    </row>
    <row r="57" spans="1:18" s="94" customFormat="1" x14ac:dyDescent="0.35">
      <c r="A57" s="71" t="s">
        <v>123</v>
      </c>
      <c r="B57" s="64">
        <f>Solver_page!$G$11/2080</f>
        <v>20.80528846153846</v>
      </c>
      <c r="C57" s="67">
        <f t="shared" si="14"/>
        <v>10.40264423076923</v>
      </c>
      <c r="D57" s="68">
        <f>-(Transportation_info!D57+C57*Transportation_info!E57)</f>
        <v>-4.9503966346153847</v>
      </c>
      <c r="E57" s="68">
        <f>-(Transportation_info!F57+C57*Transportation_info!G57)</f>
        <v>-8.201322115384615</v>
      </c>
      <c r="F57" s="63">
        <f>Solver_page!C6/(-(0.5*D57+0.5*E57))^2</f>
        <v>717.52122296888717</v>
      </c>
      <c r="G57" s="95">
        <f t="shared" ref="G57:G64" si="17">F57/SUM($F$56:$F$64)</f>
        <v>0.21887052066303597</v>
      </c>
      <c r="H57" s="95">
        <f>G57*Solver_page!$F$11</f>
        <v>2.0238076209742648E-2</v>
      </c>
      <c r="I57" s="96">
        <f>Solver_page!$E$11*G57</f>
        <v>5928.7646637203188</v>
      </c>
      <c r="J57" s="81">
        <f t="shared" si="1"/>
        <v>3.7293645733117782E-2</v>
      </c>
      <c r="K57" s="66">
        <f>MAX(0,1-(Transportation_info!F57+$C$92*Transportation_info!G57)/(B57*1.5))*G57</f>
        <v>0.1516199843161746</v>
      </c>
      <c r="L57" s="97">
        <f>Solver_page!Y57</f>
        <v>0</v>
      </c>
      <c r="M57" s="90">
        <f t="shared" si="6"/>
        <v>-8.201322115384615</v>
      </c>
      <c r="N57" s="91">
        <f t="shared" si="2"/>
        <v>3.7293645733117782E-2</v>
      </c>
      <c r="O57" s="90">
        <f>MAX(0,1-(Transportation_info!F57+$C$92*Transportation_info!G57-L57)/(B57*1.5))*G57</f>
        <v>0.1516199843161746</v>
      </c>
      <c r="P57" s="92">
        <f>N57*I57*Transportation_info!F57</f>
        <v>663.31574701143825</v>
      </c>
      <c r="Q57" s="93">
        <f t="shared" si="3"/>
        <v>0</v>
      </c>
      <c r="R57" s="72">
        <f t="shared" si="4"/>
        <v>663.31574701143825</v>
      </c>
    </row>
    <row r="58" spans="1:18" s="94" customFormat="1" x14ac:dyDescent="0.35">
      <c r="A58" s="71" t="s">
        <v>124</v>
      </c>
      <c r="B58" s="64">
        <f>Solver_page!$G$11/2080</f>
        <v>20.80528846153846</v>
      </c>
      <c r="C58" s="67">
        <f t="shared" si="14"/>
        <v>10.40264423076923</v>
      </c>
      <c r="D58" s="68">
        <f>-(Transportation_info!D58+C58*Transportation_info!E58)</f>
        <v>-5.9439062499999995</v>
      </c>
      <c r="E58" s="68">
        <f>-(Transportation_info!F58+C58*Transportation_info!G58)</f>
        <v>-13.922776442307692</v>
      </c>
      <c r="F58" s="63">
        <f>Solver_page!C7/(-(0.5*D58+0.5*E58))^2</f>
        <v>510.65522767880771</v>
      </c>
      <c r="G58" s="95">
        <f t="shared" si="17"/>
        <v>0.15576873823871301</v>
      </c>
      <c r="H58" s="95">
        <f>G58*Solver_page!$F$11</f>
        <v>1.4403308339654952E-2</v>
      </c>
      <c r="I58" s="96">
        <f>Solver_page!$E$11*G58</f>
        <v>4219.4635814102585</v>
      </c>
      <c r="J58" s="81">
        <f t="shared" si="1"/>
        <v>3.4250895318056908E-4</v>
      </c>
      <c r="K58" s="66">
        <f>MAX(0,1-(Transportation_info!F58+$C$92*Transportation_info!G58)/(B58*1.5))*G58</f>
        <v>7.1730366514183602E-2</v>
      </c>
      <c r="L58" s="97">
        <f>Solver_page!Y58</f>
        <v>0</v>
      </c>
      <c r="M58" s="90">
        <f t="shared" si="6"/>
        <v>-13.922776442307692</v>
      </c>
      <c r="N58" s="91">
        <f t="shared" si="2"/>
        <v>3.4250895318056908E-4</v>
      </c>
      <c r="O58" s="90">
        <f>MAX(0,1-(Transportation_info!F58+$C$92*Transportation_info!G58-L58)/(B58*1.5))*G58</f>
        <v>7.1730366514183602E-2</v>
      </c>
      <c r="P58" s="92">
        <f>N58*I58*Transportation_info!F58</f>
        <v>4.3356121627570872</v>
      </c>
      <c r="Q58" s="93">
        <f t="shared" si="3"/>
        <v>0</v>
      </c>
      <c r="R58" s="72">
        <f t="shared" si="4"/>
        <v>4.3356121627570872</v>
      </c>
    </row>
    <row r="59" spans="1:18" s="94" customFormat="1" x14ac:dyDescent="0.35">
      <c r="A59" s="71" t="s">
        <v>125</v>
      </c>
      <c r="B59" s="64">
        <f>Solver_page!$G$11/2080</f>
        <v>20.80528846153846</v>
      </c>
      <c r="C59" s="67">
        <f t="shared" si="14"/>
        <v>10.40264423076923</v>
      </c>
      <c r="D59" s="68">
        <f>-(Transportation_info!D59+C59*Transportation_info!E59)</f>
        <v>-6.8474158653846153</v>
      </c>
      <c r="E59" s="68">
        <f>-(Transportation_info!F59+C59*Transportation_info!G59)</f>
        <v>-11.14873798076923</v>
      </c>
      <c r="F59" s="63">
        <f>Solver_page!C8/(-(0.5*D59+0.5*E59))^2</f>
        <v>452.08206571211372</v>
      </c>
      <c r="G59" s="95">
        <f t="shared" si="17"/>
        <v>0.13790175668312141</v>
      </c>
      <c r="H59" s="95">
        <f>G59*Solver_page!$F$11</f>
        <v>1.2751220460187514E-2</v>
      </c>
      <c r="I59" s="96">
        <f>Solver_page!$E$11*G59</f>
        <v>3735.4827850323927</v>
      </c>
      <c r="J59" s="81">
        <f t="shared" si="1"/>
        <v>1.3369466943099793E-2</v>
      </c>
      <c r="K59" s="66">
        <f>MAX(0,1-(Transportation_info!F59+$C$92*Transportation_info!G59)/(B59*1.5))*G59</f>
        <v>7.9031029027461994E-2</v>
      </c>
      <c r="L59" s="97">
        <f>Solver_page!Y59</f>
        <v>0</v>
      </c>
      <c r="M59" s="90">
        <f t="shared" si="6"/>
        <v>-11.14873798076923</v>
      </c>
      <c r="N59" s="91">
        <f t="shared" si="2"/>
        <v>1.3369466943099793E-2</v>
      </c>
      <c r="O59" s="90">
        <f>MAX(0,1-(Transportation_info!F59+$C$92*Transportation_info!G59-L59)/(B59*1.5))*G59</f>
        <v>7.9031029027461994E-2</v>
      </c>
      <c r="P59" s="92">
        <f>N59*I59*Transportation_info!F59</f>
        <v>149.82424083302678</v>
      </c>
      <c r="Q59" s="93">
        <f t="shared" si="3"/>
        <v>0</v>
      </c>
      <c r="R59" s="72">
        <f t="shared" si="4"/>
        <v>149.82424083302678</v>
      </c>
    </row>
    <row r="60" spans="1:18" s="94" customFormat="1" x14ac:dyDescent="0.35">
      <c r="A60" s="71" t="s">
        <v>126</v>
      </c>
      <c r="B60" s="64">
        <f>Solver_page!$G$11/2080</f>
        <v>20.80528846153846</v>
      </c>
      <c r="C60" s="67">
        <f t="shared" si="14"/>
        <v>10.40264423076923</v>
      </c>
      <c r="D60" s="68">
        <f>-(Transportation_info!D60+C60*Transportation_info!E60)</f>
        <v>-5.150396634615384</v>
      </c>
      <c r="E60" s="68">
        <f>-(Transportation_info!F60+C60*Transportation_info!G60)</f>
        <v>-13.40264423076923</v>
      </c>
      <c r="F60" s="63">
        <f>Solver_page!C9/(-(0.5*D60+0.5*E60))^2</f>
        <v>288.2149419069774</v>
      </c>
      <c r="G60" s="95">
        <f t="shared" si="17"/>
        <v>8.7916220982333412E-2</v>
      </c>
      <c r="H60" s="95">
        <f>G60*Solver_page!$F$11</f>
        <v>8.1292591387960699E-3</v>
      </c>
      <c r="I60" s="96">
        <f>Solver_page!$E$11*G60</f>
        <v>2381.4745939694476</v>
      </c>
      <c r="J60" s="81">
        <f t="shared" si="1"/>
        <v>2.6060408078709159E-4</v>
      </c>
      <c r="K60" s="66">
        <f>MAX(0,1-(Transportation_info!F60+$C$92*Transportation_info!G60)/(B60*1.5))*G60</f>
        <v>4.2340973461565116E-2</v>
      </c>
      <c r="L60" s="97">
        <f>Solver_page!Y60</f>
        <v>0</v>
      </c>
      <c r="M60" s="90">
        <f t="shared" si="6"/>
        <v>-13.40264423076923</v>
      </c>
      <c r="N60" s="91">
        <f t="shared" si="2"/>
        <v>2.6060408078709159E-4</v>
      </c>
      <c r="O60" s="90">
        <f>MAX(0,1-(Transportation_info!F60+$C$92*Transportation_info!G60-L60)/(B60*1.5))*G60</f>
        <v>4.2340973461565116E-2</v>
      </c>
      <c r="P60" s="92">
        <f>N60*I60*Transportation_info!F60</f>
        <v>1.8618659924376604</v>
      </c>
      <c r="Q60" s="93">
        <f t="shared" si="3"/>
        <v>0</v>
      </c>
      <c r="R60" s="72">
        <f t="shared" si="4"/>
        <v>1.8618659924376604</v>
      </c>
    </row>
    <row r="61" spans="1:18" s="94" customFormat="1" x14ac:dyDescent="0.35">
      <c r="A61" s="71" t="s">
        <v>127</v>
      </c>
      <c r="B61" s="64">
        <f>Solver_page!$G$11/2080</f>
        <v>20.80528846153846</v>
      </c>
      <c r="C61" s="67">
        <f t="shared" si="14"/>
        <v>10.40264423076923</v>
      </c>
      <c r="D61" s="68">
        <f>-(Transportation_info!D61+C61*Transportation_info!E61)</f>
        <v>-5.5371514423076924</v>
      </c>
      <c r="E61" s="68">
        <f>-(Transportation_info!F61+C61*Transportation_info!G61)</f>
        <v>-9.4149639423076934</v>
      </c>
      <c r="F61" s="63">
        <f>Solver_page!C10/(-(0.5*D61+0.5*E61))^2</f>
        <v>577.19036756371884</v>
      </c>
      <c r="G61" s="95">
        <f t="shared" si="17"/>
        <v>0.17606441764557829</v>
      </c>
      <c r="H61" s="95">
        <f>G61*Solver_page!$F$11</f>
        <v>1.6279968135228841E-2</v>
      </c>
      <c r="I61" s="96">
        <f>Solver_page!$E$11*G61</f>
        <v>4769.2329451834248</v>
      </c>
      <c r="J61" s="81">
        <f t="shared" si="1"/>
        <v>2.0276406811698709E-2</v>
      </c>
      <c r="K61" s="66">
        <f>MAX(0,1-(Transportation_info!F61+$C$92*Transportation_info!G61)/(B61*1.5))*G61</f>
        <v>0.11329288427940554</v>
      </c>
      <c r="L61" s="97">
        <f>Solver_page!Y61</f>
        <v>0</v>
      </c>
      <c r="M61" s="90">
        <f t="shared" si="6"/>
        <v>-9.4149639423076934</v>
      </c>
      <c r="N61" s="91">
        <f t="shared" si="2"/>
        <v>2.0276406811698709E-2</v>
      </c>
      <c r="O61" s="90">
        <f>MAX(0,1-(Transportation_info!F61+$C$92*Transportation_info!G61-L61)/(B61*1.5))*G61</f>
        <v>0.11329288427940554</v>
      </c>
      <c r="P61" s="92">
        <f>N61*I61*Transportation_info!F61</f>
        <v>290.10872212888523</v>
      </c>
      <c r="Q61" s="93">
        <f t="shared" si="3"/>
        <v>0</v>
      </c>
      <c r="R61" s="72">
        <f t="shared" si="4"/>
        <v>290.10872212888523</v>
      </c>
    </row>
    <row r="62" spans="1:18" s="94" customFormat="1" x14ac:dyDescent="0.35">
      <c r="A62" s="71" t="s">
        <v>128</v>
      </c>
      <c r="B62" s="64">
        <f>Solver_page!$G$11/2080</f>
        <v>20.80528846153846</v>
      </c>
      <c r="C62" s="67">
        <f t="shared" si="14"/>
        <v>10.40264423076923</v>
      </c>
      <c r="D62" s="68">
        <f>-(Transportation_info!D62+C62*Transportation_info!E62)</f>
        <v>-6.8206610576923072</v>
      </c>
      <c r="E62" s="68">
        <f>-(Transportation_info!F62+C62*Transportation_info!G62)</f>
        <v>-21.68449519230769</v>
      </c>
      <c r="F62" s="63">
        <f>Solver_page!C12/(-(0.5*D62+0.5*E62))^2</f>
        <v>69.131031234066583</v>
      </c>
      <c r="G62" s="95">
        <f t="shared" si="17"/>
        <v>2.1087522314066586E-2</v>
      </c>
      <c r="H62" s="95">
        <f>G62*Solver_page!$F$11</f>
        <v>1.9498783224615572E-3</v>
      </c>
      <c r="I62" s="96">
        <f>Solver_page!$E$11*G62</f>
        <v>571.21880444343572</v>
      </c>
      <c r="J62" s="81">
        <f t="shared" si="1"/>
        <v>3.5052476206336368E-7</v>
      </c>
      <c r="K62" s="66">
        <f>MAX(0,1-(Transportation_info!F62+$C$92*Transportation_info!G62)/(B62*1.5))*G62</f>
        <v>3.2470046269875391E-3</v>
      </c>
      <c r="L62" s="97">
        <f>Solver_page!Y62</f>
        <v>0</v>
      </c>
      <c r="M62" s="90">
        <f t="shared" si="6"/>
        <v>-21.68449519230769</v>
      </c>
      <c r="N62" s="91">
        <f t="shared" si="2"/>
        <v>3.5052476206336368E-7</v>
      </c>
      <c r="O62" s="90">
        <f>MAX(0,1-(Transportation_info!F62+$C$92*Transportation_info!G62-L62)/(B62*1.5))*G62</f>
        <v>3.2470046269875391E-3</v>
      </c>
      <c r="P62" s="92">
        <f>N62*I62*Transportation_info!F62</f>
        <v>8.0090534205461746E-4</v>
      </c>
      <c r="Q62" s="93">
        <f t="shared" si="3"/>
        <v>0</v>
      </c>
      <c r="R62" s="72">
        <f t="shared" si="4"/>
        <v>8.0090534205461746E-4</v>
      </c>
    </row>
    <row r="63" spans="1:18" s="94" customFormat="1" x14ac:dyDescent="0.35">
      <c r="A63" s="71" t="s">
        <v>129</v>
      </c>
      <c r="B63" s="64">
        <f>Solver_page!$G$11/2080</f>
        <v>20.80528846153846</v>
      </c>
      <c r="C63" s="67">
        <f t="shared" si="14"/>
        <v>10.40264423076923</v>
      </c>
      <c r="D63" s="68">
        <f>-(Transportation_info!D63+C63*Transportation_info!E63)</f>
        <v>-5.6537740384615383</v>
      </c>
      <c r="E63" s="68">
        <f>-(Transportation_info!F63+C63*Transportation_info!G63)</f>
        <v>-18.257211538461537</v>
      </c>
      <c r="F63" s="63">
        <f>Solver_page!C13/(-(0.5*D63+0.5*E63))^2</f>
        <v>195.31418372441146</v>
      </c>
      <c r="G63" s="95">
        <f t="shared" si="17"/>
        <v>5.9578052489872406E-2</v>
      </c>
      <c r="H63" s="95">
        <f>G63*Solver_page!$F$11</f>
        <v>5.5089427441642582E-3</v>
      </c>
      <c r="I63" s="96">
        <f>Solver_page!$E$11*G63</f>
        <v>1613.8502858456636</v>
      </c>
      <c r="J63" s="81">
        <f t="shared" si="1"/>
        <v>3.360432538969664E-6</v>
      </c>
      <c r="K63" s="66">
        <f>MAX(0,1-(Transportation_info!F63+$C$92*Transportation_info!G63)/(B63*1.5))*G63</f>
        <v>1.6952880493344352E-2</v>
      </c>
      <c r="L63" s="97">
        <f>Solver_page!Y63</f>
        <v>0</v>
      </c>
      <c r="M63" s="90">
        <f t="shared" si="6"/>
        <v>-18.257211538461537</v>
      </c>
      <c r="N63" s="91">
        <f t="shared" si="2"/>
        <v>3.360432538969664E-6</v>
      </c>
      <c r="O63" s="90">
        <f>MAX(0,1-(Transportation_info!F63+$C$92*Transportation_info!G63-L63)/(B63*1.5))*G63</f>
        <v>1.6952880493344352E-2</v>
      </c>
      <c r="P63" s="92">
        <f>N63*I63*Transportation_info!F63</f>
        <v>1.6269705040743786E-2</v>
      </c>
      <c r="Q63" s="93">
        <f t="shared" si="3"/>
        <v>0</v>
      </c>
      <c r="R63" s="72">
        <f t="shared" si="4"/>
        <v>1.6269705040743786E-2</v>
      </c>
    </row>
    <row r="64" spans="1:18" s="94" customFormat="1" x14ac:dyDescent="0.35">
      <c r="A64" s="71" t="s">
        <v>130</v>
      </c>
      <c r="B64" s="64">
        <f>Solver_page!$G$11/2080</f>
        <v>20.80528846153846</v>
      </c>
      <c r="C64" s="67">
        <f t="shared" si="14"/>
        <v>10.40264423076923</v>
      </c>
      <c r="D64" s="68">
        <f>-(Transportation_info!D64+C64*Transportation_info!E64)</f>
        <v>-7.7807932692307684</v>
      </c>
      <c r="E64" s="68">
        <f>-(Transportation_info!F64+C64*Transportation_info!G64)</f>
        <v>-14.616286057692307</v>
      </c>
      <c r="F64" s="63">
        <f>Solver_page!C14/(-(0.5*D64+0.5*E64))^2</f>
        <v>309.01712186274307</v>
      </c>
      <c r="G64" s="95">
        <f t="shared" si="17"/>
        <v>9.4261655531301489E-2</v>
      </c>
      <c r="H64" s="95">
        <f>G64*Solver_page!$F$11</f>
        <v>8.7159959345825561E-3</v>
      </c>
      <c r="I64" s="96">
        <f>Solver_page!$E$11*G64</f>
        <v>2553.3597250318949</v>
      </c>
      <c r="J64" s="81">
        <f t="shared" si="1"/>
        <v>1.0737832181167532E-3</v>
      </c>
      <c r="K64" s="66">
        <f>MAX(0,1-(Transportation_info!F64+$C$92*Transportation_info!G64)/(B64*1.5))*G64</f>
        <v>4.0753246307378664E-2</v>
      </c>
      <c r="L64" s="97">
        <f>Solver_page!Y64</f>
        <v>0</v>
      </c>
      <c r="M64" s="90">
        <f t="shared" si="6"/>
        <v>-14.616286057692307</v>
      </c>
      <c r="N64" s="91">
        <f t="shared" si="2"/>
        <v>1.0737832181167532E-3</v>
      </c>
      <c r="O64" s="90">
        <f>MAX(0,1-(Transportation_info!F64+$C$92*Transportation_info!G64-L64)/(B64*1.5))*G64</f>
        <v>4.0753246307378664E-2</v>
      </c>
      <c r="P64" s="92">
        <f>N64*I64*Transportation_info!F64</f>
        <v>8.2252644676633686</v>
      </c>
      <c r="Q64" s="93">
        <f t="shared" si="3"/>
        <v>0</v>
      </c>
      <c r="R64" s="72">
        <f t="shared" si="4"/>
        <v>8.2252644676633686</v>
      </c>
    </row>
    <row r="65" spans="1:18" x14ac:dyDescent="0.35">
      <c r="A65" s="9" t="s">
        <v>131</v>
      </c>
      <c r="B65" s="1">
        <f>Solver_page!$C$13/8/260</f>
        <v>13.421634615384615</v>
      </c>
      <c r="C65" s="62">
        <f t="shared" si="14"/>
        <v>6.7108173076923077</v>
      </c>
      <c r="D65" s="8">
        <f>-(Transportation_info!D65+C65*Transportation_info!E65)</f>
        <v>-5.8132451923076918</v>
      </c>
      <c r="E65" s="8">
        <f>-(Transportation_info!F65+C65*Transportation_info!G65)</f>
        <v>-10.717439903846152</v>
      </c>
      <c r="F65" s="2">
        <f>Solver_page!C5/(-(0.5*D65+0.5*E65))^2</f>
        <v>147.41812450698038</v>
      </c>
      <c r="G65" s="98">
        <f>F65/SUM($F$65:$F$73)</f>
        <v>3.7391009691050206E-2</v>
      </c>
      <c r="H65" s="98">
        <f>G65*Solver_page!$F$12</f>
        <v>1.7923883143987154E-3</v>
      </c>
      <c r="I65" s="99">
        <f>Solver_page!$E$12*G65</f>
        <v>525.0819490914181</v>
      </c>
      <c r="J65" s="31">
        <f t="shared" si="1"/>
        <v>7.3608286463233844E-3</v>
      </c>
      <c r="K65" s="30">
        <f>MAX(0,1-(Transportation_info!F65+$C$92*Transportation_info!G65)/(B65*1.5))*G65</f>
        <v>3.6731656685982895E-3</v>
      </c>
      <c r="L65" s="97">
        <f>Solver_page!Y65</f>
        <v>0</v>
      </c>
      <c r="M65" s="32">
        <f t="shared" si="6"/>
        <v>-10.717439903846152</v>
      </c>
      <c r="N65" s="33">
        <f t="shared" si="2"/>
        <v>7.3608286463233844E-3</v>
      </c>
      <c r="O65" s="32">
        <f>MAX(0,1-(Transportation_info!F65+$C$92*Transportation_info!G65-L65)/(B65*1.5))*G65</f>
        <v>3.6731656685982895E-3</v>
      </c>
      <c r="P65" s="34">
        <f>N65*I65*Transportation_info!F65</f>
        <v>11.595114757618282</v>
      </c>
      <c r="Q65" s="7">
        <f t="shared" si="3"/>
        <v>0</v>
      </c>
      <c r="R65" s="73">
        <f t="shared" si="4"/>
        <v>11.595114757618282</v>
      </c>
    </row>
    <row r="66" spans="1:18" x14ac:dyDescent="0.35">
      <c r="A66" s="9" t="s">
        <v>132</v>
      </c>
      <c r="B66" s="1">
        <f>Solver_page!$C$13/8/260</f>
        <v>13.421634615384615</v>
      </c>
      <c r="C66" s="62">
        <f t="shared" si="14"/>
        <v>6.7108173076923077</v>
      </c>
      <c r="D66" s="8">
        <f>-(Transportation_info!D66+C66*Transportation_info!E66)</f>
        <v>-6.1169391025641024</v>
      </c>
      <c r="E66" s="8">
        <f>-(Transportation_info!F66+C66*Transportation_info!G66)</f>
        <v>-12.618838141025641</v>
      </c>
      <c r="F66" s="2">
        <f>Solver_page!C6/(-(0.5*D66+0.5*E66))^2</f>
        <v>353.55448306911791</v>
      </c>
      <c r="G66" s="98">
        <f t="shared" ref="G66:G73" si="18">F66/SUM($F$65:$F$73)</f>
        <v>8.9675263112750203E-2</v>
      </c>
      <c r="H66" s="98">
        <f>G66*Solver_page!$F$12</f>
        <v>4.2987042880630244E-3</v>
      </c>
      <c r="I66" s="99">
        <f>Solver_page!$E$12*G66</f>
        <v>1259.309719892351</v>
      </c>
      <c r="J66" s="31">
        <f t="shared" si="1"/>
        <v>1.4983384264872792E-3</v>
      </c>
      <c r="K66" s="30">
        <f>MAX(0,1-(Transportation_info!F66+$C$92*Transportation_info!G66)/(B66*1.5))*G66</f>
        <v>0</v>
      </c>
      <c r="L66" s="97">
        <f>Solver_page!Y66</f>
        <v>0</v>
      </c>
      <c r="M66" s="32">
        <f t="shared" si="6"/>
        <v>-12.618838141025641</v>
      </c>
      <c r="N66" s="33">
        <f t="shared" si="2"/>
        <v>1.4983384264872792E-3</v>
      </c>
      <c r="O66" s="32">
        <f>MAX(0,1-(Transportation_info!F66+$C$92*Transportation_info!G66-L66)/(B66*1.5))*G66</f>
        <v>0</v>
      </c>
      <c r="P66" s="34">
        <f>N66*I66*Transportation_info!F66</f>
        <v>5.6606164324909249</v>
      </c>
      <c r="Q66" s="7">
        <f t="shared" si="3"/>
        <v>0</v>
      </c>
      <c r="R66" s="73">
        <f t="shared" si="4"/>
        <v>5.6606164324909249</v>
      </c>
    </row>
    <row r="67" spans="1:18" x14ac:dyDescent="0.35">
      <c r="A67" s="9" t="s">
        <v>133</v>
      </c>
      <c r="B67" s="1">
        <f>Solver_page!$C$13/8/260</f>
        <v>13.421634615384615</v>
      </c>
      <c r="C67" s="62">
        <f t="shared" si="14"/>
        <v>6.7108173076923077</v>
      </c>
      <c r="D67" s="8">
        <f>-(Transportation_info!D67+C67*Transportation_info!E67)</f>
        <v>-6.1569391025641025</v>
      </c>
      <c r="E67" s="8">
        <f>-(Transportation_info!F67+C67*Transportation_info!G67)</f>
        <v>-11.05298076923077</v>
      </c>
      <c r="F67" s="2">
        <f>Solver_page!C7/(-(0.5*D67+0.5*E67))^2</f>
        <v>680.48850965215445</v>
      </c>
      <c r="G67" s="98">
        <f t="shared" si="18"/>
        <v>0.17259853592729174</v>
      </c>
      <c r="H67" s="98">
        <f>G67*Solver_page!$F$12</f>
        <v>8.2737428444584864E-3</v>
      </c>
      <c r="I67" s="99">
        <f>Solver_page!$E$12*G67</f>
        <v>2423.8012400269581</v>
      </c>
      <c r="J67" s="31">
        <f t="shared" ref="J67:J91" si="19">EXP(E67)/(EXP(D67)+EXP(E67))</f>
        <v>7.4206399673473174E-3</v>
      </c>
      <c r="K67" s="30">
        <f>MAX(0,1-(Transportation_info!F67+$C$92*Transportation_info!G67)/(B67*1.5))*G67</f>
        <v>1.1306641548507494E-2</v>
      </c>
      <c r="L67" s="97">
        <f>Solver_page!Y67</f>
        <v>0</v>
      </c>
      <c r="M67" s="32">
        <f t="shared" si="6"/>
        <v>-11.05298076923077</v>
      </c>
      <c r="N67" s="33">
        <f t="shared" ref="N67:N91" si="20">EXP(M67)/(EXP(M67)+EXP(D67))</f>
        <v>7.4206399673473174E-3</v>
      </c>
      <c r="O67" s="32">
        <f>MAX(0,1-(Transportation_info!F67+$C$92*Transportation_info!G67-L67)/(B67*1.5))*G67</f>
        <v>1.1306641548507494E-2</v>
      </c>
      <c r="P67" s="34">
        <f>N67*I67*Transportation_info!F67</f>
        <v>53.958469063950105</v>
      </c>
      <c r="Q67" s="7">
        <f t="shared" ref="Q67:Q91" si="21">N67*I67*L67</f>
        <v>0</v>
      </c>
      <c r="R67" s="73">
        <f t="shared" ref="R67:R91" si="22">P67-Q67</f>
        <v>53.958469063950105</v>
      </c>
    </row>
    <row r="68" spans="1:18" x14ac:dyDescent="0.35">
      <c r="A68" s="9" t="s">
        <v>134</v>
      </c>
      <c r="B68" s="1">
        <f>Solver_page!$C$13/8/260</f>
        <v>13.421634615384615</v>
      </c>
      <c r="C68" s="62">
        <f t="shared" si="14"/>
        <v>6.7108173076923077</v>
      </c>
      <c r="D68" s="8">
        <f>-(Transportation_info!D68+C68*Transportation_info!E68)</f>
        <v>-5.4512472820512823</v>
      </c>
      <c r="E68" s="8">
        <f>-(Transportation_info!F68+C68*Transportation_info!G68)</f>
        <v>-6.7041947115384612</v>
      </c>
      <c r="F68" s="2">
        <f>Solver_page!C8/(-(0.5*D68+0.5*E68))^2</f>
        <v>990.91217116723863</v>
      </c>
      <c r="G68" s="98">
        <f t="shared" si="18"/>
        <v>0.25133413356740547</v>
      </c>
      <c r="H68" s="98">
        <f>G68*Solver_page!$F$12</f>
        <v>1.2048039561862138E-2</v>
      </c>
      <c r="I68" s="99">
        <f>Solver_page!$E$12*G68</f>
        <v>3529.4852376870749</v>
      </c>
      <c r="J68" s="31">
        <f t="shared" si="19"/>
        <v>0.2221903417091107</v>
      </c>
      <c r="K68" s="30">
        <f>MAX(0,1-(Transportation_info!F68+$C$92*Transportation_info!G68)/(B68*1.5))*G68</f>
        <v>9.9012661933303062E-2</v>
      </c>
      <c r="L68" s="97">
        <f>Solver_page!Y68</f>
        <v>0</v>
      </c>
      <c r="M68" s="32">
        <f t="shared" ref="M68:M91" si="23">E68+L68</f>
        <v>-6.7041947115384612</v>
      </c>
      <c r="N68" s="33">
        <f t="shared" si="20"/>
        <v>0.2221903417091107</v>
      </c>
      <c r="O68" s="32">
        <f>MAX(0,1-(Transportation_info!F68+$C$92*Transportation_info!G68-L68)/(B68*1.5))*G68</f>
        <v>9.9012661933303062E-2</v>
      </c>
      <c r="P68" s="34">
        <f>N68*I68*Transportation_info!F68</f>
        <v>784.21753101895297</v>
      </c>
      <c r="Q68" s="7">
        <f t="shared" si="21"/>
        <v>0</v>
      </c>
      <c r="R68" s="73">
        <f t="shared" si="22"/>
        <v>784.21753101895297</v>
      </c>
    </row>
    <row r="69" spans="1:18" x14ac:dyDescent="0.35">
      <c r="A69" s="9" t="s">
        <v>135</v>
      </c>
      <c r="B69" s="1">
        <f>Solver_page!$C$13/8/260</f>
        <v>13.421634615384615</v>
      </c>
      <c r="C69" s="62">
        <f t="shared" si="14"/>
        <v>6.7108173076923077</v>
      </c>
      <c r="D69" s="8">
        <f>-(Transportation_info!D69+C69*Transportation_info!E69)</f>
        <v>-4.7784695512820514</v>
      </c>
      <c r="E69" s="8">
        <f>-(Transportation_info!F69+C69*Transportation_info!G69)</f>
        <v>-5.6909495192307693</v>
      </c>
      <c r="F69" s="2">
        <f>Solver_page!C9/(-(0.5*D69+0.5*E69))^2</f>
        <v>905.11033988248982</v>
      </c>
      <c r="G69" s="98">
        <f t="shared" si="18"/>
        <v>0.2295714289080745</v>
      </c>
      <c r="H69" s="98">
        <f>G69*Solver_page!$F$12</f>
        <v>1.1004815058341123E-2</v>
      </c>
      <c r="I69" s="99">
        <f>Solver_page!$E$12*G69</f>
        <v>3223.8715761560902</v>
      </c>
      <c r="J69" s="31">
        <f t="shared" si="19"/>
        <v>0.28649262728363534</v>
      </c>
      <c r="K69" s="30">
        <f>MAX(0,1-(Transportation_info!F69+$C$92*Transportation_info!G69)/(B69*1.5))*G69</f>
        <v>0.12411708404880895</v>
      </c>
      <c r="L69" s="97">
        <f>Solver_page!Y69</f>
        <v>0</v>
      </c>
      <c r="M69" s="32">
        <f t="shared" si="23"/>
        <v>-5.6909495192307693</v>
      </c>
      <c r="N69" s="33">
        <f t="shared" si="20"/>
        <v>0.28649262728363534</v>
      </c>
      <c r="O69" s="32">
        <f>MAX(0,1-(Transportation_info!F69+$C$92*Transportation_info!G69-L69)/(B69*1.5))*G69</f>
        <v>0.12411708404880895</v>
      </c>
      <c r="P69" s="34">
        <f>N69*I69*Transportation_info!F69</f>
        <v>1847.2308757559856</v>
      </c>
      <c r="Q69" s="7">
        <f t="shared" si="21"/>
        <v>0</v>
      </c>
      <c r="R69" s="73">
        <f t="shared" si="22"/>
        <v>1847.2308757559856</v>
      </c>
    </row>
    <row r="70" spans="1:18" x14ac:dyDescent="0.35">
      <c r="A70" s="9" t="s">
        <v>136</v>
      </c>
      <c r="B70" s="1">
        <f>Solver_page!$C$13/8/260</f>
        <v>13.421634615384615</v>
      </c>
      <c r="C70" s="62">
        <f t="shared" si="14"/>
        <v>6.7108173076923077</v>
      </c>
      <c r="D70" s="8">
        <f>-(Transportation_info!D70+C70*Transportation_info!E70)</f>
        <v>-6.3532451923076927</v>
      </c>
      <c r="E70" s="8">
        <f>-(Transportation_info!F70+C70*Transportation_info!G70)</f>
        <v>-17.632083333333334</v>
      </c>
      <c r="F70" s="2">
        <f>Solver_page!C10/(-(0.5*D70+0.5*E70))^2</f>
        <v>224.30193062442456</v>
      </c>
      <c r="G70" s="98">
        <f t="shared" si="18"/>
        <v>5.6891753912538777E-2</v>
      </c>
      <c r="H70" s="98">
        <f>G70*Solver_page!$F$12</f>
        <v>2.7271827035708434E-3</v>
      </c>
      <c r="I70" s="99">
        <f>Solver_page!$E$12*G70</f>
        <v>798.93090019378201</v>
      </c>
      <c r="J70" s="31">
        <f t="shared" si="19"/>
        <v>1.2637388728862613E-5</v>
      </c>
      <c r="K70" s="30">
        <f>MAX(0,1-(Transportation_info!F70+$C$92*Transportation_info!G70)/(B70*1.5))*G70</f>
        <v>0</v>
      </c>
      <c r="L70" s="97">
        <f>Solver_page!Y70</f>
        <v>0</v>
      </c>
      <c r="M70" s="32">
        <f t="shared" si="23"/>
        <v>-17.632083333333334</v>
      </c>
      <c r="N70" s="33">
        <f t="shared" si="20"/>
        <v>1.2637388728862613E-5</v>
      </c>
      <c r="O70" s="32">
        <f>MAX(0,1-(Transportation_info!F70+$C$92*Transportation_info!G70-L70)/(B70*1.5))*G70</f>
        <v>0</v>
      </c>
      <c r="P70" s="34">
        <f>N70*I70*Transportation_info!F70</f>
        <v>6.0578402119493766E-2</v>
      </c>
      <c r="Q70" s="7">
        <f t="shared" si="21"/>
        <v>0</v>
      </c>
      <c r="R70" s="73">
        <f t="shared" si="22"/>
        <v>6.0578402119493766E-2</v>
      </c>
    </row>
    <row r="71" spans="1:18" x14ac:dyDescent="0.35">
      <c r="A71" s="9" t="s">
        <v>137</v>
      </c>
      <c r="B71" s="1">
        <f>Solver_page!$C$13/8/260</f>
        <v>13.421634615384615</v>
      </c>
      <c r="C71" s="62">
        <f t="shared" si="14"/>
        <v>6.7108173076923077</v>
      </c>
      <c r="D71" s="8">
        <f>-(Transportation_info!D71+C71*Transportation_info!E71)</f>
        <v>-5.7277043269230763</v>
      </c>
      <c r="E71" s="8">
        <f>-(Transportation_info!F71+C71*Transportation_info!G71)</f>
        <v>-14.289919871794872</v>
      </c>
      <c r="F71" s="2">
        <f>Solver_page!C11/(-(0.5*D71+0.5*E71))^2</f>
        <v>270.40322600461781</v>
      </c>
      <c r="G71" s="98">
        <f t="shared" si="18"/>
        <v>6.8584847879754121E-2</v>
      </c>
      <c r="H71" s="98">
        <f>G71*Solver_page!$F$12</f>
        <v>3.2877068819542762E-3</v>
      </c>
      <c r="I71" s="99">
        <f>Solver_page!$E$12*G71</f>
        <v>963.13701877538711</v>
      </c>
      <c r="J71" s="31">
        <f t="shared" si="19"/>
        <v>1.9115867381978052E-4</v>
      </c>
      <c r="K71" s="30">
        <f>MAX(0,1-(Transportation_info!F71+$C$92*Transportation_info!G71)/(B71*1.5))*G71</f>
        <v>0</v>
      </c>
      <c r="L71" s="97">
        <f>Solver_page!Y71</f>
        <v>0</v>
      </c>
      <c r="M71" s="32">
        <f t="shared" si="23"/>
        <v>-14.289919871794872</v>
      </c>
      <c r="N71" s="33">
        <f t="shared" si="20"/>
        <v>1.9115867381978052E-4</v>
      </c>
      <c r="O71" s="32">
        <f>MAX(0,1-(Transportation_info!F71+$C$92*Transportation_info!G71-L71)/(B71*1.5))*G71</f>
        <v>0</v>
      </c>
      <c r="P71" s="34">
        <f>N71*I71*Transportation_info!F71</f>
        <v>0.73644798086336016</v>
      </c>
      <c r="Q71" s="7">
        <f t="shared" si="21"/>
        <v>0</v>
      </c>
      <c r="R71" s="73">
        <f t="shared" si="22"/>
        <v>0.73644798086336016</v>
      </c>
    </row>
    <row r="72" spans="1:18" x14ac:dyDescent="0.35">
      <c r="A72" s="9" t="s">
        <v>139</v>
      </c>
      <c r="B72" s="1">
        <f>Solver_page!$C$13/8/260</f>
        <v>13.421634615384615</v>
      </c>
      <c r="C72" s="62">
        <f t="shared" si="14"/>
        <v>6.7108173076923077</v>
      </c>
      <c r="D72" s="8">
        <f>-(Transportation_info!D72+C72*Transportation_info!E72)</f>
        <v>-6.6232451923076923</v>
      </c>
      <c r="E72" s="8">
        <f>-(Transportation_info!F72+C72*Transportation_info!G72)</f>
        <v>-19.546726762820512</v>
      </c>
      <c r="F72" s="2">
        <f>Solver_page!C13/(-(0.5*D72+0.5*E72))^2</f>
        <v>163.0505332285172</v>
      </c>
      <c r="G72" s="98">
        <f t="shared" si="18"/>
        <v>4.135600075274129E-2</v>
      </c>
      <c r="H72" s="98">
        <f>G72*Solver_page!$F$12</f>
        <v>1.9824554910914997E-3</v>
      </c>
      <c r="I72" s="99">
        <f>Solver_page!$E$12*G72</f>
        <v>580.76231857074595</v>
      </c>
      <c r="J72" s="31">
        <f t="shared" si="19"/>
        <v>2.4400695606916027E-6</v>
      </c>
      <c r="K72" s="30">
        <f>MAX(0,1-(Transportation_info!F72+$C$92*Transportation_info!G72)/(B72*1.5))*G72</f>
        <v>0</v>
      </c>
      <c r="L72" s="97">
        <f>Solver_page!Y72</f>
        <v>0</v>
      </c>
      <c r="M72" s="32">
        <f t="shared" si="23"/>
        <v>-19.546726762820512</v>
      </c>
      <c r="N72" s="33">
        <f t="shared" si="20"/>
        <v>2.4400695606916027E-6</v>
      </c>
      <c r="O72" s="32">
        <f>MAX(0,1-(Transportation_info!F72+$C$92*Transportation_info!G72-L72)/(B72*1.5))*G72</f>
        <v>0</v>
      </c>
      <c r="P72" s="34">
        <f>N72*I72*Transportation_info!F72</f>
        <v>5.6684018221646263E-3</v>
      </c>
      <c r="Q72" s="7">
        <f t="shared" si="21"/>
        <v>0</v>
      </c>
      <c r="R72" s="73">
        <f t="shared" si="22"/>
        <v>5.6684018221646263E-3</v>
      </c>
    </row>
    <row r="73" spans="1:18" x14ac:dyDescent="0.35">
      <c r="A73" s="9" t="s">
        <v>138</v>
      </c>
      <c r="B73" s="1">
        <f>Solver_page!$C$13/8/260</f>
        <v>13.421634615384615</v>
      </c>
      <c r="C73" s="62">
        <f t="shared" si="14"/>
        <v>6.7108173076923077</v>
      </c>
      <c r="D73" s="8">
        <f>-(Transportation_info!D73+C73*Transportation_info!E73)</f>
        <v>-8.1361738782051276</v>
      </c>
      <c r="E73" s="8">
        <f>-(Transportation_info!F73+C73*Transportation_info!G73)</f>
        <v>-19.20456330128205</v>
      </c>
      <c r="F73" s="2">
        <f>Solver_page!C14/(-(0.5*D73+0.5*E73))^2</f>
        <v>207.36949946656671</v>
      </c>
      <c r="G73" s="98">
        <f t="shared" si="18"/>
        <v>5.2597026248393755E-2</v>
      </c>
      <c r="H73" s="98">
        <f>G73*Solver_page!$F$12</f>
        <v>2.521309159573422E-3</v>
      </c>
      <c r="I73" s="99">
        <f>Solver_page!$E$12*G73</f>
        <v>738.62003960619347</v>
      </c>
      <c r="J73" s="31">
        <f t="shared" si="19"/>
        <v>1.5597420333516728E-5</v>
      </c>
      <c r="K73" s="30">
        <f>MAX(0,1-(Transportation_info!F73+$C$92*Transportation_info!G73)/(B73*1.5))*G73</f>
        <v>0</v>
      </c>
      <c r="L73" s="97">
        <f>Solver_page!Y73</f>
        <v>0</v>
      </c>
      <c r="M73" s="32">
        <f t="shared" si="23"/>
        <v>-19.20456330128205</v>
      </c>
      <c r="N73" s="33">
        <f t="shared" si="20"/>
        <v>1.5597420333516728E-5</v>
      </c>
      <c r="O73" s="32">
        <f>MAX(0,1-(Transportation_info!F73+$C$92*Transportation_info!G73-L73)/(B73*1.5))*G73</f>
        <v>0</v>
      </c>
      <c r="P73" s="34">
        <f>N73*I73*Transportation_info!F73</f>
        <v>5.7602836122482862E-2</v>
      </c>
      <c r="Q73" s="7">
        <f t="shared" si="21"/>
        <v>0</v>
      </c>
      <c r="R73" s="73">
        <f t="shared" si="22"/>
        <v>5.7602836122482862E-2</v>
      </c>
    </row>
    <row r="74" spans="1:18" s="94" customFormat="1" x14ac:dyDescent="0.35">
      <c r="A74" s="71" t="s">
        <v>140</v>
      </c>
      <c r="B74" s="64">
        <f>Solver_page!$C$14/8/260</f>
        <v>18.631250000000001</v>
      </c>
      <c r="C74" s="67">
        <f t="shared" si="14"/>
        <v>9.3156250000000007</v>
      </c>
      <c r="D74" s="68">
        <f>-(Transportation_info!D74+C74*Transportation_info!E74)</f>
        <v>-7.8052083333333337</v>
      </c>
      <c r="E74" s="68">
        <f>-(Transportation_info!F74+C74*Transportation_info!G74)</f>
        <v>-20.147083333333335</v>
      </c>
      <c r="F74" s="63">
        <f>Solver_page!C5/(-(0.5*D74+0.5*E74))^2</f>
        <v>51.558200222036746</v>
      </c>
      <c r="G74" s="95">
        <f>F74/SUM($F$74:$F$82)</f>
        <v>2.8097210870699978E-2</v>
      </c>
      <c r="H74" s="95">
        <f>G74*Solver_page!$F$13</f>
        <v>2.6775461967268629E-3</v>
      </c>
      <c r="I74" s="96">
        <f>Solver_page!$E$13*G74</f>
        <v>784.38983587733128</v>
      </c>
      <c r="J74" s="81">
        <f t="shared" si="19"/>
        <v>4.3650567611110707E-6</v>
      </c>
      <c r="K74" s="66">
        <f>MAX(0,1-(Transportation_info!F74+$C$92*Transportation_info!G74)/(B74*1.5))*G74</f>
        <v>1.1109399866858496E-3</v>
      </c>
      <c r="L74" s="97">
        <f>Solver_page!Y74</f>
        <v>0</v>
      </c>
      <c r="M74" s="90">
        <f t="shared" si="23"/>
        <v>-20.147083333333335</v>
      </c>
      <c r="N74" s="91">
        <f t="shared" si="20"/>
        <v>4.3650567611110707E-6</v>
      </c>
      <c r="O74" s="90">
        <f>MAX(0,1-(Transportation_info!F74+$C$92*Transportation_info!G74-L74)/(B74*1.5))*G74</f>
        <v>1.1109399866858496E-3</v>
      </c>
      <c r="P74" s="92">
        <f>N74*I74*Transportation_info!F74</f>
        <v>1.3695624625772592E-2</v>
      </c>
      <c r="Q74" s="93">
        <f t="shared" si="21"/>
        <v>0</v>
      </c>
      <c r="R74" s="72">
        <f t="shared" si="22"/>
        <v>1.3695624625772592E-2</v>
      </c>
    </row>
    <row r="75" spans="1:18" s="94" customFormat="1" x14ac:dyDescent="0.35">
      <c r="A75" s="71" t="s">
        <v>141</v>
      </c>
      <c r="B75" s="64">
        <f>Solver_page!$C$14/8/260</f>
        <v>18.631250000000001</v>
      </c>
      <c r="C75" s="67">
        <f t="shared" si="14"/>
        <v>9.3156250000000007</v>
      </c>
      <c r="D75" s="68">
        <f>-(Transportation_info!D75+C75*Transportation_info!E75)</f>
        <v>-6.7441666666666666</v>
      </c>
      <c r="E75" s="68">
        <f>-(Transportation_info!F75+C75*Transportation_info!G75)</f>
        <v>-18.594479166666666</v>
      </c>
      <c r="F75" s="63">
        <f>Solver_page!C6/(-(0.5*D75+0.5*E75))^2</f>
        <v>193.30049869162707</v>
      </c>
      <c r="G75" s="95">
        <f t="shared" ref="G75:G82" si="24">F75/SUM($F$74:$F$82)</f>
        <v>0.10534124251351841</v>
      </c>
      <c r="H75" s="95">
        <f>G75*Solver_page!$F$13</f>
        <v>1.0038578012192802E-2</v>
      </c>
      <c r="I75" s="96">
        <f>Solver_page!$E$13*G75</f>
        <v>2940.8114672498937</v>
      </c>
      <c r="J75" s="81">
        <f t="shared" si="19"/>
        <v>7.136274929587722E-6</v>
      </c>
      <c r="K75" s="66">
        <f>MAX(0,1-(Transportation_info!F75+$C$92*Transportation_info!G75)/(B75*1.5))*G75</f>
        <v>1.2443832914229375E-2</v>
      </c>
      <c r="L75" s="97">
        <f>Solver_page!Y75</f>
        <v>0</v>
      </c>
      <c r="M75" s="90">
        <f t="shared" si="23"/>
        <v>-18.594479166666666</v>
      </c>
      <c r="N75" s="91">
        <f t="shared" si="20"/>
        <v>7.136274929587722E-6</v>
      </c>
      <c r="O75" s="90">
        <f>MAX(0,1-(Transportation_info!F75+$C$92*Transportation_info!G75-L75)/(B75*1.5))*G75</f>
        <v>1.2443832914229375E-2</v>
      </c>
      <c r="P75" s="92">
        <f>N75*I75*Transportation_info!F75</f>
        <v>8.3945756585518005E-2</v>
      </c>
      <c r="Q75" s="93">
        <f t="shared" si="21"/>
        <v>0</v>
      </c>
      <c r="R75" s="72">
        <f t="shared" si="22"/>
        <v>8.3945756585518005E-2</v>
      </c>
    </row>
    <row r="76" spans="1:18" s="94" customFormat="1" x14ac:dyDescent="0.35">
      <c r="A76" s="71" t="s">
        <v>142</v>
      </c>
      <c r="B76" s="64">
        <f>Solver_page!$C$14/8/260</f>
        <v>18.631250000000001</v>
      </c>
      <c r="C76" s="67">
        <f t="shared" si="14"/>
        <v>9.3156250000000007</v>
      </c>
      <c r="D76" s="68">
        <f>-(Transportation_info!D76+C76*Transportation_info!E76)</f>
        <v>-7.6716723333333334</v>
      </c>
      <c r="E76" s="68">
        <f>-(Transportation_info!F76+C76*Transportation_info!G76)</f>
        <v>-25.115416666666668</v>
      </c>
      <c r="F76" s="63">
        <f>Solver_page!C7/(-(0.5*D76+0.5*E76))^2</f>
        <v>187.48769670817683</v>
      </c>
      <c r="G76" s="95">
        <f t="shared" si="24"/>
        <v>0.10217349184776073</v>
      </c>
      <c r="H76" s="95">
        <f>G76*Solver_page!$F$13</f>
        <v>9.7367046772802827E-3</v>
      </c>
      <c r="I76" s="96">
        <f>Solver_page!$E$13*G76</f>
        <v>2852.3773719139363</v>
      </c>
      <c r="J76" s="81">
        <f t="shared" si="19"/>
        <v>2.6563058624954474E-8</v>
      </c>
      <c r="K76" s="66">
        <f>MAX(0,1-(Transportation_info!F76+$C$92*Transportation_info!G76)/(B76*1.5))*G76</f>
        <v>0</v>
      </c>
      <c r="L76" s="97">
        <f>Solver_page!Y76</f>
        <v>0</v>
      </c>
      <c r="M76" s="90">
        <f t="shared" si="23"/>
        <v>-25.115416666666668</v>
      </c>
      <c r="N76" s="91">
        <f t="shared" si="20"/>
        <v>2.6563058624954474E-8</v>
      </c>
      <c r="O76" s="90">
        <f>MAX(0,1-(Transportation_info!F76+$C$92*Transportation_info!G76-L76)/(B76*1.5))*G76</f>
        <v>0</v>
      </c>
      <c r="P76" s="92">
        <f>N76*I76*Transportation_info!F76</f>
        <v>3.0307146940257386E-4</v>
      </c>
      <c r="Q76" s="93">
        <f t="shared" si="21"/>
        <v>0</v>
      </c>
      <c r="R76" s="72">
        <f t="shared" si="22"/>
        <v>3.0307146940257386E-4</v>
      </c>
    </row>
    <row r="77" spans="1:18" s="94" customFormat="1" x14ac:dyDescent="0.35">
      <c r="A77" s="71" t="s">
        <v>143</v>
      </c>
      <c r="B77" s="64">
        <f>Solver_page!$C$14/8/260</f>
        <v>18.631250000000001</v>
      </c>
      <c r="C77" s="67">
        <f t="shared" si="14"/>
        <v>9.3156250000000007</v>
      </c>
      <c r="D77" s="68">
        <f>-(Transportation_info!D77+C77*Transportation_info!E77)</f>
        <v>-8.1577451666666665</v>
      </c>
      <c r="E77" s="68">
        <f>-(Transportation_info!F77+C77*Transportation_info!G77)</f>
        <v>-20.439218750000002</v>
      </c>
      <c r="F77" s="63">
        <f>Solver_page!C8/(-(0.5*D77+0.5*E77))^2</f>
        <v>179.03453738279049</v>
      </c>
      <c r="G77" s="95">
        <f t="shared" si="24"/>
        <v>9.7566849275557657E-2</v>
      </c>
      <c r="H77" s="95">
        <f>G77*Solver_page!$F$13</f>
        <v>9.2977109865668428E-3</v>
      </c>
      <c r="I77" s="96">
        <f>Solver_page!$E$13*G77</f>
        <v>2723.7737312257432</v>
      </c>
      <c r="J77" s="81">
        <f t="shared" si="19"/>
        <v>4.6368364669038114E-6</v>
      </c>
      <c r="K77" s="66">
        <f>MAX(0,1-(Transportation_info!F77+$C$92*Transportation_info!G77)/(B77*1.5))*G77</f>
        <v>5.3099191943967406E-3</v>
      </c>
      <c r="L77" s="97">
        <f>Solver_page!Y77</f>
        <v>0</v>
      </c>
      <c r="M77" s="90">
        <f t="shared" si="23"/>
        <v>-20.439218750000002</v>
      </c>
      <c r="N77" s="91">
        <f t="shared" si="20"/>
        <v>4.6368364669038114E-6</v>
      </c>
      <c r="O77" s="90">
        <f>MAX(0,1-(Transportation_info!F77+$C$92*Transportation_info!G77-L77)/(B77*1.5))*G77</f>
        <v>5.3099191943967406E-3</v>
      </c>
      <c r="P77" s="92">
        <f>N77*I77*Transportation_info!F77</f>
        <v>7.5778160187253127E-2</v>
      </c>
      <c r="Q77" s="93">
        <f t="shared" si="21"/>
        <v>0</v>
      </c>
      <c r="R77" s="72">
        <f t="shared" si="22"/>
        <v>7.5778160187253127E-2</v>
      </c>
    </row>
    <row r="78" spans="1:18" s="94" customFormat="1" x14ac:dyDescent="0.35">
      <c r="A78" s="71" t="s">
        <v>144</v>
      </c>
      <c r="B78" s="64">
        <f>Solver_page!$C$14/8/260</f>
        <v>18.631250000000001</v>
      </c>
      <c r="C78" s="67">
        <f t="shared" si="14"/>
        <v>9.3156250000000007</v>
      </c>
      <c r="D78" s="68">
        <f>-(Transportation_info!D78+C78*Transportation_info!E78)</f>
        <v>-6.3822894166666666</v>
      </c>
      <c r="E78" s="68">
        <f>-(Transportation_info!F78+C78*Transportation_info!G78)</f>
        <v>-20.768125000000001</v>
      </c>
      <c r="F78" s="63">
        <f>Solver_page!C9/(-(0.5*D78+0.5*E78))^2</f>
        <v>134.58410434403854</v>
      </c>
      <c r="G78" s="95">
        <f t="shared" si="24"/>
        <v>7.3343094664163569E-2</v>
      </c>
      <c r="H78" s="95">
        <f>G78*Solver_page!$F$13</f>
        <v>6.9892889040810728E-3</v>
      </c>
      <c r="I78" s="96">
        <f>Solver_page!$E$13*G78</f>
        <v>2047.5191737394543</v>
      </c>
      <c r="J78" s="81">
        <f t="shared" si="19"/>
        <v>5.6534133884233958E-7</v>
      </c>
      <c r="K78" s="66">
        <f>MAX(0,1-(Transportation_info!F78+$C$92*Transportation_info!G78)/(B78*1.5))*G78</f>
        <v>5.9432137991380775E-4</v>
      </c>
      <c r="L78" s="97">
        <f>Solver_page!Y78</f>
        <v>0</v>
      </c>
      <c r="M78" s="90">
        <f t="shared" si="23"/>
        <v>-20.768125000000001</v>
      </c>
      <c r="N78" s="91">
        <f t="shared" si="20"/>
        <v>5.6534133884233958E-7</v>
      </c>
      <c r="O78" s="90">
        <f>MAX(0,1-(Transportation_info!F78+$C$92*Transportation_info!G78-L78)/(B78*1.5))*G78</f>
        <v>5.9432137991380775E-4</v>
      </c>
      <c r="P78" s="92">
        <f>N78*I78*Transportation_info!F78</f>
        <v>4.6301889239488961E-3</v>
      </c>
      <c r="Q78" s="93">
        <f t="shared" si="21"/>
        <v>0</v>
      </c>
      <c r="R78" s="72">
        <f t="shared" si="22"/>
        <v>4.6301889239488961E-3</v>
      </c>
    </row>
    <row r="79" spans="1:18" s="94" customFormat="1" x14ac:dyDescent="0.35">
      <c r="A79" s="71" t="s">
        <v>145</v>
      </c>
      <c r="B79" s="64">
        <f>Solver_page!$C$14/8/260</f>
        <v>18.631250000000001</v>
      </c>
      <c r="C79" s="67">
        <f t="shared" si="14"/>
        <v>9.3156250000000007</v>
      </c>
      <c r="D79" s="68">
        <f>-(Transportation_info!D79+C79*Transportation_info!E79)</f>
        <v>-5.4775925833333332</v>
      </c>
      <c r="E79" s="68">
        <f>-(Transportation_info!F79+C79*Transportation_info!G79)</f>
        <v>-15.799791666666668</v>
      </c>
      <c r="F79" s="63">
        <f>Solver_page!C10/(-(0.5*D79+0.5*E79))^2</f>
        <v>285.02823345838527</v>
      </c>
      <c r="G79" s="95">
        <f t="shared" si="24"/>
        <v>0.15532928506221214</v>
      </c>
      <c r="H79" s="95">
        <f>G79*Solver_page!$F$13</f>
        <v>1.4802228533378538E-2</v>
      </c>
      <c r="I79" s="96">
        <f>Solver_page!$E$13*G79</f>
        <v>4336.3276510817759</v>
      </c>
      <c r="J79" s="81">
        <f t="shared" si="19"/>
        <v>3.2893615476498555E-5</v>
      </c>
      <c r="K79" s="66">
        <f>MAX(0,1-(Transportation_info!F79+$C$92*Transportation_info!G79)/(B79*1.5))*G79</f>
        <v>4.0321947177317533E-2</v>
      </c>
      <c r="L79" s="97">
        <f>Solver_page!Y79</f>
        <v>0</v>
      </c>
      <c r="M79" s="90">
        <f t="shared" si="23"/>
        <v>-15.799791666666668</v>
      </c>
      <c r="N79" s="91">
        <f t="shared" si="20"/>
        <v>3.2893615476498555E-5</v>
      </c>
      <c r="O79" s="90">
        <f>MAX(0,1-(Transportation_info!F79+$C$92*Transportation_info!G79-L79)/(B79*1.5))*G79</f>
        <v>4.0321947177317533E-2</v>
      </c>
      <c r="P79" s="92">
        <f>N79*I79*Transportation_info!F79</f>
        <v>0.57054997733916857</v>
      </c>
      <c r="Q79" s="93">
        <f t="shared" si="21"/>
        <v>0</v>
      </c>
      <c r="R79" s="72">
        <f t="shared" si="22"/>
        <v>0.57054997733916857</v>
      </c>
    </row>
    <row r="80" spans="1:18" s="94" customFormat="1" x14ac:dyDescent="0.35">
      <c r="A80" s="71" t="s">
        <v>146</v>
      </c>
      <c r="B80" s="64">
        <f>Solver_page!$C$14/8/260</f>
        <v>18.631250000000001</v>
      </c>
      <c r="C80" s="67">
        <f t="shared" si="14"/>
        <v>9.3156250000000007</v>
      </c>
      <c r="D80" s="68">
        <f>-(Transportation_info!D80+C80*Transportation_info!E80)</f>
        <v>-5.7341685833333331</v>
      </c>
      <c r="E80" s="68">
        <f>-(Transportation_info!F80+C80*Transportation_info!G80)</f>
        <v>-16.731354166666669</v>
      </c>
      <c r="F80" s="63">
        <f>Solver_page!C11/(-(0.5*D80+0.5*E80))^2</f>
        <v>214.68607437509334</v>
      </c>
      <c r="G80" s="95">
        <f t="shared" si="24"/>
        <v>0.11699554826860648</v>
      </c>
      <c r="H80" s="95">
        <f>G80*Solver_page!$F$13</f>
        <v>1.1149184406316029E-2</v>
      </c>
      <c r="I80" s="96">
        <f>Solver_page!$E$13*G80</f>
        <v>3266.1647210146871</v>
      </c>
      <c r="J80" s="81">
        <f t="shared" si="19"/>
        <v>1.6748492027321046E-5</v>
      </c>
      <c r="K80" s="66">
        <f>MAX(0,1-(Transportation_info!F80+$C$92*Transportation_info!G80)/(B80*1.5))*G80</f>
        <v>2.4854105950997189E-2</v>
      </c>
      <c r="L80" s="97">
        <f>Solver_page!Y80</f>
        <v>0</v>
      </c>
      <c r="M80" s="90">
        <f t="shared" si="23"/>
        <v>-16.731354166666669</v>
      </c>
      <c r="N80" s="91">
        <f t="shared" si="20"/>
        <v>1.6748492027321046E-5</v>
      </c>
      <c r="O80" s="90">
        <f>MAX(0,1-(Transportation_info!F80+$C$92*Transportation_info!G80-L80)/(B80*1.5))*G80</f>
        <v>2.4854105950997189E-2</v>
      </c>
      <c r="P80" s="92">
        <f>N80*I80*Transportation_info!F80</f>
        <v>0.21881333515932702</v>
      </c>
      <c r="Q80" s="93">
        <f t="shared" si="21"/>
        <v>0</v>
      </c>
      <c r="R80" s="72">
        <f t="shared" si="22"/>
        <v>0.21881333515932702</v>
      </c>
    </row>
    <row r="81" spans="1:18" s="94" customFormat="1" x14ac:dyDescent="0.35">
      <c r="A81" s="71" t="s">
        <v>147</v>
      </c>
      <c r="B81" s="64">
        <f>Solver_page!$C$14/8/260</f>
        <v>18.631250000000001</v>
      </c>
      <c r="C81" s="67">
        <f t="shared" si="14"/>
        <v>9.3156250000000007</v>
      </c>
      <c r="D81" s="68">
        <f>-(Transportation_info!D81+C81*Transportation_info!E81)</f>
        <v>-7.9350359166666662</v>
      </c>
      <c r="E81" s="68">
        <f>-(Transportation_info!F81+C81*Transportation_info!G81)</f>
        <v>-23.718072916666667</v>
      </c>
      <c r="F81" s="63">
        <f>Solver_page!C12/(-(0.5*D81+0.5*E81))^2</f>
        <v>56.064395671832067</v>
      </c>
      <c r="G81" s="95">
        <f t="shared" si="24"/>
        <v>3.0552911869420493E-2</v>
      </c>
      <c r="H81" s="95">
        <f>G81*Solver_page!$F$13</f>
        <v>2.9115641887503775E-3</v>
      </c>
      <c r="I81" s="96">
        <f>Solver_page!$E$13*G81</f>
        <v>852.94564065861186</v>
      </c>
      <c r="J81" s="81">
        <f t="shared" si="19"/>
        <v>1.3980221827235621E-7</v>
      </c>
      <c r="K81" s="66">
        <f>MAX(0,1-(Transportation_info!F81+$C$92*Transportation_info!G81)/(B81*1.5))*G81</f>
        <v>0</v>
      </c>
      <c r="L81" s="97">
        <f>Solver_page!Y81</f>
        <v>0</v>
      </c>
      <c r="M81" s="90">
        <f t="shared" si="23"/>
        <v>-23.718072916666667</v>
      </c>
      <c r="N81" s="91">
        <f t="shared" si="20"/>
        <v>1.3980221827235621E-7</v>
      </c>
      <c r="O81" s="90">
        <f>MAX(0,1-(Transportation_info!F81+$C$92*Transportation_info!G81-L81)/(B81*1.5))*G81</f>
        <v>0</v>
      </c>
      <c r="P81" s="92">
        <f>N81*I81*Transportation_info!F81</f>
        <v>4.7697477051923985E-4</v>
      </c>
      <c r="Q81" s="93">
        <f t="shared" si="21"/>
        <v>0</v>
      </c>
      <c r="R81" s="72">
        <f t="shared" si="22"/>
        <v>4.7697477051923985E-4</v>
      </c>
    </row>
    <row r="82" spans="1:18" s="94" customFormat="1" x14ac:dyDescent="0.35">
      <c r="A82" s="71" t="s">
        <v>148</v>
      </c>
      <c r="B82" s="64">
        <f>Solver_page!$C$14/8/260</f>
        <v>18.631250000000001</v>
      </c>
      <c r="C82" s="67">
        <f t="shared" si="14"/>
        <v>9.3156250000000007</v>
      </c>
      <c r="D82" s="68">
        <f>-(Transportation_info!D82+C82*Transportation_info!E82)</f>
        <v>-5.578837</v>
      </c>
      <c r="E82" s="68">
        <f>-(Transportation_info!F82+C82*Transportation_info!G82)</f>
        <v>-11.470885416666667</v>
      </c>
      <c r="F82" s="63">
        <f>Solver_page!C14/(-(0.5*D82+0.5*E82))^2</f>
        <v>533.2497913973682</v>
      </c>
      <c r="G82" s="95">
        <f t="shared" si="24"/>
        <v>0.29060036562806052</v>
      </c>
      <c r="H82" s="95">
        <f>G82*Solver_page!$F$13</f>
        <v>2.7692994416262669E-2</v>
      </c>
      <c r="I82" s="96">
        <f>Solver_page!$E$13*G82</f>
        <v>8112.690407238566</v>
      </c>
      <c r="J82" s="81">
        <f t="shared" si="19"/>
        <v>2.7537107153640635E-3</v>
      </c>
      <c r="K82" s="66">
        <f>MAX(0,1-(Transportation_info!F82+$C$92*Transportation_info!G82)/(B82*1.5))*G82</f>
        <v>0.13049087191625469</v>
      </c>
      <c r="L82" s="97">
        <f>Solver_page!Y82</f>
        <v>0</v>
      </c>
      <c r="M82" s="90">
        <f t="shared" si="23"/>
        <v>-11.470885416666667</v>
      </c>
      <c r="N82" s="91">
        <f t="shared" si="20"/>
        <v>2.7537107153640635E-3</v>
      </c>
      <c r="O82" s="90">
        <f>MAX(0,1-(Transportation_info!F82+$C$92*Transportation_info!G82-L82)/(B82*1.5))*G82</f>
        <v>0.13049087191625469</v>
      </c>
      <c r="P82" s="92">
        <f>N82*I82*Transportation_info!F82</f>
        <v>44.680005009688173</v>
      </c>
      <c r="Q82" s="93">
        <f t="shared" si="21"/>
        <v>0</v>
      </c>
      <c r="R82" s="72">
        <f t="shared" si="22"/>
        <v>44.680005009688173</v>
      </c>
    </row>
    <row r="83" spans="1:18" x14ac:dyDescent="0.35">
      <c r="A83" s="9" t="s">
        <v>149</v>
      </c>
      <c r="B83" s="1">
        <f>Solver_page!$C$15/8/260</f>
        <v>14.084182692307692</v>
      </c>
      <c r="C83" s="62">
        <f t="shared" si="14"/>
        <v>7.0420913461538461</v>
      </c>
      <c r="D83" s="8">
        <f>-(Transportation_info!D83+C83*Transportation_info!E83)</f>
        <v>-7.1755721602564098</v>
      </c>
      <c r="E83" s="8">
        <f>-(Transportation_info!F83+C83*Transportation_info!G83)</f>
        <v>-13.506823317307694</v>
      </c>
      <c r="F83" s="2">
        <f>Solver_page!C5/(-(0.5*D83+0.5*E83))^2</f>
        <v>94.1739769243311</v>
      </c>
      <c r="G83" s="98">
        <f>F83/SUM($F$83:$F$91)</f>
        <v>2.7830413492057907E-2</v>
      </c>
      <c r="H83" s="98">
        <f>G83*Solver_page!$F$14</f>
        <v>3.6815440604664948E-3</v>
      </c>
      <c r="I83" s="99">
        <f>Solver_page!$E$14*G83</f>
        <v>1078.5120140577201</v>
      </c>
      <c r="J83" s="31">
        <f t="shared" si="19"/>
        <v>1.776643479255501E-3</v>
      </c>
      <c r="K83" s="30">
        <f>MAX(0,1-(Transportation_info!F83+$C$92*Transportation_info!G83)/(B83*1.5))*G83</f>
        <v>0</v>
      </c>
      <c r="L83" s="97">
        <f>Solver_page!Y83</f>
        <v>1</v>
      </c>
      <c r="M83" s="32">
        <f t="shared" si="23"/>
        <v>-12.506823317307694</v>
      </c>
      <c r="N83" s="33">
        <f t="shared" si="20"/>
        <v>4.814719434012937E-3</v>
      </c>
      <c r="O83" s="32">
        <f>MAX(0,1-(Transportation_info!F83+$C$92*Transportation_info!G83-L83)/(B83*1.5))*G83</f>
        <v>4.4257806420702463E-4</v>
      </c>
      <c r="P83" s="34">
        <f>N83*I83*Transportation_info!F83</f>
        <v>20.770931015600556</v>
      </c>
      <c r="Q83" s="7">
        <f t="shared" si="21"/>
        <v>5.1927327539001391</v>
      </c>
      <c r="R83" s="73">
        <f t="shared" si="22"/>
        <v>15.578198261700418</v>
      </c>
    </row>
    <row r="84" spans="1:18" x14ac:dyDescent="0.35">
      <c r="A84" s="9" t="s">
        <v>150</v>
      </c>
      <c r="B84" s="1">
        <f>Solver_page!$C$15/8/260</f>
        <v>14.084182692307692</v>
      </c>
      <c r="C84" s="62">
        <f t="shared" si="14"/>
        <v>7.0420913461538461</v>
      </c>
      <c r="D84" s="8">
        <f>-(Transportation_info!D84+C84*Transportation_info!E84)</f>
        <v>-6.5980674038461533</v>
      </c>
      <c r="E84" s="8">
        <f>-(Transportation_info!F84+C84*Transportation_info!G84)</f>
        <v>-12.685245993589744</v>
      </c>
      <c r="F84" s="2">
        <f>Solver_page!C6/(-(0.5*D84+0.5*E84))^2</f>
        <v>333.76166853181439</v>
      </c>
      <c r="G84" s="98">
        <f t="shared" ref="G84:G91" si="25">F84/SUM($F$83:$F$91)</f>
        <v>9.8633672978503048E-2</v>
      </c>
      <c r="H84" s="98">
        <f>G84*Solver_page!$F$14</f>
        <v>1.3047747674307065E-2</v>
      </c>
      <c r="I84" s="99">
        <f>Solver_page!$E$14*G84</f>
        <v>3822.3507289359286</v>
      </c>
      <c r="J84" s="31">
        <f t="shared" si="19"/>
        <v>2.2666601676764116E-3</v>
      </c>
      <c r="K84" s="30">
        <f>MAX(0,1-(Transportation_info!F84+$C$92*Transportation_info!G84)/(B84*1.5))*G84</f>
        <v>4.0776948958980959E-3</v>
      </c>
      <c r="L84" s="97">
        <f>Solver_page!Y84</f>
        <v>1</v>
      </c>
      <c r="M84" s="32">
        <f t="shared" si="23"/>
        <v>-11.685245993589744</v>
      </c>
      <c r="N84" s="33">
        <f t="shared" si="20"/>
        <v>6.137516983441422E-3</v>
      </c>
      <c r="O84" s="32">
        <f>MAX(0,1-(Transportation_info!F84+$C$92*Transportation_info!G84-L84)/(B84*1.5))*G84</f>
        <v>8.7464629332214272E-3</v>
      </c>
      <c r="P84" s="34">
        <f>N84*I84*Transportation_info!F84</f>
        <v>93.83897006205585</v>
      </c>
      <c r="Q84" s="7">
        <f t="shared" si="21"/>
        <v>23.459742515513963</v>
      </c>
      <c r="R84" s="73">
        <f t="shared" si="22"/>
        <v>70.379227546541884</v>
      </c>
    </row>
    <row r="85" spans="1:18" x14ac:dyDescent="0.35">
      <c r="A85" s="9" t="s">
        <v>151</v>
      </c>
      <c r="B85" s="1">
        <f>Solver_page!$C$15/8/260</f>
        <v>14.084182692307692</v>
      </c>
      <c r="C85" s="62">
        <f t="shared" si="14"/>
        <v>7.0420913461538461</v>
      </c>
      <c r="D85" s="8">
        <f>-(Transportation_info!D85+C85*Transportation_info!E85)</f>
        <v>-6.5305474038461533</v>
      </c>
      <c r="E85" s="8">
        <f>-(Transportation_info!F85+C85*Transportation_info!G85)</f>
        <v>-19.614709935897437</v>
      </c>
      <c r="F85" s="2">
        <f>Solver_page!C7/(-(0.5*D85+0.5*E85))^2</f>
        <v>294.844242281535</v>
      </c>
      <c r="G85" s="98">
        <f t="shared" si="25"/>
        <v>8.7132745652664337E-2</v>
      </c>
      <c r="H85" s="98">
        <f>G85*Solver_page!$F$14</f>
        <v>1.1526348407336726E-2</v>
      </c>
      <c r="I85" s="99">
        <f>Solver_page!$E$14*G85</f>
        <v>3376.6552922777009</v>
      </c>
      <c r="J85" s="31">
        <f t="shared" si="19"/>
        <v>2.0778754387680925E-6</v>
      </c>
      <c r="K85" s="30">
        <f>MAX(0,1-(Transportation_info!F85+$C$92*Transportation_info!G85)/(B85*1.5))*G85</f>
        <v>0</v>
      </c>
      <c r="L85" s="97">
        <f>Solver_page!Y85</f>
        <v>1</v>
      </c>
      <c r="M85" s="32">
        <f t="shared" si="23"/>
        <v>-18.614709935897437</v>
      </c>
      <c r="N85" s="33">
        <f t="shared" si="20"/>
        <v>5.6482308806989044E-6</v>
      </c>
      <c r="O85" s="32">
        <f>MAX(0,1-(Transportation_info!F85+$C$92*Transportation_info!G85-L85)/(B85*1.5))*G85</f>
        <v>0</v>
      </c>
      <c r="P85" s="34">
        <f>N85*I85*Transportation_info!F85</f>
        <v>0.11443277217190978</v>
      </c>
      <c r="Q85" s="7">
        <f t="shared" si="21"/>
        <v>1.9072128695318297E-2</v>
      </c>
      <c r="R85" s="73">
        <f t="shared" si="22"/>
        <v>9.5360643476591483E-2</v>
      </c>
    </row>
    <row r="86" spans="1:18" x14ac:dyDescent="0.35">
      <c r="A86" s="9" t="s">
        <v>152</v>
      </c>
      <c r="B86" s="1">
        <f>Solver_page!$C$15/8/260</f>
        <v>14.084182692307692</v>
      </c>
      <c r="C86" s="62">
        <f t="shared" si="14"/>
        <v>7.0420913461538461</v>
      </c>
      <c r="D86" s="8">
        <f>-(Transportation_info!D86+C86*Transportation_info!E86)</f>
        <v>-8.0324931057692304</v>
      </c>
      <c r="E86" s="8">
        <f>-(Transportation_info!F86+C86*Transportation_info!G86)</f>
        <v>-12.567877804487178</v>
      </c>
      <c r="F86" s="2">
        <f>Solver_page!C8/(-(0.5*D86+0.5*E86))^2</f>
        <v>345.00595660082382</v>
      </c>
      <c r="G86" s="98">
        <f t="shared" si="25"/>
        <v>0.10195659929641555</v>
      </c>
      <c r="H86" s="98">
        <f>G86*Solver_page!$F$14</f>
        <v>1.3487320720987442E-2</v>
      </c>
      <c r="I86" s="99">
        <f>Solver_page!$E$14*G86</f>
        <v>3951.1240925339921</v>
      </c>
      <c r="J86" s="31">
        <f t="shared" si="19"/>
        <v>1.0609023156609609E-2</v>
      </c>
      <c r="K86" s="30">
        <f>MAX(0,1-(Transportation_info!F86+$C$92*Transportation_info!G86)/(B86*1.5))*G86</f>
        <v>5.2750342257899914E-3</v>
      </c>
      <c r="L86" s="97">
        <f>Solver_page!Y86</f>
        <v>1</v>
      </c>
      <c r="M86" s="32">
        <f t="shared" si="23"/>
        <v>-11.567877804487178</v>
      </c>
      <c r="N86" s="33">
        <f t="shared" si="20"/>
        <v>2.8322024419418831E-2</v>
      </c>
      <c r="O86" s="32">
        <f>MAX(0,1-(Transportation_info!F86+$C$92*Transportation_info!G86-L86)/(B86*1.5))*G86</f>
        <v>1.0101091064340798E-2</v>
      </c>
      <c r="P86" s="34">
        <f>N86*I86*Transportation_info!F86</f>
        <v>447.61533213160715</v>
      </c>
      <c r="Q86" s="7">
        <f t="shared" si="21"/>
        <v>111.90383303290179</v>
      </c>
      <c r="R86" s="73">
        <f t="shared" si="22"/>
        <v>335.71149909870536</v>
      </c>
    </row>
    <row r="87" spans="1:18" x14ac:dyDescent="0.35">
      <c r="A87" s="9" t="s">
        <v>153</v>
      </c>
      <c r="B87" s="1">
        <f>Solver_page!$C$15/8/260</f>
        <v>14.084182692307692</v>
      </c>
      <c r="C87" s="62">
        <f t="shared" si="14"/>
        <v>7.0420913461538461</v>
      </c>
      <c r="D87" s="8">
        <f>-(Transportation_info!D87+C87*Transportation_info!E87)</f>
        <v>-7.4228119711538456</v>
      </c>
      <c r="E87" s="8">
        <f>-(Transportation_info!F87+C87*Transportation_info!G87)</f>
        <v>-14.32840064102564</v>
      </c>
      <c r="F87" s="2">
        <f>Solver_page!C9/(-(0.5*D87+0.5*E87))^2</f>
        <v>209.69097905633231</v>
      </c>
      <c r="G87" s="98">
        <f t="shared" si="25"/>
        <v>6.1968144951351514E-2</v>
      </c>
      <c r="H87" s="98">
        <f>G87*Solver_page!$F$14</f>
        <v>8.1974511822786936E-3</v>
      </c>
      <c r="I87" s="99">
        <f>Solver_page!$E$14*G87</f>
        <v>2401.4515212997253</v>
      </c>
      <c r="J87" s="31">
        <f t="shared" si="19"/>
        <v>1.0011656207969777E-3</v>
      </c>
      <c r="K87" s="30">
        <f>MAX(0,1-(Transportation_info!F87+$C$92*Transportation_info!G87)/(B87*1.5))*G87</f>
        <v>0</v>
      </c>
      <c r="L87" s="97">
        <f>Solver_page!Y87</f>
        <v>1</v>
      </c>
      <c r="M87" s="32">
        <f t="shared" si="23"/>
        <v>-13.32840064102564</v>
      </c>
      <c r="N87" s="33">
        <f t="shared" si="20"/>
        <v>2.7167766849435951E-3</v>
      </c>
      <c r="O87" s="32">
        <f>MAX(0,1-(Transportation_info!F87+$C$92*Transportation_info!G87-L87)/(B87*1.5))*G87</f>
        <v>0</v>
      </c>
      <c r="P87" s="34">
        <f>N87*I87*Transportation_info!F87</f>
        <v>26.096830012357685</v>
      </c>
      <c r="Q87" s="7">
        <f t="shared" si="21"/>
        <v>6.5242075030894213</v>
      </c>
      <c r="R87" s="73">
        <f t="shared" si="22"/>
        <v>19.572622509268264</v>
      </c>
    </row>
    <row r="88" spans="1:18" x14ac:dyDescent="0.35">
      <c r="A88" s="9" t="s">
        <v>154</v>
      </c>
      <c r="B88" s="1">
        <f>Solver_page!$C$15/8/260</f>
        <v>14.084182692307692</v>
      </c>
      <c r="C88" s="62">
        <f t="shared" si="14"/>
        <v>7.0420913461538461</v>
      </c>
      <c r="D88" s="8">
        <f>-(Transportation_info!D88+C88*Transportation_info!E88)</f>
        <v>-4.8083698910256416</v>
      </c>
      <c r="E88" s="8">
        <f>-(Transportation_info!F88+C88*Transportation_info!G88)</f>
        <v>-6.8120957532051287</v>
      </c>
      <c r="F88" s="2">
        <f>Solver_page!C10/(-(0.5*D88+0.5*E88))^2</f>
        <v>955.60253310705332</v>
      </c>
      <c r="G88" s="98">
        <f t="shared" si="25"/>
        <v>0.28240087653722229</v>
      </c>
      <c r="H88" s="98">
        <f>G88*Solver_page!$F$14</f>
        <v>3.7357377747292128E-2</v>
      </c>
      <c r="I88" s="99">
        <f>Solver_page!$E$14*G88</f>
        <v>10943.881168446975</v>
      </c>
      <c r="J88" s="31">
        <f t="shared" si="19"/>
        <v>0.1188122850797674</v>
      </c>
      <c r="K88" s="30">
        <f>MAX(0,1-(Transportation_info!F88+$C$92*Transportation_info!G88)/(B88*1.5))*G88</f>
        <v>0.13529431061317093</v>
      </c>
      <c r="L88" s="97">
        <f>Solver_page!Y88</f>
        <v>1</v>
      </c>
      <c r="M88" s="32">
        <f t="shared" si="23"/>
        <v>-5.8120957532051287</v>
      </c>
      <c r="N88" s="33">
        <f t="shared" si="20"/>
        <v>0.26820950335327698</v>
      </c>
      <c r="O88" s="32">
        <f>MAX(0,1-(Transportation_info!F88+$C$92*Transportation_info!G88-L88)/(B88*1.5))*G88</f>
        <v>0.14866159326902856</v>
      </c>
      <c r="P88" s="34">
        <f>N88*I88*Transportation_info!F88</f>
        <v>5870.5058658928874</v>
      </c>
      <c r="Q88" s="7">
        <f t="shared" si="21"/>
        <v>2935.2529329464437</v>
      </c>
      <c r="R88" s="73">
        <f t="shared" si="22"/>
        <v>2935.2529329464437</v>
      </c>
    </row>
    <row r="89" spans="1:18" x14ac:dyDescent="0.35">
      <c r="A89" s="9" t="s">
        <v>155</v>
      </c>
      <c r="B89" s="1">
        <f>Solver_page!$C$15/8/260</f>
        <v>14.084182692307692</v>
      </c>
      <c r="C89" s="62">
        <f t="shared" si="14"/>
        <v>7.0420913461538461</v>
      </c>
      <c r="D89" s="8">
        <f>-(Transportation_info!D89+C89*Transportation_info!E89)</f>
        <v>-6.724771782051282</v>
      </c>
      <c r="E89" s="8">
        <f>-(Transportation_info!F89+C89*Transportation_info!G89)</f>
        <v>-9.2768277243589754</v>
      </c>
      <c r="F89" s="2">
        <f>Solver_page!C11/(-(0.5*D89+0.5*E89))^2</f>
        <v>423.16538880195804</v>
      </c>
      <c r="G89" s="98">
        <f t="shared" si="25"/>
        <v>0.12505437415421747</v>
      </c>
      <c r="H89" s="98">
        <f>G89*Solver_page!$F$14</f>
        <v>1.6542808051853007E-2</v>
      </c>
      <c r="I89" s="99">
        <f>Solver_page!$E$14*G89</f>
        <v>4846.2321615983892</v>
      </c>
      <c r="J89" s="31">
        <f t="shared" si="19"/>
        <v>7.2288486686980055E-2</v>
      </c>
      <c r="K89" s="30">
        <f>MAX(0,1-(Transportation_info!F89+$C$92*Transportation_info!G89)/(B89*1.5))*G89</f>
        <v>3.2609845727693161E-2</v>
      </c>
      <c r="L89" s="97">
        <f>Solver_page!Y89</f>
        <v>1</v>
      </c>
      <c r="M89" s="32">
        <f t="shared" si="23"/>
        <v>-8.2768277243589754</v>
      </c>
      <c r="N89" s="33">
        <f t="shared" si="20"/>
        <v>0.1747895245535388</v>
      </c>
      <c r="O89" s="32">
        <f>MAX(0,1-(Transportation_info!F89+$C$92*Transportation_info!G89-L89)/(B89*1.5))*G89</f>
        <v>3.8529222420741326E-2</v>
      </c>
      <c r="P89" s="34">
        <f>N89*I89*Transportation_info!F89</f>
        <v>1694.1412308037022</v>
      </c>
      <c r="Q89" s="7">
        <f t="shared" si="21"/>
        <v>847.07061540185111</v>
      </c>
      <c r="R89" s="73">
        <f t="shared" si="22"/>
        <v>847.07061540185111</v>
      </c>
    </row>
    <row r="90" spans="1:18" x14ac:dyDescent="0.35">
      <c r="A90" s="9" t="s">
        <v>156</v>
      </c>
      <c r="B90" s="1">
        <f>Solver_page!$C$15/8/260</f>
        <v>14.084182692307692</v>
      </c>
      <c r="C90" s="62">
        <f t="shared" si="14"/>
        <v>7.0420913461538461</v>
      </c>
      <c r="D90" s="8">
        <f>-(Transportation_info!D90+C90*Transportation_info!E90)</f>
        <v>-8.6308369166666665</v>
      </c>
      <c r="E90" s="8">
        <f>-(Transportation_info!F90+C90*Transportation_info!G90)</f>
        <v>-16.441028044871793</v>
      </c>
      <c r="F90" s="2">
        <f>Solver_page!C12/(-(0.5*D90+0.5*E90))^2</f>
        <v>89.360709269417484</v>
      </c>
      <c r="G90" s="98">
        <f t="shared" si="25"/>
        <v>2.6407990510050605E-2</v>
      </c>
      <c r="H90" s="98">
        <f>G90*Solver_page!$F$14</f>
        <v>3.4933789481380543E-3</v>
      </c>
      <c r="I90" s="99">
        <f>Solver_page!$E$14*G90</f>
        <v>1023.3888562359911</v>
      </c>
      <c r="J90" s="31">
        <f t="shared" si="19"/>
        <v>4.054160936633404E-4</v>
      </c>
      <c r="K90" s="30">
        <f>MAX(0,1-(Transportation_info!F90+$C$92*Transportation_info!G90)/(B90*1.5))*G90</f>
        <v>0</v>
      </c>
      <c r="L90" s="97">
        <f>Solver_page!Y90</f>
        <v>1</v>
      </c>
      <c r="M90" s="32">
        <f t="shared" si="23"/>
        <v>-15.441028044871793</v>
      </c>
      <c r="N90" s="33">
        <f t="shared" si="20"/>
        <v>1.1012680360144155E-3</v>
      </c>
      <c r="O90" s="32">
        <f>MAX(0,1-(Transportation_info!F90+$C$92*Transportation_info!G90-L90)/(B90*1.5))*G90</f>
        <v>0</v>
      </c>
      <c r="P90" s="34">
        <f>N90*I90*Transportation_info!F90</f>
        <v>4.5081017431441959</v>
      </c>
      <c r="Q90" s="7">
        <f t="shared" si="21"/>
        <v>1.127025435786049</v>
      </c>
      <c r="R90" s="73">
        <f t="shared" si="22"/>
        <v>3.3810763073581471</v>
      </c>
    </row>
    <row r="91" spans="1:18" x14ac:dyDescent="0.35">
      <c r="A91" s="9" t="s">
        <v>157</v>
      </c>
      <c r="B91" s="1">
        <f>Solver_page!$C$15/8/260</f>
        <v>14.084182692307692</v>
      </c>
      <c r="C91" s="62">
        <f t="shared" si="14"/>
        <v>7.0420913461538461</v>
      </c>
      <c r="D91" s="8">
        <f>-(Transportation_info!D91+C91*Transportation_info!E91)</f>
        <v>-5.1241302692307693</v>
      </c>
      <c r="E91" s="8">
        <f>-(Transportation_info!F91+C91*Transportation_info!G91)</f>
        <v>-8.1031458333333326</v>
      </c>
      <c r="F91" s="2">
        <f>Solver_page!C13/(-(0.5*D91+0.5*E91))^2</f>
        <v>638.2457034846617</v>
      </c>
      <c r="G91" s="98">
        <f t="shared" si="25"/>
        <v>0.18861518242751735</v>
      </c>
      <c r="H91" s="98">
        <f>G91*Solver_page!$F$14</f>
        <v>2.4950944576443094E-2</v>
      </c>
      <c r="I91" s="99">
        <f>Solver_page!$E$14*G91</f>
        <v>7309.4041646135802</v>
      </c>
      <c r="J91" s="31">
        <f t="shared" si="19"/>
        <v>4.8382933996946188E-2</v>
      </c>
      <c r="K91" s="30">
        <f>MAX(0,1-(Transportation_info!F91+$C$92*Transportation_info!G91)/(B91*1.5))*G91</f>
        <v>6.8793155919171983E-2</v>
      </c>
      <c r="L91" s="97">
        <f>Solver_page!Y91</f>
        <v>1</v>
      </c>
      <c r="M91" s="32">
        <f t="shared" si="23"/>
        <v>-7.1031458333333326</v>
      </c>
      <c r="N91" s="33">
        <f t="shared" si="20"/>
        <v>0.12142381845382547</v>
      </c>
      <c r="O91" s="32">
        <f>MAX(0,1-(Transportation_info!F91+$C$92*Transportation_info!G91-L91)/(B91*1.5))*G91</f>
        <v>7.7721146822070097E-2</v>
      </c>
      <c r="P91" s="34">
        <f>N91*I91*Transportation_info!F91</f>
        <v>1775.0715285793503</v>
      </c>
      <c r="Q91" s="7">
        <f t="shared" si="21"/>
        <v>887.53576428967517</v>
      </c>
      <c r="R91" s="73">
        <f t="shared" si="22"/>
        <v>887.53576428967517</v>
      </c>
    </row>
    <row r="92" spans="1:18" x14ac:dyDescent="0.35">
      <c r="A92" s="27"/>
      <c r="B92" s="8">
        <f>AVERAGE(B2:B91)</f>
        <v>26.356014423076942</v>
      </c>
      <c r="C92" s="8">
        <f>AVERAGE(C2:C91)</f>
        <v>13.178007211538471</v>
      </c>
      <c r="D92" s="8">
        <f t="shared" ref="D92:J92" si="26">AVERAGE(D2:D91)</f>
        <v>-7.0132651273504294</v>
      </c>
      <c r="E92" s="8">
        <f t="shared" si="26"/>
        <v>-17.57871497952279</v>
      </c>
      <c r="F92" s="8">
        <f t="shared" si="26"/>
        <v>332.3394469039776</v>
      </c>
      <c r="G92" s="8">
        <f t="shared" si="26"/>
        <v>0.11111111111111109</v>
      </c>
      <c r="H92" s="8">
        <f t="shared" si="26"/>
        <v>1.1111111111111112E-2</v>
      </c>
      <c r="I92" s="8">
        <f t="shared" si="26"/>
        <v>3255.0111111111123</v>
      </c>
      <c r="J92" s="8">
        <f t="shared" si="26"/>
        <v>2.9049841398335972E-2</v>
      </c>
      <c r="K92" s="8">
        <f>AVERAGE(K2:K91)</f>
        <v>5.95182600200325E-2</v>
      </c>
      <c r="L92" s="8">
        <f t="shared" ref="L92" si="27">AVERAGE(L2:L91)</f>
        <v>0.1</v>
      </c>
      <c r="M92" s="8">
        <f t="shared" ref="M92" si="28">AVERAGE(M2:M91)</f>
        <v>-17.478714979522792</v>
      </c>
      <c r="N92" s="8">
        <f t="shared" ref="N92" si="29">AVERAGE(N2:N91)</f>
        <v>3.2960687042693955E-2</v>
      </c>
      <c r="O92" s="8">
        <f t="shared" ref="O92" si="30">AVERAGE(O2:O91)</f>
        <v>5.9942171722164546E-2</v>
      </c>
      <c r="P92" s="8">
        <f t="shared" ref="P92" si="31">AVERAGE(P2:P91)</f>
        <v>321.07136804768265</v>
      </c>
      <c r="Q92" s="8">
        <f t="shared" ref="Q92" si="32">AVERAGE(Q2:Q91)</f>
        <v>53.534288066753966</v>
      </c>
      <c r="R92" s="11">
        <f t="shared" ref="R92" si="33">AVERAGE(R2:R91)</f>
        <v>267.53707998092875</v>
      </c>
    </row>
    <row r="93" spans="1:18" ht="16" thickBot="1" x14ac:dyDescent="0.4">
      <c r="A93" s="28"/>
      <c r="B93" s="84">
        <f>SUM(B2:B91)</f>
        <v>2372.0412980769247</v>
      </c>
      <c r="C93" s="84">
        <f>SUM(C2:C91)</f>
        <v>1186.0206490384624</v>
      </c>
      <c r="D93" s="84">
        <f t="shared" ref="D93:P93" si="34">SUM(D2:D91)</f>
        <v>-631.19386146153863</v>
      </c>
      <c r="E93" s="84">
        <f t="shared" si="34"/>
        <v>-1582.0843481570512</v>
      </c>
      <c r="F93" s="84">
        <f t="shared" si="34"/>
        <v>29910.550221357982</v>
      </c>
      <c r="G93" s="84">
        <f t="shared" si="34"/>
        <v>9.9999999999999982</v>
      </c>
      <c r="H93" s="84">
        <f t="shared" si="34"/>
        <v>1</v>
      </c>
      <c r="I93" s="84">
        <f t="shared" si="34"/>
        <v>292951.00000000012</v>
      </c>
      <c r="J93" s="84">
        <f t="shared" si="34"/>
        <v>2.6144857258502374</v>
      </c>
      <c r="K93" s="84">
        <f t="shared" si="34"/>
        <v>5.3566434018029252</v>
      </c>
      <c r="L93" s="84">
        <f t="shared" si="34"/>
        <v>9</v>
      </c>
      <c r="M93" s="84">
        <f t="shared" si="34"/>
        <v>-1573.0843481570512</v>
      </c>
      <c r="N93" s="84">
        <f t="shared" si="34"/>
        <v>2.9664618338424558</v>
      </c>
      <c r="O93" s="84">
        <f t="shared" si="34"/>
        <v>5.3947954549948092</v>
      </c>
      <c r="P93" s="84">
        <f t="shared" si="34"/>
        <v>28896.423124291439</v>
      </c>
      <c r="Q93" s="84">
        <f>Solver_page!AA2</f>
        <v>4818.0859260078569</v>
      </c>
      <c r="R93" s="13">
        <f>SUM(R2:R91)</f>
        <v>24078.337198283589</v>
      </c>
    </row>
  </sheetData>
  <phoneticPr fontId="9" type="noConversion"/>
  <conditionalFormatting sqref="L2:L91"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BB0A-98E4-2342-B85F-05B04DCC0549}">
  <dimension ref="A1:AA106"/>
  <sheetViews>
    <sheetView zoomScale="40" zoomScaleNormal="40" workbookViewId="0">
      <selection activeCell="G83" sqref="G83"/>
    </sheetView>
  </sheetViews>
  <sheetFormatPr defaultColWidth="11" defaultRowHeight="15.5" x14ac:dyDescent="0.35"/>
  <cols>
    <col min="1" max="1" width="26.83203125" bestFit="1" customWidth="1"/>
    <col min="2" max="2" width="23.83203125" customWidth="1"/>
    <col min="3" max="3" width="28" customWidth="1"/>
    <col min="4" max="4" width="21" customWidth="1"/>
    <col min="5" max="5" width="31.33203125" customWidth="1"/>
    <col min="6" max="6" width="30.58203125" customWidth="1"/>
    <col min="7" max="7" width="32.58203125" customWidth="1"/>
    <col min="8" max="8" width="18.58203125" customWidth="1"/>
    <col min="9" max="9" width="11.33203125" bestFit="1" customWidth="1"/>
    <col min="10" max="10" width="27.83203125" customWidth="1"/>
    <col min="11" max="11" width="20.33203125" customWidth="1"/>
    <col min="12" max="12" width="20.83203125" customWidth="1"/>
    <col min="13" max="13" width="32.08203125" customWidth="1"/>
    <col min="14" max="14" width="11.58203125" bestFit="1" customWidth="1"/>
    <col min="15" max="15" width="13.83203125" customWidth="1"/>
    <col min="16" max="16" width="20.33203125" customWidth="1"/>
    <col min="17" max="17" width="28.08203125" customWidth="1"/>
    <col min="18" max="18" width="21.5" customWidth="1"/>
    <col min="19" max="19" width="18" bestFit="1" customWidth="1"/>
    <col min="20" max="20" width="21.08203125" customWidth="1"/>
    <col min="21" max="21" width="27.58203125" customWidth="1"/>
    <col min="22" max="22" width="19.08203125" bestFit="1" customWidth="1"/>
    <col min="25" max="25" width="11.33203125" bestFit="1" customWidth="1"/>
    <col min="26" max="26" width="11.08203125" bestFit="1" customWidth="1"/>
  </cols>
  <sheetData>
    <row r="1" spans="1:27" x14ac:dyDescent="0.35">
      <c r="A1" s="16" t="s">
        <v>160</v>
      </c>
      <c r="B1" s="120">
        <v>5</v>
      </c>
      <c r="Y1" s="100" t="s">
        <v>37</v>
      </c>
      <c r="Z1" s="69" t="s">
        <v>4</v>
      </c>
    </row>
    <row r="2" spans="1:27" ht="16" thickBot="1" x14ac:dyDescent="0.4">
      <c r="A2" s="17" t="s">
        <v>45</v>
      </c>
      <c r="B2" s="18">
        <f>B1*100000</f>
        <v>500000</v>
      </c>
      <c r="X2" s="71" t="s">
        <v>6</v>
      </c>
      <c r="Y2" s="97">
        <v>0</v>
      </c>
      <c r="Z2" s="65">
        <v>2</v>
      </c>
      <c r="AA2">
        <f>SUM(Accessbility_Revenue_Cal!Q2:Q91)</f>
        <v>4818.0859260078569</v>
      </c>
    </row>
    <row r="3" spans="1:27" ht="16" thickBot="1" x14ac:dyDescent="0.4">
      <c r="X3" s="71" t="s">
        <v>7</v>
      </c>
      <c r="Y3" s="97">
        <v>0</v>
      </c>
      <c r="Z3" s="65">
        <v>2</v>
      </c>
    </row>
    <row r="4" spans="1:27" ht="16.5" thickTop="1" thickBot="1" x14ac:dyDescent="0.4">
      <c r="B4" s="1" t="s">
        <v>46</v>
      </c>
      <c r="C4" s="1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2" t="s">
        <v>52</v>
      </c>
      <c r="I4" s="2" t="s">
        <v>28</v>
      </c>
      <c r="J4" s="2" t="s">
        <v>53</v>
      </c>
      <c r="K4" s="2" t="s">
        <v>54</v>
      </c>
      <c r="L4" s="2" t="s">
        <v>55</v>
      </c>
      <c r="M4" s="2" t="s">
        <v>56</v>
      </c>
      <c r="N4" s="7" t="s">
        <v>57</v>
      </c>
      <c r="O4" s="2" t="s">
        <v>58</v>
      </c>
      <c r="P4" s="19" t="s">
        <v>40</v>
      </c>
      <c r="Q4" s="19" t="s">
        <v>59</v>
      </c>
      <c r="R4" s="19" t="s">
        <v>60</v>
      </c>
      <c r="S4" s="19" t="s">
        <v>61</v>
      </c>
      <c r="T4" s="19" t="s">
        <v>62</v>
      </c>
      <c r="U4" s="19" t="s">
        <v>63</v>
      </c>
      <c r="V4" s="19" t="s">
        <v>158</v>
      </c>
      <c r="X4" s="71" t="s">
        <v>8</v>
      </c>
      <c r="Y4" s="97">
        <v>0</v>
      </c>
      <c r="Z4" s="65">
        <v>2</v>
      </c>
    </row>
    <row r="5" spans="1:27" ht="16.5" thickTop="1" thickBot="1" x14ac:dyDescent="0.4">
      <c r="A5" t="s">
        <v>78</v>
      </c>
      <c r="B5" s="1">
        <v>20742</v>
      </c>
      <c r="C5" s="20">
        <v>10071</v>
      </c>
      <c r="D5" s="2">
        <v>1</v>
      </c>
      <c r="E5" s="2">
        <f>C5*D5</f>
        <v>10071</v>
      </c>
      <c r="F5" s="2">
        <f>E5/SUM($E$5:$E$14)</f>
        <v>3.4377762834057572E-2</v>
      </c>
      <c r="G5" s="2">
        <v>62041</v>
      </c>
      <c r="H5" s="2">
        <f>G5/52/40</f>
        <v>29.827403846153846</v>
      </c>
      <c r="I5" s="2">
        <f>H5*0.5</f>
        <v>14.913701923076923</v>
      </c>
      <c r="J5" s="2">
        <f>H5*1.5</f>
        <v>44.741105769230771</v>
      </c>
      <c r="K5" s="8">
        <f>SUM(Accessbility_Revenue_Cal!D2:D10)</f>
        <v>-61.566033653846155</v>
      </c>
      <c r="L5" s="8">
        <f>SUM(Accessbility_Revenue_Cal!K2:K10)</f>
        <v>0.83205069560131695</v>
      </c>
      <c r="M5" s="2">
        <f>L5*F5</f>
        <v>2.8604041479294705E-2</v>
      </c>
      <c r="N5" s="7">
        <f>LN($M$16/L5)</f>
        <v>-0.4323906392117457</v>
      </c>
      <c r="O5" s="2">
        <f>N5*F5</f>
        <v>-1.4864622846487948E-2</v>
      </c>
      <c r="P5" s="10">
        <f>SUM(Accessbility_Revenue_Cal!O2:O10)</f>
        <v>0.83205069560131695</v>
      </c>
      <c r="Q5" s="19">
        <f>P5*F5</f>
        <v>2.8604041479294705E-2</v>
      </c>
      <c r="R5" s="19">
        <f>LN($Q$16/P5)</f>
        <v>-0.42308724195543523</v>
      </c>
      <c r="S5" s="19">
        <f>R5*F5</f>
        <v>-1.4544792862059485E-2</v>
      </c>
      <c r="T5" s="21"/>
      <c r="U5" s="21"/>
      <c r="V5" s="21"/>
      <c r="X5" s="71" t="s">
        <v>9</v>
      </c>
      <c r="Y5" s="97">
        <v>0</v>
      </c>
      <c r="Z5" s="65">
        <v>4</v>
      </c>
    </row>
    <row r="6" spans="1:27" ht="16.5" thickTop="1" thickBot="1" x14ac:dyDescent="0.4">
      <c r="A6" t="s">
        <v>79</v>
      </c>
      <c r="B6" s="1">
        <v>20740</v>
      </c>
      <c r="C6" s="20">
        <v>31027</v>
      </c>
      <c r="D6" s="2">
        <v>1</v>
      </c>
      <c r="E6" s="2">
        <f t="shared" ref="E6:E14" si="0">C6*D6</f>
        <v>31027</v>
      </c>
      <c r="F6" s="2">
        <f t="shared" ref="F6:F14" si="1">E6/SUM($E$5:$E$14)</f>
        <v>0.10591191018293161</v>
      </c>
      <c r="G6" s="2">
        <v>32950</v>
      </c>
      <c r="H6" s="2">
        <f t="shared" ref="H6:H14" si="2">G6/52/40</f>
        <v>15.841346153846155</v>
      </c>
      <c r="I6" s="2">
        <f t="shared" ref="I6:I14" si="3">H6*0.5</f>
        <v>7.9206730769230775</v>
      </c>
      <c r="J6" s="2">
        <f t="shared" ref="J6:J14" si="4">H6*1.5</f>
        <v>23.762019230769234</v>
      </c>
      <c r="K6" s="8">
        <f>SUM(Accessbility_Revenue_Cal!D11:D19)</f>
        <v>-46.069110576923073</v>
      </c>
      <c r="L6" s="8">
        <f>SUM(Accessbility_Revenue_Cal!K11:K19)</f>
        <v>0.47799675939203645</v>
      </c>
      <c r="M6" s="2">
        <f>L6*F6</f>
        <v>5.0625549848461737E-2</v>
      </c>
      <c r="N6" s="7">
        <f>LN($M$16/L6)</f>
        <v>0.12189877901238551</v>
      </c>
      <c r="O6" s="2">
        <f t="shared" ref="O6:O14" si="5">N6*F6</f>
        <v>1.2910532534168804E-2</v>
      </c>
      <c r="P6" s="10">
        <f>SUM(Accessbility_Revenue_Cal!O11:O19)</f>
        <v>0.47799675939203645</v>
      </c>
      <c r="Q6" s="19">
        <f t="shared" ref="Q6:Q14" si="6">P6*F6</f>
        <v>5.0625549848461737E-2</v>
      </c>
      <c r="R6" s="19">
        <f t="shared" ref="R6:R14" si="7">LN($Q$16/P6)</f>
        <v>0.13120217626869599</v>
      </c>
      <c r="S6" s="19">
        <f t="shared" ref="S6:S14" si="8">R6*F6</f>
        <v>1.389587310877529E-2</v>
      </c>
      <c r="T6" s="21"/>
      <c r="U6" s="21"/>
      <c r="V6" s="21"/>
      <c r="X6" s="71" t="s">
        <v>88</v>
      </c>
      <c r="Y6" s="97">
        <v>0</v>
      </c>
      <c r="Z6" s="78">
        <v>4</v>
      </c>
    </row>
    <row r="7" spans="1:27" ht="16.5" thickTop="1" thickBot="1" x14ac:dyDescent="0.4">
      <c r="A7" t="s">
        <v>80</v>
      </c>
      <c r="B7" s="1">
        <v>20783</v>
      </c>
      <c r="C7" s="20">
        <v>50387</v>
      </c>
      <c r="D7" s="2">
        <v>1</v>
      </c>
      <c r="E7" s="2">
        <f t="shared" si="0"/>
        <v>50387</v>
      </c>
      <c r="F7" s="2">
        <f t="shared" si="1"/>
        <v>0.17199804745503514</v>
      </c>
      <c r="G7" s="2">
        <v>91607</v>
      </c>
      <c r="H7" s="2">
        <f t="shared" si="2"/>
        <v>44.041826923076925</v>
      </c>
      <c r="I7" s="2">
        <f t="shared" si="3"/>
        <v>22.020913461538463</v>
      </c>
      <c r="J7" s="2">
        <f t="shared" si="4"/>
        <v>66.062740384615381</v>
      </c>
      <c r="K7" s="8">
        <f>SUM(Accessbility_Revenue_Cal!D20:D28)</f>
        <v>-78.518842147435905</v>
      </c>
      <c r="L7" s="8">
        <f>SUM(Accessbility_Revenue_Cal!K20:K28)</f>
        <v>0.76296066977913757</v>
      </c>
      <c r="M7" s="2">
        <f t="shared" ref="M7:M14" si="9">L7*F7</f>
        <v>0.1312277454869975</v>
      </c>
      <c r="N7" s="7">
        <f>LN($M$16/L7)</f>
        <v>-0.34570375117324842</v>
      </c>
      <c r="O7" s="2">
        <f t="shared" si="5"/>
        <v>-5.9460370199680042E-2</v>
      </c>
      <c r="P7" s="10">
        <f>SUM(Accessbility_Revenue_Cal!O20:O28)</f>
        <v>0.76296066977913757</v>
      </c>
      <c r="Q7" s="19">
        <f t="shared" si="6"/>
        <v>0.1312277454869975</v>
      </c>
      <c r="R7" s="19">
        <f t="shared" si="7"/>
        <v>-0.33640035391693784</v>
      </c>
      <c r="S7" s="19">
        <f t="shared" si="8"/>
        <v>-5.7860204036896089E-2</v>
      </c>
      <c r="T7" s="21"/>
      <c r="U7" s="21"/>
      <c r="V7" s="21"/>
      <c r="X7" s="71" t="s">
        <v>89</v>
      </c>
      <c r="Y7" s="97">
        <v>0</v>
      </c>
      <c r="Z7" s="78">
        <v>2</v>
      </c>
    </row>
    <row r="8" spans="1:27" ht="16.5" thickTop="1" thickBot="1" x14ac:dyDescent="0.4">
      <c r="A8" t="s">
        <v>81</v>
      </c>
      <c r="B8" s="1">
        <v>20782</v>
      </c>
      <c r="C8" s="20">
        <v>36603</v>
      </c>
      <c r="D8" s="2">
        <v>1</v>
      </c>
      <c r="E8" s="2">
        <f t="shared" si="0"/>
        <v>36603</v>
      </c>
      <c r="F8" s="2">
        <f t="shared" si="1"/>
        <v>0.12494581005014491</v>
      </c>
      <c r="G8" s="2">
        <v>69077</v>
      </c>
      <c r="H8" s="2">
        <f t="shared" si="2"/>
        <v>33.210096153846152</v>
      </c>
      <c r="I8" s="2">
        <f t="shared" si="3"/>
        <v>16.605048076923076</v>
      </c>
      <c r="J8" s="2">
        <f t="shared" si="4"/>
        <v>49.815144230769228</v>
      </c>
      <c r="K8" s="8">
        <f>SUM(Accessbility_Revenue_Cal!D29:D37)</f>
        <v>-77.742872596153831</v>
      </c>
      <c r="L8" s="8">
        <f>SUM(Accessbility_Revenue_Cal!K29:K37)</f>
        <v>0.74874232974533628</v>
      </c>
      <c r="M8" s="2">
        <f t="shared" si="9"/>
        <v>9.3552216908863756E-2</v>
      </c>
      <c r="N8" s="7">
        <f t="shared" ref="N8:N14" si="10">LN($M$16/L8)</f>
        <v>-0.32689217333121134</v>
      </c>
      <c r="O8" s="2">
        <f t="shared" si="5"/>
        <v>-4.0843807395920577E-2</v>
      </c>
      <c r="P8" s="10">
        <f>SUM(Accessbility_Revenue_Cal!O29:O37)</f>
        <v>0.74874232974533628</v>
      </c>
      <c r="Q8" s="19">
        <f t="shared" si="6"/>
        <v>9.3552216908863756E-2</v>
      </c>
      <c r="R8" s="19">
        <f t="shared" si="7"/>
        <v>-0.31758877607490094</v>
      </c>
      <c r="S8" s="19">
        <f t="shared" si="8"/>
        <v>-3.9681386889512581E-2</v>
      </c>
      <c r="T8" s="21"/>
      <c r="U8" s="21"/>
      <c r="V8" s="21"/>
      <c r="X8" s="71" t="s">
        <v>90</v>
      </c>
      <c r="Y8" s="97">
        <v>0</v>
      </c>
      <c r="Z8" s="78">
        <v>2</v>
      </c>
    </row>
    <row r="9" spans="1:27" ht="16.5" thickTop="1" thickBot="1" x14ac:dyDescent="0.4">
      <c r="A9" t="s">
        <v>82</v>
      </c>
      <c r="B9" s="1">
        <v>20737</v>
      </c>
      <c r="C9" s="20">
        <v>24802</v>
      </c>
      <c r="D9" s="2">
        <v>1</v>
      </c>
      <c r="E9" s="2">
        <f t="shared" si="0"/>
        <v>24802</v>
      </c>
      <c r="F9" s="2">
        <f t="shared" si="1"/>
        <v>8.4662622759437589E-2</v>
      </c>
      <c r="G9" s="2">
        <v>116575</v>
      </c>
      <c r="H9" s="2">
        <f t="shared" si="2"/>
        <v>56.045673076923073</v>
      </c>
      <c r="I9" s="2">
        <f t="shared" si="3"/>
        <v>28.022836538461537</v>
      </c>
      <c r="J9" s="2">
        <f t="shared" si="4"/>
        <v>84.068509615384613</v>
      </c>
      <c r="K9" s="8">
        <f>SUM(Accessbility_Revenue_Cal!D38:D46)</f>
        <v>-81.091774839743579</v>
      </c>
      <c r="L9" s="8">
        <f>SUM(Accessbility_Revenue_Cal!K38:K46)</f>
        <v>0.82298206254704342</v>
      </c>
      <c r="M9" s="2">
        <f t="shared" si="9"/>
        <v>6.9675819899204211E-2</v>
      </c>
      <c r="N9" s="7">
        <f t="shared" si="10"/>
        <v>-0.42143167326918007</v>
      </c>
      <c r="O9" s="2">
        <f t="shared" si="5"/>
        <v>-3.567951077286715E-2</v>
      </c>
      <c r="P9" s="10">
        <f>SUM(Accessbility_Revenue_Cal!O38:O46)</f>
        <v>0.82298206254704342</v>
      </c>
      <c r="Q9" s="19">
        <f t="shared" si="6"/>
        <v>6.9675819899204211E-2</v>
      </c>
      <c r="R9" s="19">
        <f t="shared" si="7"/>
        <v>-0.41212827601286955</v>
      </c>
      <c r="S9" s="19">
        <f t="shared" si="8"/>
        <v>-3.4891860760574947E-2</v>
      </c>
      <c r="T9" s="21"/>
      <c r="U9" s="21"/>
      <c r="V9" s="21"/>
      <c r="X9" s="71" t="s">
        <v>91</v>
      </c>
      <c r="Y9" s="97">
        <v>0</v>
      </c>
      <c r="Z9" s="78">
        <v>4</v>
      </c>
    </row>
    <row r="10" spans="1:27" ht="16.5" thickTop="1" thickBot="1" x14ac:dyDescent="0.4">
      <c r="A10" t="s">
        <v>83</v>
      </c>
      <c r="B10" s="58">
        <v>20705</v>
      </c>
      <c r="C10" s="53">
        <v>32260</v>
      </c>
      <c r="D10" s="2">
        <v>1</v>
      </c>
      <c r="E10" s="2">
        <f t="shared" si="0"/>
        <v>32260</v>
      </c>
      <c r="F10" s="2">
        <f t="shared" si="1"/>
        <v>0.1101208051858502</v>
      </c>
      <c r="G10" s="61">
        <v>36715</v>
      </c>
      <c r="H10" s="61">
        <f t="shared" si="2"/>
        <v>17.651442307692307</v>
      </c>
      <c r="I10" s="61">
        <f t="shared" si="3"/>
        <v>8.8257211538461533</v>
      </c>
      <c r="J10" s="61">
        <f t="shared" si="4"/>
        <v>26.47716346153846</v>
      </c>
      <c r="K10" s="8">
        <f>SUM(Accessbility_Revenue_Cal!D47:D55)</f>
        <v>-53.855300480769223</v>
      </c>
      <c r="L10" s="8">
        <f>SUM(Accessbility_Revenue_Cal!K47:K55)</f>
        <v>0.46344067063227057</v>
      </c>
      <c r="M10" s="2">
        <f t="shared" si="9"/>
        <v>5.1034459805896035E-2</v>
      </c>
      <c r="N10" s="7">
        <f t="shared" si="10"/>
        <v>0.15282435810433195</v>
      </c>
      <c r="O10" s="2">
        <f t="shared" si="5"/>
        <v>1.6829141366459747E-2</v>
      </c>
      <c r="P10" s="10">
        <f>SUM(Accessbility_Revenue_Cal!O47:O55)</f>
        <v>0.46344067063227057</v>
      </c>
      <c r="Q10" s="19">
        <f t="shared" si="6"/>
        <v>5.1034459805896035E-2</v>
      </c>
      <c r="R10" s="19">
        <f t="shared" si="7"/>
        <v>0.16212775536064239</v>
      </c>
      <c r="S10" s="19">
        <f t="shared" si="8"/>
        <v>1.7853638963288482E-2</v>
      </c>
      <c r="T10" s="21"/>
      <c r="U10" s="21"/>
      <c r="V10" s="21"/>
      <c r="X10" s="71" t="s">
        <v>92</v>
      </c>
      <c r="Y10" s="97">
        <v>0</v>
      </c>
      <c r="Z10" s="78">
        <v>4</v>
      </c>
    </row>
    <row r="11" spans="1:27" ht="16.5" thickTop="1" thickBot="1" x14ac:dyDescent="0.4">
      <c r="A11" t="s">
        <v>84</v>
      </c>
      <c r="B11" s="58">
        <v>20770</v>
      </c>
      <c r="C11" s="53">
        <v>27088</v>
      </c>
      <c r="D11" s="2">
        <v>1</v>
      </c>
      <c r="E11" s="2">
        <f t="shared" si="0"/>
        <v>27088</v>
      </c>
      <c r="F11" s="2">
        <f t="shared" si="1"/>
        <v>9.2465975538571291E-2</v>
      </c>
      <c r="G11" s="61">
        <v>43275</v>
      </c>
      <c r="H11" s="61">
        <f t="shared" si="2"/>
        <v>20.80528846153846</v>
      </c>
      <c r="I11" s="61">
        <f t="shared" si="3"/>
        <v>10.40264423076923</v>
      </c>
      <c r="J11" s="61">
        <f t="shared" si="4"/>
        <v>31.20793269230769</v>
      </c>
      <c r="K11" s="8">
        <f>SUM(Accessbility_Revenue_Cal!D56:D64)</f>
        <v>-54.658401442307692</v>
      </c>
      <c r="L11" s="8">
        <f>SUM(Accessbility_Revenue_Cal!K56:K64)</f>
        <v>0.54918468100504769</v>
      </c>
      <c r="M11" s="2">
        <f t="shared" si="9"/>
        <v>5.0780897279970816E-2</v>
      </c>
      <c r="N11" s="7">
        <f t="shared" si="10"/>
        <v>-1.6932048248345086E-2</v>
      </c>
      <c r="O11" s="2">
        <f t="shared" si="5"/>
        <v>-1.5656383591493856E-3</v>
      </c>
      <c r="P11" s="10">
        <f>SUM(Accessbility_Revenue_Cal!O56:O64)</f>
        <v>0.54918468100504769</v>
      </c>
      <c r="Q11" s="19">
        <f t="shared" si="6"/>
        <v>5.0780897279970816E-2</v>
      </c>
      <c r="R11" s="19">
        <f t="shared" si="7"/>
        <v>-7.6286509920345767E-3</v>
      </c>
      <c r="S11" s="19">
        <f t="shared" si="8"/>
        <v>-7.0539065602176682E-4</v>
      </c>
      <c r="T11" s="21"/>
      <c r="U11" s="21"/>
      <c r="V11" s="21"/>
      <c r="X11" s="9" t="s">
        <v>10</v>
      </c>
      <c r="Y11" s="97">
        <v>0</v>
      </c>
      <c r="Z11" s="4">
        <v>2</v>
      </c>
    </row>
    <row r="12" spans="1:27" ht="16.5" thickTop="1" thickBot="1" x14ac:dyDescent="0.4">
      <c r="A12" t="s">
        <v>85</v>
      </c>
      <c r="B12" s="58">
        <v>20781</v>
      </c>
      <c r="C12" s="60">
        <v>14043</v>
      </c>
      <c r="D12" s="2">
        <v>1</v>
      </c>
      <c r="E12" s="2">
        <f t="shared" si="0"/>
        <v>14043</v>
      </c>
      <c r="F12" s="2">
        <f t="shared" si="1"/>
        <v>4.7936344303313526E-2</v>
      </c>
      <c r="G12" s="61">
        <v>39754</v>
      </c>
      <c r="H12" s="61">
        <f t="shared" si="2"/>
        <v>19.112500000000001</v>
      </c>
      <c r="I12" s="61">
        <f t="shared" si="3"/>
        <v>9.5562500000000004</v>
      </c>
      <c r="J12" s="61">
        <f t="shared" si="4"/>
        <v>28.668750000000003</v>
      </c>
      <c r="K12" s="8">
        <f>SUM(Accessbility_Revenue_Cal!D65:D73)</f>
        <v>-55.157208820512821</v>
      </c>
      <c r="L12" s="8">
        <f>SUM(Accessbility_Revenue_Cal!K65:K73)</f>
        <v>0.23810955319921778</v>
      </c>
      <c r="M12" s="2">
        <f t="shared" si="9"/>
        <v>1.1414101524065853E-2</v>
      </c>
      <c r="N12" s="7">
        <f t="shared" si="10"/>
        <v>0.81877185664410468</v>
      </c>
      <c r="O12" s="2">
        <f t="shared" si="5"/>
        <v>3.9248929625955067E-2</v>
      </c>
      <c r="P12" s="10">
        <f>SUM(Accessbility_Revenue_Cal!O65:O73)</f>
        <v>0.23810955319921778</v>
      </c>
      <c r="Q12" s="19">
        <f t="shared" si="6"/>
        <v>1.1414101524065853E-2</v>
      </c>
      <c r="R12" s="19">
        <f t="shared" si="7"/>
        <v>0.82807525390041503</v>
      </c>
      <c r="S12" s="19">
        <f t="shared" si="8"/>
        <v>3.969490048002406E-2</v>
      </c>
      <c r="T12" s="21"/>
      <c r="U12" s="21"/>
      <c r="V12" s="21"/>
      <c r="X12" s="9" t="s">
        <v>11</v>
      </c>
      <c r="Y12" s="97">
        <v>0</v>
      </c>
      <c r="Z12" s="4">
        <v>4</v>
      </c>
    </row>
    <row r="13" spans="1:27" ht="16.5" thickTop="1" thickBot="1" x14ac:dyDescent="0.4">
      <c r="A13" t="s">
        <v>86</v>
      </c>
      <c r="B13" s="58">
        <v>20708</v>
      </c>
      <c r="C13" s="53">
        <v>27917</v>
      </c>
      <c r="D13" s="2">
        <v>1</v>
      </c>
      <c r="E13" s="2">
        <f t="shared" si="0"/>
        <v>27917</v>
      </c>
      <c r="F13" s="2">
        <f t="shared" si="1"/>
        <v>9.5295800321555477E-2</v>
      </c>
      <c r="G13" s="5">
        <v>39756</v>
      </c>
      <c r="H13" s="61">
        <f t="shared" si="2"/>
        <v>19.113461538461539</v>
      </c>
      <c r="I13" s="61">
        <f t="shared" si="3"/>
        <v>9.5567307692307697</v>
      </c>
      <c r="J13" s="61">
        <f t="shared" si="4"/>
        <v>28.670192307692311</v>
      </c>
      <c r="K13" s="8">
        <f>SUM(Accessbility_Revenue_Cal!D74:D82)</f>
        <v>-61.486716000000001</v>
      </c>
      <c r="L13" s="8">
        <f>SUM(Accessbility_Revenue_Cal!K74:K82)</f>
        <v>0.21512593851979517</v>
      </c>
      <c r="M13" s="2">
        <f t="shared" si="9"/>
        <v>2.050059848116962E-2</v>
      </c>
      <c r="N13" s="7">
        <f t="shared" si="10"/>
        <v>0.92027911477219282</v>
      </c>
      <c r="O13" s="2">
        <f t="shared" si="5"/>
        <v>8.7698734761428726E-2</v>
      </c>
      <c r="P13" s="10">
        <f>SUM(Accessbility_Revenue_Cal!O74:O82)</f>
        <v>0.21512593851979517</v>
      </c>
      <c r="Q13" s="19">
        <f t="shared" si="6"/>
        <v>2.050059848116962E-2</v>
      </c>
      <c r="R13" s="19">
        <f t="shared" si="7"/>
        <v>0.92958251202850328</v>
      </c>
      <c r="S13" s="19">
        <f t="shared" si="8"/>
        <v>8.8585309448678193E-2</v>
      </c>
      <c r="T13" s="21"/>
      <c r="U13" s="21"/>
      <c r="V13" s="21"/>
      <c r="X13" s="9" t="s">
        <v>12</v>
      </c>
      <c r="Y13" s="97">
        <v>0</v>
      </c>
      <c r="Z13" s="4">
        <v>4</v>
      </c>
    </row>
    <row r="14" spans="1:27" ht="16.5" thickTop="1" thickBot="1" x14ac:dyDescent="0.4">
      <c r="A14" t="s">
        <v>87</v>
      </c>
      <c r="B14" s="58">
        <v>20707</v>
      </c>
      <c r="C14" s="53">
        <v>38753</v>
      </c>
      <c r="D14" s="2">
        <v>1</v>
      </c>
      <c r="E14" s="2">
        <f t="shared" si="0"/>
        <v>38753</v>
      </c>
      <c r="F14" s="2">
        <f t="shared" si="1"/>
        <v>0.13228492136910269</v>
      </c>
      <c r="G14" s="61">
        <v>49071</v>
      </c>
      <c r="H14" s="61">
        <f t="shared" si="2"/>
        <v>23.591826923076923</v>
      </c>
      <c r="I14" s="61">
        <f t="shared" si="3"/>
        <v>11.795913461538461</v>
      </c>
      <c r="J14" s="61">
        <f t="shared" si="4"/>
        <v>35.387740384615384</v>
      </c>
      <c r="K14" s="8">
        <f>SUM(Accessbility_Revenue_Cal!D83:D91)</f>
        <v>-61.047600903846153</v>
      </c>
      <c r="L14" s="8">
        <f>SUM(Accessbility_Revenue_Cal!K83:K91)</f>
        <v>0.24605004138172415</v>
      </c>
      <c r="M14" s="2">
        <f t="shared" si="9"/>
        <v>3.2548710377045841E-2</v>
      </c>
      <c r="N14" s="7">
        <f t="shared" si="10"/>
        <v>0.78596779647011228</v>
      </c>
      <c r="O14" s="2">
        <f t="shared" si="5"/>
        <v>0.10397168815469571</v>
      </c>
      <c r="P14" s="10">
        <f>SUM(Accessbility_Revenue_Cal!O83:O91)</f>
        <v>0.28420209457360923</v>
      </c>
      <c r="Q14" s="19">
        <f t="shared" si="6"/>
        <v>3.7595651733604185E-2</v>
      </c>
      <c r="R14" s="19">
        <f t="shared" si="7"/>
        <v>0.65112054351776338</v>
      </c>
      <c r="S14" s="110">
        <f t="shared" si="8"/>
        <v>8.6133429901054742E-2</v>
      </c>
      <c r="T14" s="21"/>
      <c r="U14" s="21"/>
      <c r="V14" s="21"/>
      <c r="X14" s="9" t="s">
        <v>13</v>
      </c>
      <c r="Y14" s="97">
        <v>0</v>
      </c>
      <c r="Z14" s="4">
        <v>4</v>
      </c>
    </row>
    <row r="15" spans="1:27" ht="16" thickTop="1" x14ac:dyDescent="0.35">
      <c r="B15" s="1" t="s">
        <v>43</v>
      </c>
      <c r="C15" s="20">
        <f>AVERAGE(C5:C14)</f>
        <v>29295.1</v>
      </c>
      <c r="D15" s="20">
        <f t="shared" ref="D15:M15" si="11">AVERAGE(D5:D14)</f>
        <v>1</v>
      </c>
      <c r="E15" s="20">
        <f t="shared" si="11"/>
        <v>29295.1</v>
      </c>
      <c r="F15" s="20">
        <f t="shared" si="11"/>
        <v>0.1</v>
      </c>
      <c r="G15" s="20">
        <f t="shared" si="11"/>
        <v>58082.1</v>
      </c>
      <c r="H15" s="20">
        <f t="shared" si="11"/>
        <v>27.924086538461541</v>
      </c>
      <c r="I15" s="20">
        <f t="shared" si="11"/>
        <v>13.962043269230771</v>
      </c>
      <c r="J15" s="20">
        <f t="shared" si="11"/>
        <v>41.886129807692306</v>
      </c>
      <c r="K15" s="20">
        <f t="shared" si="11"/>
        <v>-63.11938614615385</v>
      </c>
      <c r="L15" s="20">
        <f t="shared" si="11"/>
        <v>0.53566434018029252</v>
      </c>
      <c r="M15" s="116">
        <f t="shared" si="11"/>
        <v>5.3996414109097016E-2</v>
      </c>
      <c r="N15" s="20">
        <f>AVERAGE(N5:N14)</f>
        <v>0.12563916197693967</v>
      </c>
      <c r="O15" s="20">
        <f t="shared" ref="O15" si="12">AVERAGE(O5:O14)</f>
        <v>1.0824507686860295E-2</v>
      </c>
      <c r="P15" s="20">
        <f t="shared" ref="P15" si="13">AVERAGE(P5:P14)</f>
        <v>0.53947954549948096</v>
      </c>
      <c r="Q15" s="20">
        <f t="shared" ref="Q15" si="14">AVERAGE(Q5:Q14)</f>
        <v>5.4501108244752849E-2</v>
      </c>
      <c r="R15" s="20">
        <f t="shared" ref="R15" si="15">AVERAGE(R5:R14)</f>
        <v>0.12052749421238421</v>
      </c>
      <c r="S15" s="111">
        <f>AVERAGE(S5:S14)</f>
        <v>9.8479516696755899E-3</v>
      </c>
      <c r="T15" s="22"/>
      <c r="U15" s="22"/>
      <c r="V15" s="22"/>
      <c r="X15" s="9" t="s">
        <v>93</v>
      </c>
      <c r="Y15" s="97">
        <v>0</v>
      </c>
      <c r="Z15" s="79">
        <v>4</v>
      </c>
    </row>
    <row r="16" spans="1:27" x14ac:dyDescent="0.35">
      <c r="B16" s="1" t="s">
        <v>44</v>
      </c>
      <c r="C16" s="20">
        <f>SUM(C5:C14)</f>
        <v>292951</v>
      </c>
      <c r="D16" s="20">
        <f t="shared" ref="D16:R16" si="16">SUM(D5:D14)</f>
        <v>10</v>
      </c>
      <c r="E16" s="20">
        <f t="shared" si="16"/>
        <v>292951</v>
      </c>
      <c r="F16" s="20">
        <f t="shared" si="16"/>
        <v>1</v>
      </c>
      <c r="G16" s="20">
        <f t="shared" si="16"/>
        <v>580821</v>
      </c>
      <c r="H16" s="20">
        <f t="shared" si="16"/>
        <v>279.2408653846154</v>
      </c>
      <c r="I16" s="20">
        <f t="shared" si="16"/>
        <v>139.6204326923077</v>
      </c>
      <c r="J16" s="20">
        <f t="shared" si="16"/>
        <v>418.86129807692305</v>
      </c>
      <c r="K16" s="20">
        <f t="shared" si="16"/>
        <v>-631.19386146153852</v>
      </c>
      <c r="L16" s="20">
        <f t="shared" si="16"/>
        <v>5.3566434018029252</v>
      </c>
      <c r="M16" s="109">
        <f t="shared" si="16"/>
        <v>0.53996414109097013</v>
      </c>
      <c r="N16" s="20">
        <f t="shared" si="16"/>
        <v>1.2563916197693967</v>
      </c>
      <c r="O16" s="112">
        <f t="shared" si="16"/>
        <v>0.10824507686860295</v>
      </c>
      <c r="P16" s="114">
        <f t="shared" si="16"/>
        <v>5.3947954549948101</v>
      </c>
      <c r="Q16" s="114">
        <f t="shared" si="16"/>
        <v>0.54501108244752849</v>
      </c>
      <c r="R16" s="20">
        <f t="shared" si="16"/>
        <v>1.205274942123842</v>
      </c>
      <c r="S16" s="111">
        <f>SUM(S5:S14)</f>
        <v>9.8479516696755906E-2</v>
      </c>
      <c r="T16" s="23">
        <f>O16*$T$17-S16</f>
        <v>9.7655601718470431E-3</v>
      </c>
      <c r="U16" s="113">
        <f>T16*B2</f>
        <v>4882.7800859235213</v>
      </c>
      <c r="V16" s="23">
        <f>Accessbility_Revenue_Cal!R93+U16</f>
        <v>28961.11728420711</v>
      </c>
      <c r="X16" s="9" t="s">
        <v>94</v>
      </c>
      <c r="Y16" s="97">
        <v>0</v>
      </c>
      <c r="Z16" s="79">
        <v>3</v>
      </c>
    </row>
    <row r="17" spans="2:27" x14ac:dyDescent="0.35">
      <c r="S17" s="2" t="s">
        <v>64</v>
      </c>
      <c r="T17" s="24">
        <v>1</v>
      </c>
      <c r="X17" s="9" t="s">
        <v>95</v>
      </c>
      <c r="Y17" s="97">
        <v>0</v>
      </c>
      <c r="Z17" s="79">
        <v>4</v>
      </c>
    </row>
    <row r="18" spans="2:27" x14ac:dyDescent="0.35">
      <c r="S18" s="2" t="s">
        <v>65</v>
      </c>
      <c r="T18" s="2">
        <f>O16*T17</f>
        <v>0.10824507686860295</v>
      </c>
      <c r="X18" s="9" t="s">
        <v>96</v>
      </c>
      <c r="Y18" s="97">
        <v>0</v>
      </c>
      <c r="Z18" s="79">
        <v>4</v>
      </c>
    </row>
    <row r="19" spans="2:27" x14ac:dyDescent="0.35">
      <c r="X19" s="9" t="s">
        <v>97</v>
      </c>
      <c r="Y19" s="97">
        <v>0</v>
      </c>
      <c r="Z19" s="79">
        <v>4</v>
      </c>
    </row>
    <row r="20" spans="2:27" x14ac:dyDescent="0.35">
      <c r="B20" s="5"/>
      <c r="C20" s="5"/>
      <c r="D20" s="39"/>
      <c r="E20" s="5"/>
      <c r="F20" s="39"/>
      <c r="G20" s="5"/>
      <c r="X20" s="71" t="s">
        <v>14</v>
      </c>
      <c r="Y20" s="97">
        <v>0</v>
      </c>
      <c r="Z20" s="74">
        <v>2</v>
      </c>
    </row>
    <row r="21" spans="2:27" x14ac:dyDescent="0.35">
      <c r="B21" s="5"/>
      <c r="C21" s="5"/>
      <c r="D21" s="121"/>
      <c r="E21" s="12"/>
      <c r="F21" s="118"/>
      <c r="G21" s="118"/>
      <c r="S21" s="5"/>
      <c r="X21" s="71" t="s">
        <v>15</v>
      </c>
      <c r="Y21" s="97">
        <v>0</v>
      </c>
      <c r="Z21" s="65">
        <v>3</v>
      </c>
    </row>
    <row r="22" spans="2:27" x14ac:dyDescent="0.35">
      <c r="B22" s="5"/>
      <c r="C22" s="5"/>
      <c r="D22" s="121"/>
      <c r="E22" s="12"/>
      <c r="F22" s="118"/>
      <c r="G22" s="118"/>
      <c r="P22" s="122"/>
      <c r="Q22" s="122"/>
      <c r="R22" s="123"/>
      <c r="S22" s="123"/>
      <c r="T22" s="124"/>
      <c r="U22" s="123"/>
      <c r="V22" s="123"/>
      <c r="W22" s="124"/>
      <c r="X22" s="71" t="s">
        <v>16</v>
      </c>
      <c r="Y22" s="97">
        <v>0</v>
      </c>
      <c r="Z22" s="65">
        <v>3</v>
      </c>
    </row>
    <row r="23" spans="2:27" x14ac:dyDescent="0.35">
      <c r="B23" s="5"/>
      <c r="C23" s="5"/>
      <c r="D23" s="121"/>
      <c r="E23" s="12"/>
      <c r="F23" s="118"/>
      <c r="G23" s="118"/>
      <c r="P23" s="122"/>
      <c r="Q23" s="122"/>
      <c r="R23" s="123"/>
      <c r="S23" s="123"/>
      <c r="T23" s="124"/>
      <c r="U23" s="123"/>
      <c r="V23" s="123"/>
      <c r="W23" s="124"/>
      <c r="X23" s="71" t="s">
        <v>17</v>
      </c>
      <c r="Y23" s="97">
        <v>0</v>
      </c>
      <c r="Z23" s="65">
        <v>4</v>
      </c>
    </row>
    <row r="24" spans="2:27" x14ac:dyDescent="0.35">
      <c r="B24" s="5"/>
      <c r="C24" s="5"/>
      <c r="D24" s="121"/>
      <c r="E24" s="12"/>
      <c r="F24" s="118"/>
      <c r="G24" s="118"/>
      <c r="P24" s="122"/>
      <c r="Q24" s="122"/>
      <c r="R24" s="123"/>
      <c r="S24" s="123"/>
      <c r="T24" s="124"/>
      <c r="U24" s="123"/>
      <c r="V24" s="123"/>
      <c r="W24" s="124"/>
      <c r="X24" s="71" t="s">
        <v>98</v>
      </c>
      <c r="Y24" s="97">
        <v>0</v>
      </c>
      <c r="Z24" s="78">
        <v>6</v>
      </c>
    </row>
    <row r="25" spans="2:27" x14ac:dyDescent="0.35">
      <c r="B25" s="5"/>
      <c r="C25" s="5"/>
      <c r="D25" s="121"/>
      <c r="E25" s="12"/>
      <c r="F25" s="118"/>
      <c r="G25" s="118"/>
      <c r="P25" s="122"/>
      <c r="Q25" s="122"/>
      <c r="R25" s="123"/>
      <c r="S25" s="123"/>
      <c r="T25" s="124"/>
      <c r="U25" s="123"/>
      <c r="V25" s="123"/>
      <c r="W25" s="124"/>
      <c r="X25" s="71" t="s">
        <v>99</v>
      </c>
      <c r="Y25" s="97">
        <v>0</v>
      </c>
      <c r="Z25" s="78">
        <v>5</v>
      </c>
    </row>
    <row r="26" spans="2:27" x14ac:dyDescent="0.35">
      <c r="B26" s="5"/>
      <c r="C26" s="5"/>
      <c r="D26" s="121"/>
      <c r="E26" s="12"/>
      <c r="F26" s="118"/>
      <c r="G26" s="118"/>
      <c r="P26" s="122"/>
      <c r="Q26" s="122"/>
      <c r="R26" s="123"/>
      <c r="S26" s="123"/>
      <c r="T26" s="124"/>
      <c r="U26" s="123"/>
      <c r="V26" s="123"/>
      <c r="W26" s="124"/>
      <c r="X26" s="71" t="s">
        <v>100</v>
      </c>
      <c r="Y26" s="97">
        <v>0</v>
      </c>
      <c r="Z26" s="78">
        <v>3</v>
      </c>
    </row>
    <row r="27" spans="2:27" x14ac:dyDescent="0.35">
      <c r="B27" s="5"/>
      <c r="C27" s="5"/>
      <c r="D27" s="121"/>
      <c r="E27" s="12"/>
      <c r="F27" s="118"/>
      <c r="G27" s="118"/>
      <c r="P27" s="122"/>
      <c r="Q27" s="122"/>
      <c r="R27" s="123"/>
      <c r="S27" s="123"/>
      <c r="T27" s="124"/>
      <c r="U27" s="123"/>
      <c r="V27" s="123"/>
      <c r="W27" s="124"/>
      <c r="X27" s="71" t="s">
        <v>101</v>
      </c>
      <c r="Y27" s="97">
        <v>0</v>
      </c>
      <c r="Z27" s="78">
        <v>6</v>
      </c>
    </row>
    <row r="28" spans="2:27" x14ac:dyDescent="0.35">
      <c r="B28" s="5"/>
      <c r="C28" s="5"/>
      <c r="D28" s="121"/>
      <c r="E28" s="12"/>
      <c r="F28" s="118"/>
      <c r="G28" s="118"/>
      <c r="P28" s="122"/>
      <c r="Q28" s="122"/>
      <c r="R28" s="123"/>
      <c r="S28" s="123"/>
      <c r="T28" s="124"/>
      <c r="U28" s="123"/>
      <c r="V28" s="123"/>
      <c r="W28" s="124"/>
      <c r="X28" s="71" t="s">
        <v>102</v>
      </c>
      <c r="Y28" s="97">
        <v>0</v>
      </c>
      <c r="Z28" s="78">
        <v>6</v>
      </c>
    </row>
    <row r="29" spans="2:27" x14ac:dyDescent="0.35">
      <c r="B29" s="5"/>
      <c r="C29" s="5"/>
      <c r="D29" s="121"/>
      <c r="E29" s="12"/>
      <c r="F29" s="118"/>
      <c r="G29" s="118"/>
      <c r="P29" s="122"/>
      <c r="Q29" s="122"/>
      <c r="R29" s="123"/>
      <c r="S29" s="123"/>
      <c r="T29" s="124"/>
      <c r="U29" s="123"/>
      <c r="V29" s="123"/>
      <c r="W29" s="124"/>
      <c r="X29" s="9" t="s">
        <v>18</v>
      </c>
      <c r="Y29" s="97">
        <v>0</v>
      </c>
      <c r="Z29" s="4">
        <v>2</v>
      </c>
    </row>
    <row r="30" spans="2:27" x14ac:dyDescent="0.35">
      <c r="B30" s="5"/>
      <c r="C30" s="5"/>
      <c r="D30" s="121"/>
      <c r="E30" s="12"/>
      <c r="F30" s="118"/>
      <c r="G30" s="118"/>
      <c r="P30" s="122"/>
      <c r="Q30" s="122"/>
      <c r="R30" s="123"/>
      <c r="S30" s="123"/>
      <c r="T30" s="124"/>
      <c r="U30" s="123"/>
      <c r="V30" s="123"/>
      <c r="W30" s="124"/>
      <c r="X30" s="9" t="s">
        <v>19</v>
      </c>
      <c r="Y30" s="97">
        <v>0</v>
      </c>
      <c r="Z30" s="4">
        <v>4</v>
      </c>
    </row>
    <row r="31" spans="2:27" x14ac:dyDescent="0.35">
      <c r="B31" s="5"/>
      <c r="C31" s="5"/>
      <c r="D31" s="121"/>
      <c r="E31" s="12"/>
      <c r="F31" s="118"/>
      <c r="G31" s="118"/>
      <c r="P31" s="122"/>
      <c r="Q31" s="122"/>
      <c r="R31" s="123"/>
      <c r="S31" s="123"/>
      <c r="T31" s="124"/>
      <c r="U31" s="123"/>
      <c r="V31" s="123"/>
      <c r="W31" s="124"/>
      <c r="X31" s="9" t="s">
        <v>20</v>
      </c>
      <c r="Y31" s="97">
        <v>0</v>
      </c>
      <c r="Z31" s="4">
        <v>2</v>
      </c>
    </row>
    <row r="32" spans="2:27" x14ac:dyDescent="0.35">
      <c r="B32" s="5"/>
      <c r="C32" s="5"/>
      <c r="D32" s="121"/>
      <c r="E32" s="12"/>
      <c r="F32" s="118"/>
      <c r="G32" s="118"/>
      <c r="P32" s="122"/>
      <c r="Q32" s="122"/>
      <c r="R32" s="123"/>
      <c r="S32" s="123"/>
      <c r="T32" s="124"/>
      <c r="U32" s="123"/>
      <c r="V32" s="123"/>
      <c r="W32" s="124"/>
      <c r="X32" s="9" t="s">
        <v>21</v>
      </c>
      <c r="Y32" s="97">
        <v>0</v>
      </c>
      <c r="Z32" s="4">
        <v>2</v>
      </c>
      <c r="AA32">
        <v>2</v>
      </c>
    </row>
    <row r="33" spans="2:26" x14ac:dyDescent="0.35">
      <c r="B33" s="5"/>
      <c r="C33" s="5"/>
      <c r="D33" s="121"/>
      <c r="E33" s="12"/>
      <c r="F33" s="118"/>
      <c r="G33" s="118"/>
      <c r="Q33" s="5"/>
      <c r="R33" s="5"/>
      <c r="S33" s="5"/>
      <c r="U33" s="5"/>
      <c r="V33" s="5"/>
      <c r="X33" s="9" t="s">
        <v>103</v>
      </c>
      <c r="Y33" s="97">
        <v>0</v>
      </c>
      <c r="Z33" s="79">
        <v>4</v>
      </c>
    </row>
    <row r="34" spans="2:26" x14ac:dyDescent="0.35">
      <c r="B34" s="5"/>
      <c r="C34" s="5"/>
      <c r="D34" s="121"/>
      <c r="E34" s="118"/>
      <c r="F34" s="118"/>
      <c r="G34" s="118"/>
      <c r="Q34" s="5"/>
      <c r="R34" s="5"/>
      <c r="S34" s="5"/>
      <c r="U34" s="5"/>
      <c r="V34" s="5"/>
      <c r="X34" s="9" t="s">
        <v>104</v>
      </c>
      <c r="Y34" s="97">
        <v>0</v>
      </c>
      <c r="Z34" s="79">
        <v>2</v>
      </c>
    </row>
    <row r="35" spans="2:26" x14ac:dyDescent="0.35">
      <c r="B35" s="5"/>
      <c r="C35" s="5"/>
      <c r="D35" s="108"/>
      <c r="E35" s="12"/>
      <c r="F35" s="12"/>
      <c r="G35" s="55"/>
      <c r="R35" s="124"/>
      <c r="X35" s="9" t="s">
        <v>105</v>
      </c>
      <c r="Y35" s="97">
        <v>0</v>
      </c>
      <c r="Z35" s="79">
        <v>1</v>
      </c>
    </row>
    <row r="36" spans="2:26" x14ac:dyDescent="0.35">
      <c r="B36" s="5"/>
      <c r="C36" s="5"/>
      <c r="D36" s="108"/>
      <c r="E36" s="12"/>
      <c r="F36" s="53"/>
      <c r="G36" s="55"/>
      <c r="T36" s="124"/>
      <c r="X36" s="9" t="s">
        <v>106</v>
      </c>
      <c r="Y36" s="97">
        <v>0</v>
      </c>
      <c r="Z36" s="79">
        <v>6</v>
      </c>
    </row>
    <row r="37" spans="2:26" x14ac:dyDescent="0.35">
      <c r="B37" s="5"/>
      <c r="C37" s="5"/>
      <c r="D37" s="108"/>
      <c r="E37" s="5"/>
      <c r="F37" s="53"/>
      <c r="G37" s="55"/>
      <c r="Q37" s="124"/>
      <c r="X37" s="9" t="s">
        <v>107</v>
      </c>
      <c r="Y37" s="97">
        <v>0</v>
      </c>
      <c r="Z37" s="79">
        <v>4</v>
      </c>
    </row>
    <row r="38" spans="2:26" x14ac:dyDescent="0.35">
      <c r="S38" s="124"/>
      <c r="X38" s="71" t="s">
        <v>22</v>
      </c>
      <c r="Y38" s="97">
        <v>0</v>
      </c>
      <c r="Z38" s="65">
        <v>4</v>
      </c>
    </row>
    <row r="39" spans="2:26" x14ac:dyDescent="0.35">
      <c r="N39" s="5"/>
      <c r="X39" s="71" t="s">
        <v>23</v>
      </c>
      <c r="Y39" s="97">
        <v>0</v>
      </c>
      <c r="Z39" s="65">
        <v>4</v>
      </c>
    </row>
    <row r="40" spans="2:26" x14ac:dyDescent="0.35">
      <c r="N40" s="5"/>
      <c r="X40" s="71" t="s">
        <v>24</v>
      </c>
      <c r="Y40" s="97">
        <v>0</v>
      </c>
      <c r="Z40" s="65">
        <v>4</v>
      </c>
    </row>
    <row r="41" spans="2:26" x14ac:dyDescent="0.35">
      <c r="N41" s="5"/>
      <c r="X41" s="71" t="s">
        <v>25</v>
      </c>
      <c r="Y41" s="97">
        <v>0</v>
      </c>
      <c r="Z41" s="65">
        <v>4</v>
      </c>
    </row>
    <row r="42" spans="2:26" x14ac:dyDescent="0.35">
      <c r="N42" s="5"/>
      <c r="O42" s="5"/>
      <c r="P42" s="5"/>
      <c r="R42" s="55"/>
      <c r="S42" s="12"/>
      <c r="T42" s="12"/>
      <c r="X42" s="71" t="s">
        <v>108</v>
      </c>
      <c r="Y42" s="97">
        <v>0</v>
      </c>
      <c r="Z42" s="78">
        <v>4</v>
      </c>
    </row>
    <row r="43" spans="2:26" x14ac:dyDescent="0.35">
      <c r="N43" s="5"/>
      <c r="O43" s="5"/>
      <c r="P43" s="5"/>
      <c r="R43" s="55"/>
      <c r="S43" s="12"/>
      <c r="T43" s="12"/>
      <c r="X43" s="71" t="s">
        <v>109</v>
      </c>
      <c r="Y43" s="97">
        <v>0</v>
      </c>
      <c r="Z43" s="78">
        <v>3</v>
      </c>
    </row>
    <row r="44" spans="2:26" x14ac:dyDescent="0.35">
      <c r="N44" s="5"/>
      <c r="O44" s="5"/>
      <c r="P44" s="5"/>
      <c r="Q44" s="108"/>
      <c r="R44" s="55"/>
      <c r="S44" s="12"/>
      <c r="T44" s="12"/>
      <c r="X44" s="71" t="s">
        <v>110</v>
      </c>
      <c r="Y44" s="97">
        <v>0</v>
      </c>
      <c r="Z44" s="78">
        <v>2</v>
      </c>
    </row>
    <row r="45" spans="2:26" x14ac:dyDescent="0.35">
      <c r="N45" s="5"/>
      <c r="O45" s="5"/>
      <c r="P45" s="5"/>
      <c r="Q45" s="108"/>
      <c r="R45" s="55"/>
      <c r="S45" s="12"/>
      <c r="T45" s="12"/>
      <c r="X45" s="71" t="s">
        <v>111</v>
      </c>
      <c r="Y45" s="97">
        <v>0</v>
      </c>
      <c r="Z45" s="78">
        <v>6</v>
      </c>
    </row>
    <row r="46" spans="2:26" x14ac:dyDescent="0.35">
      <c r="N46" s="5"/>
      <c r="O46" s="5"/>
      <c r="P46" s="5"/>
      <c r="Q46" s="108"/>
      <c r="R46" s="55"/>
      <c r="S46" s="12"/>
      <c r="T46" s="12"/>
      <c r="X46" s="71" t="s">
        <v>112</v>
      </c>
      <c r="Y46" s="97">
        <v>0</v>
      </c>
      <c r="Z46" s="78">
        <v>4</v>
      </c>
    </row>
    <row r="47" spans="2:26" x14ac:dyDescent="0.35">
      <c r="N47" s="5"/>
      <c r="O47" s="59"/>
      <c r="Q47" s="5"/>
      <c r="R47" s="5"/>
      <c r="S47" s="5"/>
      <c r="T47" s="5"/>
      <c r="X47" s="9" t="s">
        <v>113</v>
      </c>
      <c r="Y47" s="97">
        <v>0</v>
      </c>
      <c r="Z47" s="79">
        <v>4</v>
      </c>
    </row>
    <row r="48" spans="2:26" x14ac:dyDescent="0.35">
      <c r="N48" s="5"/>
      <c r="O48" s="59"/>
      <c r="P48" s="5"/>
      <c r="Q48" s="5"/>
      <c r="R48" s="5"/>
      <c r="S48" s="5"/>
      <c r="T48" s="5"/>
      <c r="X48" s="9" t="s">
        <v>114</v>
      </c>
      <c r="Y48" s="97">
        <v>0</v>
      </c>
      <c r="Z48" s="79">
        <v>4</v>
      </c>
    </row>
    <row r="49" spans="3:26" x14ac:dyDescent="0.35">
      <c r="N49" s="5"/>
      <c r="O49" s="53"/>
      <c r="P49" s="5"/>
      <c r="Q49" s="5"/>
      <c r="R49" s="5"/>
      <c r="S49" s="5"/>
      <c r="T49" s="5"/>
      <c r="X49" s="9" t="s">
        <v>115</v>
      </c>
      <c r="Y49" s="97">
        <v>0</v>
      </c>
      <c r="Z49" s="79">
        <v>6</v>
      </c>
    </row>
    <row r="50" spans="3:26" x14ac:dyDescent="0.35">
      <c r="X50" s="9" t="s">
        <v>116</v>
      </c>
      <c r="Y50" s="97">
        <v>0</v>
      </c>
      <c r="Z50" s="79">
        <v>4</v>
      </c>
    </row>
    <row r="51" spans="3:26" x14ac:dyDescent="0.35">
      <c r="X51" s="9" t="s">
        <v>117</v>
      </c>
      <c r="Y51" s="97">
        <v>0</v>
      </c>
      <c r="Z51" s="79">
        <v>4</v>
      </c>
    </row>
    <row r="52" spans="3:26" x14ac:dyDescent="0.35">
      <c r="X52" s="9" t="s">
        <v>118</v>
      </c>
      <c r="Y52" s="97">
        <v>0</v>
      </c>
      <c r="Z52" s="79">
        <v>3</v>
      </c>
    </row>
    <row r="53" spans="3:26" x14ac:dyDescent="0.35">
      <c r="X53" s="9" t="s">
        <v>119</v>
      </c>
      <c r="Y53" s="97">
        <v>0</v>
      </c>
      <c r="Z53" s="79">
        <v>5</v>
      </c>
    </row>
    <row r="54" spans="3:26" x14ac:dyDescent="0.35">
      <c r="X54" s="9" t="s">
        <v>120</v>
      </c>
      <c r="Y54" s="97">
        <v>0</v>
      </c>
      <c r="Z54" s="79">
        <v>2</v>
      </c>
    </row>
    <row r="55" spans="3:26" x14ac:dyDescent="0.35">
      <c r="X55" s="9" t="s">
        <v>121</v>
      </c>
      <c r="Y55" s="97">
        <v>0</v>
      </c>
      <c r="Z55" s="79">
        <v>0</v>
      </c>
    </row>
    <row r="56" spans="3:26" x14ac:dyDescent="0.35">
      <c r="X56" s="71" t="s">
        <v>122</v>
      </c>
      <c r="Y56" s="97">
        <v>0</v>
      </c>
      <c r="Z56" s="78">
        <v>3</v>
      </c>
    </row>
    <row r="57" spans="3:26" x14ac:dyDescent="0.35">
      <c r="X57" s="71" t="s">
        <v>123</v>
      </c>
      <c r="Y57" s="97">
        <v>0</v>
      </c>
      <c r="Z57" s="78">
        <v>3</v>
      </c>
    </row>
    <row r="58" spans="3:26" x14ac:dyDescent="0.35">
      <c r="C58" s="5"/>
      <c r="D58" s="5"/>
      <c r="E58" s="39"/>
      <c r="F58" s="39"/>
      <c r="G58" s="39"/>
      <c r="H58" s="39"/>
      <c r="I58" s="39"/>
      <c r="X58" s="71" t="s">
        <v>124</v>
      </c>
      <c r="Y58" s="97">
        <v>0</v>
      </c>
      <c r="Z58" s="78">
        <v>3</v>
      </c>
    </row>
    <row r="59" spans="3:26" x14ac:dyDescent="0.35">
      <c r="C59" s="5"/>
      <c r="D59" s="12"/>
      <c r="E59" s="12"/>
      <c r="F59" s="12"/>
      <c r="G59" s="12"/>
      <c r="H59" s="12"/>
      <c r="I59" s="12"/>
      <c r="X59" s="71" t="s">
        <v>125</v>
      </c>
      <c r="Y59" s="97">
        <v>0</v>
      </c>
      <c r="Z59" s="78">
        <v>3</v>
      </c>
    </row>
    <row r="60" spans="3:26" x14ac:dyDescent="0.35">
      <c r="C60" s="5"/>
      <c r="D60" s="12"/>
      <c r="E60" s="12"/>
      <c r="F60" s="12"/>
      <c r="G60" s="12"/>
      <c r="H60" s="12"/>
      <c r="I60" s="12"/>
      <c r="X60" s="71" t="s">
        <v>126</v>
      </c>
      <c r="Y60" s="97">
        <v>0</v>
      </c>
      <c r="Z60" s="78">
        <v>3</v>
      </c>
    </row>
    <row r="61" spans="3:26" x14ac:dyDescent="0.35">
      <c r="C61" s="5"/>
      <c r="D61" s="12"/>
      <c r="E61" s="12"/>
      <c r="F61" s="12"/>
      <c r="G61" s="12"/>
      <c r="H61" s="12"/>
      <c r="I61" s="12"/>
      <c r="J61" s="39"/>
      <c r="X61" s="71" t="s">
        <v>127</v>
      </c>
      <c r="Y61" s="97">
        <v>0</v>
      </c>
      <c r="Z61" s="78">
        <v>3</v>
      </c>
    </row>
    <row r="62" spans="3:26" x14ac:dyDescent="0.35">
      <c r="C62" s="5"/>
      <c r="D62" s="12"/>
      <c r="E62" s="12"/>
      <c r="F62" s="12"/>
      <c r="G62" s="12"/>
      <c r="H62" s="12"/>
      <c r="I62" s="12"/>
      <c r="J62" s="59"/>
      <c r="X62" s="71" t="s">
        <v>128</v>
      </c>
      <c r="Y62" s="97">
        <v>0</v>
      </c>
      <c r="Z62" s="78">
        <v>4</v>
      </c>
    </row>
    <row r="63" spans="3:26" x14ac:dyDescent="0.35">
      <c r="C63" s="5"/>
      <c r="D63" s="12"/>
      <c r="E63" s="12"/>
      <c r="F63" s="12"/>
      <c r="G63" s="12"/>
      <c r="H63" s="12"/>
      <c r="I63" s="12"/>
      <c r="X63" s="71" t="s">
        <v>129</v>
      </c>
      <c r="Y63" s="97">
        <v>0</v>
      </c>
      <c r="Z63" s="78">
        <v>3</v>
      </c>
    </row>
    <row r="64" spans="3:26" x14ac:dyDescent="0.35">
      <c r="C64" s="5"/>
      <c r="D64" s="12"/>
      <c r="E64" s="12"/>
      <c r="F64" s="12"/>
      <c r="G64" s="12"/>
      <c r="H64" s="12"/>
      <c r="I64" s="12"/>
      <c r="X64" s="71" t="s">
        <v>130</v>
      </c>
      <c r="Y64" s="97">
        <v>0</v>
      </c>
      <c r="Z64" s="78">
        <v>3</v>
      </c>
    </row>
    <row r="65" spans="3:26" x14ac:dyDescent="0.35">
      <c r="C65" s="5"/>
      <c r="G65" s="55"/>
      <c r="H65" s="3"/>
      <c r="I65" s="3"/>
      <c r="X65" s="9" t="s">
        <v>131</v>
      </c>
      <c r="Y65" s="97">
        <v>0</v>
      </c>
      <c r="Z65" s="79">
        <v>3</v>
      </c>
    </row>
    <row r="66" spans="3:26" x14ac:dyDescent="0.35">
      <c r="C66" s="5"/>
      <c r="D66" s="5"/>
      <c r="E66" s="39"/>
      <c r="F66" s="39"/>
      <c r="G66" s="39"/>
      <c r="H66" s="39"/>
      <c r="I66" s="39"/>
      <c r="X66" s="9" t="s">
        <v>132</v>
      </c>
      <c r="Y66" s="97">
        <v>0</v>
      </c>
      <c r="Z66" s="79">
        <v>3</v>
      </c>
    </row>
    <row r="67" spans="3:26" x14ac:dyDescent="0.35">
      <c r="C67" s="5"/>
      <c r="D67" s="118"/>
      <c r="E67" s="118"/>
      <c r="F67" s="118"/>
      <c r="G67" s="118"/>
      <c r="H67" s="118"/>
      <c r="I67" s="118"/>
      <c r="X67" s="9" t="s">
        <v>133</v>
      </c>
      <c r="Y67" s="97">
        <v>0</v>
      </c>
      <c r="Z67" s="79">
        <v>3</v>
      </c>
    </row>
    <row r="68" spans="3:26" x14ac:dyDescent="0.35">
      <c r="C68" s="5"/>
      <c r="D68" s="118"/>
      <c r="E68" s="118"/>
      <c r="F68" s="118"/>
      <c r="G68" s="118"/>
      <c r="H68" s="118"/>
      <c r="I68" s="118"/>
      <c r="X68" s="9" t="s">
        <v>134</v>
      </c>
      <c r="Y68" s="97">
        <v>0</v>
      </c>
      <c r="Z68" s="79">
        <v>1</v>
      </c>
    </row>
    <row r="69" spans="3:26" x14ac:dyDescent="0.35">
      <c r="C69" s="5"/>
      <c r="D69" s="118"/>
      <c r="E69" s="118"/>
      <c r="F69" s="118"/>
      <c r="G69" s="118"/>
      <c r="H69" s="118"/>
      <c r="I69" s="118"/>
      <c r="X69" s="9" t="s">
        <v>135</v>
      </c>
      <c r="Y69" s="97">
        <v>0</v>
      </c>
      <c r="Z69" s="79">
        <v>2</v>
      </c>
    </row>
    <row r="70" spans="3:26" x14ac:dyDescent="0.35">
      <c r="C70" s="5"/>
      <c r="D70" s="118"/>
      <c r="E70" s="118"/>
      <c r="F70" s="118"/>
      <c r="G70" s="118"/>
      <c r="H70" s="118"/>
      <c r="I70" s="118"/>
      <c r="J70" s="39"/>
      <c r="X70" s="9" t="s">
        <v>136</v>
      </c>
      <c r="Y70" s="97">
        <v>0</v>
      </c>
      <c r="Z70" s="79">
        <v>6</v>
      </c>
    </row>
    <row r="71" spans="3:26" x14ac:dyDescent="0.35">
      <c r="C71" s="5"/>
      <c r="D71" s="118"/>
      <c r="E71" s="118"/>
      <c r="F71" s="118"/>
      <c r="G71" s="118"/>
      <c r="H71" s="118"/>
      <c r="I71" s="118"/>
      <c r="J71" s="39"/>
      <c r="X71" s="9" t="s">
        <v>137</v>
      </c>
      <c r="Y71" s="97">
        <v>0</v>
      </c>
      <c r="Z71" s="79">
        <v>4</v>
      </c>
    </row>
    <row r="72" spans="3:26" x14ac:dyDescent="0.35">
      <c r="C72" s="5"/>
      <c r="D72" s="118"/>
      <c r="E72" s="118"/>
      <c r="F72" s="118"/>
      <c r="G72" s="118"/>
      <c r="H72" s="118"/>
      <c r="I72" s="118"/>
      <c r="X72" s="9" t="s">
        <v>139</v>
      </c>
      <c r="Y72" s="97">
        <v>0</v>
      </c>
      <c r="Z72" s="79">
        <v>4</v>
      </c>
    </row>
    <row r="73" spans="3:26" x14ac:dyDescent="0.35">
      <c r="X73" s="9" t="s">
        <v>138</v>
      </c>
      <c r="Y73" s="97">
        <v>0</v>
      </c>
      <c r="Z73" s="79">
        <v>5</v>
      </c>
    </row>
    <row r="74" spans="3:26" x14ac:dyDescent="0.35">
      <c r="E74" s="5"/>
      <c r="X74" s="71" t="s">
        <v>140</v>
      </c>
      <c r="Y74" s="97">
        <v>0</v>
      </c>
      <c r="Z74" s="78">
        <v>4</v>
      </c>
    </row>
    <row r="75" spans="3:26" x14ac:dyDescent="0.35">
      <c r="E75" s="5"/>
      <c r="X75" s="71" t="s">
        <v>141</v>
      </c>
      <c r="Y75" s="97">
        <v>0</v>
      </c>
      <c r="Z75" s="78">
        <v>4</v>
      </c>
    </row>
    <row r="76" spans="3:26" x14ac:dyDescent="0.35">
      <c r="X76" s="71" t="s">
        <v>142</v>
      </c>
      <c r="Y76" s="97">
        <v>0</v>
      </c>
      <c r="Z76" s="78">
        <v>4</v>
      </c>
    </row>
    <row r="77" spans="3:26" x14ac:dyDescent="0.35">
      <c r="X77" s="71" t="s">
        <v>143</v>
      </c>
      <c r="Y77" s="97">
        <v>0</v>
      </c>
      <c r="Z77" s="78">
        <v>6</v>
      </c>
    </row>
    <row r="78" spans="3:26" x14ac:dyDescent="0.35">
      <c r="X78" s="71" t="s">
        <v>144</v>
      </c>
      <c r="Y78" s="97">
        <v>0</v>
      </c>
      <c r="Z78" s="78">
        <v>4</v>
      </c>
    </row>
    <row r="79" spans="3:26" x14ac:dyDescent="0.35">
      <c r="X79" s="71" t="s">
        <v>145</v>
      </c>
      <c r="Y79" s="97">
        <v>0</v>
      </c>
      <c r="Z79" s="78">
        <v>4</v>
      </c>
    </row>
    <row r="80" spans="3:26" x14ac:dyDescent="0.35">
      <c r="X80" s="71" t="s">
        <v>146</v>
      </c>
      <c r="Y80" s="97">
        <v>0</v>
      </c>
      <c r="Z80" s="78">
        <v>4</v>
      </c>
    </row>
    <row r="81" spans="24:26" x14ac:dyDescent="0.35">
      <c r="X81" s="71" t="s">
        <v>147</v>
      </c>
      <c r="Y81" s="97">
        <v>0</v>
      </c>
      <c r="Z81" s="78">
        <v>4</v>
      </c>
    </row>
    <row r="82" spans="24:26" x14ac:dyDescent="0.35">
      <c r="X82" s="71" t="s">
        <v>148</v>
      </c>
      <c r="Y82" s="97">
        <v>0</v>
      </c>
      <c r="Z82" s="78">
        <v>2</v>
      </c>
    </row>
    <row r="83" spans="24:26" x14ac:dyDescent="0.35">
      <c r="X83" s="9" t="s">
        <v>149</v>
      </c>
      <c r="Y83" s="97">
        <v>1</v>
      </c>
      <c r="Z83" s="79">
        <v>4</v>
      </c>
    </row>
    <row r="84" spans="24:26" x14ac:dyDescent="0.35">
      <c r="X84" s="9" t="s">
        <v>150</v>
      </c>
      <c r="Y84" s="97">
        <v>1</v>
      </c>
      <c r="Z84" s="79">
        <v>4</v>
      </c>
    </row>
    <row r="85" spans="24:26" x14ac:dyDescent="0.35">
      <c r="X85" s="9" t="s">
        <v>151</v>
      </c>
      <c r="Y85" s="97">
        <v>1</v>
      </c>
      <c r="Z85" s="79">
        <v>6</v>
      </c>
    </row>
    <row r="86" spans="24:26" x14ac:dyDescent="0.35">
      <c r="X86" s="9" t="s">
        <v>152</v>
      </c>
      <c r="Y86" s="97">
        <v>1</v>
      </c>
      <c r="Z86" s="79">
        <v>4</v>
      </c>
    </row>
    <row r="87" spans="24:26" x14ac:dyDescent="0.35">
      <c r="X87" s="9" t="s">
        <v>153</v>
      </c>
      <c r="Y87" s="97">
        <v>1</v>
      </c>
      <c r="Z87" s="79">
        <v>4</v>
      </c>
    </row>
    <row r="88" spans="24:26" x14ac:dyDescent="0.35">
      <c r="X88" s="9" t="s">
        <v>154</v>
      </c>
      <c r="Y88" s="97">
        <v>1</v>
      </c>
      <c r="Z88" s="79">
        <v>2</v>
      </c>
    </row>
    <row r="89" spans="24:26" x14ac:dyDescent="0.35">
      <c r="X89" s="9" t="s">
        <v>155</v>
      </c>
      <c r="Y89" s="97">
        <v>1</v>
      </c>
      <c r="Z89" s="79">
        <v>2</v>
      </c>
    </row>
    <row r="90" spans="24:26" x14ac:dyDescent="0.35">
      <c r="X90" s="9" t="s">
        <v>156</v>
      </c>
      <c r="Y90" s="97">
        <v>1</v>
      </c>
      <c r="Z90" s="79">
        <v>4</v>
      </c>
    </row>
    <row r="91" spans="24:26" ht="16" thickBot="1" x14ac:dyDescent="0.4">
      <c r="X91" s="35" t="s">
        <v>157</v>
      </c>
      <c r="Y91" s="97">
        <v>1</v>
      </c>
      <c r="Z91" s="87">
        <v>2</v>
      </c>
    </row>
    <row r="92" spans="24:26" x14ac:dyDescent="0.35">
      <c r="Y92" s="44"/>
    </row>
    <row r="93" spans="24:26" x14ac:dyDescent="0.35">
      <c r="Y93" s="44"/>
    </row>
    <row r="94" spans="24:26" x14ac:dyDescent="0.35">
      <c r="Y94" s="44"/>
    </row>
    <row r="95" spans="24:26" x14ac:dyDescent="0.35">
      <c r="Y95" s="44"/>
    </row>
    <row r="96" spans="24:26" x14ac:dyDescent="0.35">
      <c r="Y96" s="44"/>
    </row>
    <row r="97" spans="2:25" x14ac:dyDescent="0.35">
      <c r="B97" s="5"/>
      <c r="C97" s="5"/>
      <c r="D97" s="39"/>
      <c r="E97" s="39"/>
      <c r="F97" s="5"/>
      <c r="G97" s="39"/>
      <c r="H97" s="5"/>
      <c r="Y97" s="44"/>
    </row>
    <row r="98" spans="2:25" x14ac:dyDescent="0.35">
      <c r="B98" s="5"/>
      <c r="C98" s="5"/>
      <c r="F98" s="55"/>
      <c r="G98" s="3"/>
      <c r="H98" s="3"/>
      <c r="Y98" s="44"/>
    </row>
    <row r="99" spans="2:25" x14ac:dyDescent="0.35">
      <c r="B99" s="5"/>
      <c r="C99" s="5"/>
      <c r="D99" s="119"/>
      <c r="E99" s="119"/>
      <c r="F99" s="55"/>
      <c r="G99" s="3"/>
      <c r="H99" s="3"/>
      <c r="Y99" s="44"/>
    </row>
    <row r="100" spans="2:25" x14ac:dyDescent="0.35">
      <c r="B100" s="5"/>
      <c r="C100" s="5"/>
      <c r="F100" s="55"/>
      <c r="G100" s="3"/>
      <c r="H100" s="3"/>
      <c r="Y100" s="44"/>
    </row>
    <row r="101" spans="2:25" x14ac:dyDescent="0.35">
      <c r="B101" s="5"/>
      <c r="C101" s="5"/>
      <c r="F101" s="55"/>
      <c r="G101" s="3"/>
      <c r="H101" s="3"/>
      <c r="Y101" s="44"/>
    </row>
    <row r="102" spans="2:25" x14ac:dyDescent="0.35">
      <c r="B102" s="5"/>
      <c r="C102" s="5"/>
      <c r="F102" s="55"/>
      <c r="G102" s="3"/>
      <c r="H102" s="3"/>
      <c r="Y102" s="44"/>
    </row>
    <row r="103" spans="2:25" x14ac:dyDescent="0.35">
      <c r="B103" s="5"/>
      <c r="C103" s="5"/>
      <c r="F103" s="55"/>
      <c r="G103" s="3"/>
      <c r="H103" s="3"/>
      <c r="Y103" s="44"/>
    </row>
    <row r="104" spans="2:25" x14ac:dyDescent="0.35">
      <c r="B104" s="5"/>
      <c r="C104" s="5"/>
      <c r="D104" s="108"/>
      <c r="E104" s="55"/>
      <c r="F104" s="12"/>
      <c r="G104" s="12"/>
      <c r="Y104" s="44"/>
    </row>
    <row r="105" spans="2:25" x14ac:dyDescent="0.35">
      <c r="B105" s="5"/>
      <c r="C105" s="5"/>
      <c r="D105" s="108"/>
      <c r="E105" s="55"/>
      <c r="F105" s="12"/>
      <c r="G105" s="12"/>
      <c r="Y105" s="44"/>
    </row>
    <row r="106" spans="2:25" x14ac:dyDescent="0.35">
      <c r="B106" s="5"/>
      <c r="C106" s="5"/>
      <c r="D106" s="108"/>
      <c r="E106" s="55"/>
      <c r="F106" s="12"/>
      <c r="G106" s="12"/>
      <c r="Y106" s="44"/>
    </row>
  </sheetData>
  <autoFilter ref="A1:B2" xr:uid="{3F658A35-0755-4EF4-9C7A-F19DC0563F22}"/>
  <phoneticPr fontId="9" type="noConversion"/>
  <conditionalFormatting sqref="G5:G12 G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2">
      <colorScale>
        <cfvo type="min"/>
        <cfvo type="max"/>
        <color theme="9" tint="0.79998168889431442"/>
        <color theme="9" tint="-0.499984740745262"/>
      </colorScale>
    </cfRule>
  </conditionalFormatting>
  <conditionalFormatting sqref="K5:K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6C8332C-7FB4-4647-9BDB-B7DB1C5D7E70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sqref>N44</xm:sqref>
            </x14:sparkline>
            <x14:sparkline>
              <xm:sqref>P49</xm:sqref>
            </x14:sparkline>
            <x14:sparkline>
              <xm:sqref>N45</xm:sqref>
            </x14:sparkline>
            <x14:sparkline>
              <xm:sqref>P48</xm:sqref>
            </x14:sparkline>
            <x14:sparkline>
              <xm:sqref>N47</xm:sqref>
            </x14:sparkline>
            <x14:sparkline>
              <xm:sqref>Q47</xm:sqref>
            </x14:sparkline>
            <x14:sparkline>
              <xm:sqref>R47</xm:sqref>
            </x14:sparkline>
            <x14:sparkline>
              <xm:f>Solver_page!K67:K67</xm:f>
              <xm:sqref>S47</xm:sqref>
            </x14:sparkline>
            <x14:sparkline>
              <xm:f>Solver_page!L67:L67</xm:f>
              <xm:sqref>T47</xm:sqref>
            </x14:sparkline>
            <x14:sparkline>
              <xm:f>Solver_page!R47:R47</xm:f>
              <xm:sqref>N49</xm:sqref>
            </x14:sparkline>
            <x14:sparkline>
              <xm:f>Solver_page!S47:S47</xm:f>
              <xm:sqref>O49</xm:sqref>
            </x14:sparkline>
            <x14:sparkline>
              <xm:sqref>Q49</xm:sqref>
            </x14:sparkline>
            <x14:sparkline>
              <xm:sqref>R49</xm:sqref>
            </x14:sparkline>
            <x14:sparkline>
              <xm:f>Solver_page!K68:K68</xm:f>
              <xm:sqref>S49</xm:sqref>
            </x14:sparkline>
            <x14:sparkline>
              <xm:f>Solver_page!L68:L68</xm:f>
              <xm:sqref>T49</xm:sqref>
            </x14:sparkline>
          </x14:sparklines>
        </x14:sparklineGroup>
        <x14:sparklineGroup displayEmptyCellsAs="gap" xr2:uid="{CAF18CB6-F39D-F74A-8B8F-F55823FA2B5F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Solver_page!G66:G66</xm:f>
              <xm:sqref>C67</xm:sqref>
            </x14:sparkline>
            <x14:sparkline>
              <xm:f>Solver_page!H66:H66</xm:f>
              <xm:sqref>D67</xm:sqref>
            </x14:sparkline>
            <x14:sparkline>
              <xm:f>Solver_page!I66:I66</xm:f>
              <xm:sqref>E72</xm:sqref>
            </x14:sparkline>
            <x14:sparkline>
              <xm:sqref>F67</xm:sqref>
            </x14:sparkline>
            <x14:sparkline>
              <xm:sqref>G67</xm:sqref>
            </x14:sparkline>
            <x14:sparkline>
              <xm:sqref>H67</xm:sqref>
            </x14:sparkline>
            <x14:sparkline>
              <xm:f>Solver_page!G67:G67</xm:f>
              <xm:sqref>C68</xm:sqref>
            </x14:sparkline>
            <x14:sparkline>
              <xm:f>Solver_page!H67:H67</xm:f>
              <xm:sqref>D68</xm:sqref>
            </x14:sparkline>
            <x14:sparkline>
              <xm:sqref>E71</xm:sqref>
            </x14:sparkline>
            <x14:sparkline>
              <xm:sqref>F68</xm:sqref>
            </x14:sparkline>
            <x14:sparkline>
              <xm:sqref>G68</xm:sqref>
            </x14:sparkline>
            <x14:sparkline>
              <xm:sqref>H68</xm:sqref>
            </x14:sparkline>
            <x14:sparkline>
              <xm:sqref>I67</xm:sqref>
            </x14:sparkline>
            <x14:sparkline>
              <xm:f>Solver_page!G68:G68</xm:f>
              <xm:sqref>C70</xm:sqref>
            </x14:sparkline>
            <x14:sparkline>
              <xm:sqref>F70</xm:sqref>
            </x14:sparkline>
            <x14:sparkline>
              <xm:sqref>G70</xm:sqref>
            </x14:sparkline>
            <x14:sparkline>
              <xm:sqref>H70</xm:sqref>
            </x14:sparkline>
            <x14:sparkline>
              <xm:sqref>I70</xm:sqref>
            </x14:sparkline>
            <x14:sparkline>
              <xm:f>Solver_page!G70:G70</xm:f>
              <xm:sqref>C72</xm:sqref>
            </x14:sparkline>
            <x14:sparkline>
              <xm:f>Solver_page!H70:H70</xm:f>
              <xm:sqref>D72</xm:sqref>
            </x14:sparkline>
            <x14:sparkline>
              <xm:sqref>F72</xm:sqref>
            </x14:sparkline>
            <x14:sparkline>
              <xm:sqref>G72</xm:sqref>
            </x14:sparkline>
            <x14:sparkline>
              <xm:sqref>H72</xm:sqref>
            </x14:sparkline>
            <x14:sparkline>
              <xm:sqref>I72</xm:sqref>
            </x14:sparkline>
          </x14:sparklines>
        </x14:sparklineGroup>
        <x14:sparklineGroup displayEmptyCellsAs="gap" xr2:uid="{51F6F086-51B5-214F-AE0D-5638D917C636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Solver_page!G58:G58</xm:f>
              <xm:sqref>C59</xm:sqref>
            </x14:sparkline>
            <x14:sparkline>
              <xm:f>Solver_page!H58:H58</xm:f>
              <xm:sqref>D59</xm:sqref>
            </x14:sparkline>
            <x14:sparkline>
              <xm:f>Solver_page!I58:I58</xm:f>
              <xm:sqref>E64</xm:sqref>
            </x14:sparkline>
            <x14:sparkline>
              <xm:sqref>F59</xm:sqref>
            </x14:sparkline>
            <x14:sparkline>
              <xm:sqref>G59</xm:sqref>
            </x14:sparkline>
            <x14:sparkline>
              <xm:sqref>H59</xm:sqref>
            </x14:sparkline>
            <x14:sparkline>
              <xm:sqref>I59</xm:sqref>
            </x14:sparkline>
            <x14:sparkline>
              <xm:f>Solver_page!G59:G59</xm:f>
              <xm:sqref>C60</xm:sqref>
            </x14:sparkline>
            <x14:sparkline>
              <xm:f>Solver_page!H59:H59</xm:f>
              <xm:sqref>D60</xm:sqref>
            </x14:sparkline>
            <x14:sparkline>
              <xm:f>Solver_page!I59:I59</xm:f>
              <xm:sqref>E63</xm:sqref>
            </x14:sparkline>
            <x14:sparkline>
              <xm:sqref>F60</xm:sqref>
            </x14:sparkline>
            <x14:sparkline>
              <xm:sqref>G60</xm:sqref>
            </x14:sparkline>
            <x14:sparkline>
              <xm:sqref>H60</xm:sqref>
            </x14:sparkline>
            <x14:sparkline>
              <xm:sqref>I60</xm:sqref>
            </x14:sparkline>
            <x14:sparkline>
              <xm:f>Solver_page!G60:G60</xm:f>
              <xm:sqref>C62</xm:sqref>
            </x14:sparkline>
            <x14:sparkline>
              <xm:sqref>F62</xm:sqref>
            </x14:sparkline>
            <x14:sparkline>
              <xm:sqref>G62</xm:sqref>
            </x14:sparkline>
            <x14:sparkline>
              <xm:sqref>H62</xm:sqref>
            </x14:sparkline>
            <x14:sparkline>
              <xm:sqref>I62</xm:sqref>
            </x14:sparkline>
            <x14:sparkline>
              <xm:f>Solver_page!G62:G62</xm:f>
              <xm:sqref>C64</xm:sqref>
            </x14:sparkline>
            <x14:sparkline>
              <xm:f>Solver_page!H62:H62</xm:f>
              <xm:sqref>D64</xm:sqref>
            </x14:sparkline>
            <x14:sparkline>
              <xm:sqref>G64</xm:sqref>
            </x14:sparkline>
            <x14:sparkline>
              <xm:sqref>H64</xm:sqref>
            </x14:sparkline>
            <x14:sparkline>
              <xm:sqref>I64</xm:sqref>
            </x14:sparkline>
          </x14:sparklines>
        </x14:sparklineGroup>
        <x14:sparklineGroup displayEmptyCellsAs="gap" xr2:uid="{4DC52C3D-79A4-BA4A-A84F-09C2AF031EC9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Solver_page!H69:H69</xm:f>
              <xm:sqref>D62</xm:sqref>
            </x14:sparkline>
          </x14:sparklines>
        </x14:sparklineGroup>
        <x14:sparklineGroup displayEmptyCellsAs="gap" xr2:uid="{446BBA46-5E81-9D45-9102-BE6F03F78687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Solver_page!F98:F98</xm:f>
              <xm:sqref>C98</xm:sqref>
            </x14:sparkline>
            <x14:sparkline>
              <xm:sqref>C99</xm:sqref>
            </x14:sparkline>
            <x14:sparkline>
              <xm:f>Solver_page!F99:F99</xm:f>
              <xm:sqref>C100</xm:sqref>
            </x14:sparkline>
            <x14:sparkline>
              <xm:f>Solver_page!F100:F100</xm:f>
              <xm:sqref>C101</xm:sqref>
            </x14:sparkline>
            <x14:sparkline>
              <xm:f>Solver_page!F101:F101</xm:f>
              <xm:sqref>C102</xm:sqref>
            </x14:sparkline>
            <x14:sparkline>
              <xm:f>Solver_page!F102:F102</xm:f>
              <xm:sqref>C103</xm:sqref>
            </x14:sparkline>
            <x14:sparkline>
              <xm:f>Solver_page!F103:F103</xm:f>
              <xm:sqref>P42</xm:sqref>
            </x14:sparkline>
            <x14:sparkline>
              <xm:f>Solver_page!R42:R42</xm:f>
              <xm:sqref>P43</xm:sqref>
            </x14:sparkline>
            <x14:sparkline>
              <xm:f>Solver_page!R43:R43</xm:f>
              <xm:sqref>P44</xm:sqref>
            </x14:sparkline>
            <x14:sparkline>
              <xm:f>Solver_page!R44:R44</xm:f>
              <xm:sqref>P45</xm:sqref>
            </x14:sparkline>
            <x14:sparkline>
              <xm:f>Solver_page!R45:R45</xm:f>
              <xm:sqref>P46</xm:sqref>
            </x14:sparkline>
            <x14:sparkline>
              <xm:f>Solver_page!R46:R46</xm:f>
              <xm:sqref>C104</xm:sqref>
            </x14:sparkline>
            <x14:sparkline>
              <xm:f>Solver_page!E104:E104</xm:f>
              <xm:sqref>C105</xm:sqref>
            </x14:sparkline>
            <x14:sparkline>
              <xm:f>Solver_page!E105:E105</xm:f>
              <xm:sqref>C106</xm:sqref>
            </x14:sparkline>
          </x14:sparklines>
        </x14:sparklineGroup>
        <x14:sparklineGroup displayEmptyCellsAs="gap" xr2:uid="{A72D466B-286B-FD46-955D-31F975F024CD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sqref>C65</xm:sqref>
            </x14:sparkline>
          </x14:sparklines>
        </x14:sparklineGroup>
        <x14:sparklineGroup displayEmptyCellsAs="gap" xr2:uid="{74C1576F-C35E-144A-803D-FD87CE67389C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Solver_page!E21:E21</xm:f>
              <xm:sqref>C21</xm:sqref>
            </x14:sparkline>
            <x14:sparkline>
              <xm:sqref>C22</xm:sqref>
            </x14:sparkline>
            <x14:sparkline>
              <xm:f>Solver_page!E22:E22</xm:f>
              <xm:sqref>C23</xm:sqref>
            </x14:sparkline>
            <x14:sparkline>
              <xm:f>Solver_page!E23:E23</xm:f>
              <xm:sqref>C24</xm:sqref>
            </x14:sparkline>
            <x14:sparkline>
              <xm:f>Solver_page!E24:E24</xm:f>
              <xm:sqref>C25</xm:sqref>
            </x14:sparkline>
            <x14:sparkline>
              <xm:f>Solver_page!E25:E25</xm:f>
              <xm:sqref>C26</xm:sqref>
            </x14:sparkline>
            <x14:sparkline>
              <xm:f>Solver_page!E26:E26</xm:f>
              <xm:sqref>C27</xm:sqref>
            </x14:sparkline>
            <x14:sparkline>
              <xm:f>Solver_page!E27:E27</xm:f>
              <xm:sqref>C28</xm:sqref>
            </x14:sparkline>
            <x14:sparkline>
              <xm:f>Solver_page!E28:E28</xm:f>
              <xm:sqref>C29</xm:sqref>
            </x14:sparkline>
            <x14:sparkline>
              <xm:f>Solver_page!E29:E29</xm:f>
              <xm:sqref>C30</xm:sqref>
            </x14:sparkline>
            <x14:sparkline>
              <xm:f>Solver_page!E30:E30</xm:f>
              <xm:sqref>C31</xm:sqref>
            </x14:sparkline>
            <x14:sparkline>
              <xm:f>Solver_page!E31:E31</xm:f>
              <xm:sqref>C32</xm:sqref>
            </x14:sparkline>
            <x14:sparkline>
              <xm:f>Solver_page!E32:E32</xm:f>
              <xm:sqref>C33</xm:sqref>
            </x14:sparkline>
            <x14:sparkline>
              <xm:f>Solver_page!E33:E33</xm:f>
              <xm:sqref>C34</xm:sqref>
            </x14:sparkline>
            <x14:sparkline>
              <xm:f>Solver_page!E34:E34</xm:f>
              <xm:sqref>C35</xm:sqref>
            </x14:sparkline>
            <x14:sparkline>
              <xm:f>Solver_page!G36:G36</xm:f>
              <xm:sqref>C36</xm:sqref>
            </x14:sparkline>
            <x14:sparkline>
              <xm:f>Solver_page!G37:G37</xm:f>
              <xm:sqref>C37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1F26-B130-4781-8858-254155F3943D}">
  <dimension ref="O20:W49"/>
  <sheetViews>
    <sheetView topLeftCell="A3" zoomScale="70" zoomScaleNormal="70" workbookViewId="0">
      <selection activeCell="E10" sqref="E10"/>
    </sheetView>
  </sheetViews>
  <sheetFormatPr defaultRowHeight="15.5" x14ac:dyDescent="0.35"/>
  <sheetData>
    <row r="20" spans="15:23" x14ac:dyDescent="0.35">
      <c r="P20" t="s">
        <v>166</v>
      </c>
    </row>
    <row r="21" spans="15:23" x14ac:dyDescent="0.35">
      <c r="P21" t="s">
        <v>161</v>
      </c>
      <c r="Q21" t="s">
        <v>162</v>
      </c>
      <c r="R21" t="s">
        <v>164</v>
      </c>
      <c r="S21" s="5" t="s">
        <v>42</v>
      </c>
      <c r="T21" t="s">
        <v>167</v>
      </c>
      <c r="U21" t="s">
        <v>174</v>
      </c>
      <c r="V21" t="s">
        <v>165</v>
      </c>
    </row>
    <row r="22" spans="15:23" x14ac:dyDescent="0.35">
      <c r="O22">
        <v>0</v>
      </c>
      <c r="P22" s="122">
        <v>0.10824507686860295</v>
      </c>
      <c r="Q22" s="122">
        <v>0</v>
      </c>
      <c r="R22" s="123">
        <v>23193.558744077247</v>
      </c>
      <c r="S22" s="123">
        <v>0</v>
      </c>
      <c r="T22" s="124">
        <f>R22-S22</f>
        <v>23193.558744077247</v>
      </c>
      <c r="U22" s="123">
        <v>0</v>
      </c>
      <c r="V22" s="123">
        <f t="shared" ref="V22:V32" si="0">R22-S22+U22</f>
        <v>23193.558744077247</v>
      </c>
      <c r="W22" s="124">
        <f>R22-$R$22</f>
        <v>0</v>
      </c>
    </row>
    <row r="23" spans="15:23" x14ac:dyDescent="0.35">
      <c r="O23">
        <v>0.2</v>
      </c>
      <c r="P23" s="122">
        <v>0.10609716950732127</v>
      </c>
      <c r="Q23" s="122">
        <v>2.1479073612816757E-3</v>
      </c>
      <c r="R23" s="123">
        <v>24025.491094615998</v>
      </c>
      <c r="S23" s="123">
        <v>492.6822488633905</v>
      </c>
      <c r="T23" s="124">
        <f t="shared" ref="T23:T32" si="1">R23-S23</f>
        <v>23532.808845752606</v>
      </c>
      <c r="U23" s="123">
        <v>214.79073612816757</v>
      </c>
      <c r="V23" s="123">
        <f t="shared" si="0"/>
        <v>23747.599581880775</v>
      </c>
      <c r="W23" s="124">
        <f>R23-$R$22</f>
        <v>831.93235053875105</v>
      </c>
    </row>
    <row r="24" spans="15:23" x14ac:dyDescent="0.35">
      <c r="O24">
        <v>0.4</v>
      </c>
      <c r="P24" s="122">
        <v>0.10406291651236675</v>
      </c>
      <c r="Q24" s="122">
        <v>4.1821603562361975E-3</v>
      </c>
      <c r="R24" s="123">
        <v>24997.908909038724</v>
      </c>
      <c r="S24" s="123">
        <v>1173.9495782349363</v>
      </c>
      <c r="T24" s="124">
        <f t="shared" si="1"/>
        <v>23823.959330803787</v>
      </c>
      <c r="U24" s="123">
        <v>418.21603562361975</v>
      </c>
      <c r="V24" s="123">
        <f t="shared" si="0"/>
        <v>24242.175366427407</v>
      </c>
      <c r="W24" s="124">
        <f t="shared" ref="W24:W33" si="2">R24-$R$22</f>
        <v>1804.3501649614773</v>
      </c>
    </row>
    <row r="25" spans="15:23" x14ac:dyDescent="0.35">
      <c r="O25">
        <v>0.6</v>
      </c>
      <c r="P25" s="122">
        <v>0.10213566380280577</v>
      </c>
      <c r="Q25" s="122">
        <v>6.1094130657971812E-3</v>
      </c>
      <c r="R25" s="123">
        <v>26125.584326191394</v>
      </c>
      <c r="S25" s="123">
        <v>2088.47492825565</v>
      </c>
      <c r="T25" s="124">
        <f t="shared" si="1"/>
        <v>24037.109397935743</v>
      </c>
      <c r="U25" s="123">
        <v>610.94130657971812</v>
      </c>
      <c r="V25" s="123">
        <f t="shared" si="0"/>
        <v>24648.050704515463</v>
      </c>
      <c r="W25" s="124">
        <f t="shared" si="2"/>
        <v>2932.0255821141473</v>
      </c>
    </row>
    <row r="26" spans="15:23" x14ac:dyDescent="0.35">
      <c r="O26">
        <v>0.8</v>
      </c>
      <c r="P26" s="122">
        <v>0.10026711705604818</v>
      </c>
      <c r="Q26" s="122">
        <v>7.9779598125547663E-3</v>
      </c>
      <c r="R26" s="123">
        <v>27421.650358742383</v>
      </c>
      <c r="S26" s="123">
        <v>3285.6569702190459</v>
      </c>
      <c r="T26" s="124">
        <f t="shared" si="1"/>
        <v>24135.993388523337</v>
      </c>
      <c r="U26" s="123">
        <v>797.79598125547659</v>
      </c>
      <c r="V26" s="123">
        <f t="shared" si="0"/>
        <v>24933.789369778813</v>
      </c>
      <c r="W26" s="124">
        <f>R26-$R$22</f>
        <v>4228.0916146651361</v>
      </c>
    </row>
    <row r="27" spans="15:23" x14ac:dyDescent="0.35">
      <c r="O27">
        <v>1</v>
      </c>
      <c r="P27" s="122">
        <v>9.8479516696755906E-2</v>
      </c>
      <c r="Q27" s="122">
        <v>9.7655601718470431E-3</v>
      </c>
      <c r="R27" s="123">
        <v>28896.423124291439</v>
      </c>
      <c r="S27" s="123">
        <v>4818.0859260078596</v>
      </c>
      <c r="T27" s="124">
        <f t="shared" si="1"/>
        <v>24078.337198283582</v>
      </c>
      <c r="U27" s="123">
        <v>976.55601718470427</v>
      </c>
      <c r="V27" s="123">
        <f t="shared" si="0"/>
        <v>25054.893215468284</v>
      </c>
      <c r="W27" s="124">
        <f t="shared" si="2"/>
        <v>5702.8643802141924</v>
      </c>
    </row>
    <row r="28" spans="15:23" x14ac:dyDescent="0.35">
      <c r="O28">
        <v>1.2</v>
      </c>
      <c r="P28" s="122">
        <v>9.678814443305192E-2</v>
      </c>
      <c r="Q28" s="122">
        <v>1.1456932435551029E-2</v>
      </c>
      <c r="R28" s="123">
        <v>30556.159740276693</v>
      </c>
      <c r="S28" s="123">
        <v>6739.2416554924112</v>
      </c>
      <c r="T28" s="124">
        <f t="shared" si="1"/>
        <v>23816.91808478428</v>
      </c>
      <c r="U28" s="123">
        <v>1145.693243555103</v>
      </c>
      <c r="V28" s="123">
        <f t="shared" si="0"/>
        <v>24962.611328339382</v>
      </c>
      <c r="W28" s="124">
        <f t="shared" si="2"/>
        <v>7362.6009961994459</v>
      </c>
    </row>
    <row r="29" spans="15:23" x14ac:dyDescent="0.35">
      <c r="O29">
        <v>1.4</v>
      </c>
      <c r="P29" s="122">
        <v>9.5187747028403047E-2</v>
      </c>
      <c r="Q29" s="122">
        <v>1.3057329840199902E-2</v>
      </c>
      <c r="R29" s="123">
        <v>32401.907809485299</v>
      </c>
      <c r="S29" s="123">
        <v>9100.4876978315697</v>
      </c>
      <c r="T29" s="124">
        <f t="shared" si="1"/>
        <v>23301.42011165373</v>
      </c>
      <c r="U29" s="123">
        <v>1305.7329840199902</v>
      </c>
      <c r="V29" s="123">
        <f t="shared" si="0"/>
        <v>24607.153095673719</v>
      </c>
      <c r="W29" s="124">
        <f t="shared" si="2"/>
        <v>9208.3490654080524</v>
      </c>
    </row>
    <row r="30" spans="15:23" x14ac:dyDescent="0.35">
      <c r="O30">
        <v>1.6</v>
      </c>
      <c r="P30" s="122">
        <v>9.3673477326182156E-2</v>
      </c>
      <c r="Q30" s="122">
        <v>1.4571599542420793E-2</v>
      </c>
      <c r="R30" s="123">
        <v>34428.638208391152</v>
      </c>
      <c r="S30" s="123">
        <v>11947.580486505884</v>
      </c>
      <c r="T30" s="124">
        <f t="shared" si="1"/>
        <v>22481.05772188527</v>
      </c>
      <c r="U30" s="123">
        <v>1457.1599542420793</v>
      </c>
      <c r="V30" s="123">
        <f t="shared" si="0"/>
        <v>23938.217676127351</v>
      </c>
      <c r="W30" s="124">
        <f t="shared" si="2"/>
        <v>11235.079464313905</v>
      </c>
    </row>
    <row r="31" spans="15:23" x14ac:dyDescent="0.35">
      <c r="O31">
        <v>1.8</v>
      </c>
      <c r="P31" s="122">
        <v>9.2240853532921996E-2</v>
      </c>
      <c r="Q31" s="122">
        <v>1.6004223335680953E-2</v>
      </c>
      <c r="R31" s="123">
        <v>36624.853231505273</v>
      </c>
      <c r="S31" s="123">
        <v>15317.070018404334</v>
      </c>
      <c r="T31" s="124">
        <f t="shared" si="1"/>
        <v>21307.783213100938</v>
      </c>
      <c r="U31" s="123">
        <v>1600.4223335680954</v>
      </c>
      <c r="V31" s="123">
        <f t="shared" si="0"/>
        <v>22908.205546669033</v>
      </c>
      <c r="W31" s="124">
        <f t="shared" si="2"/>
        <v>13431.294487428026</v>
      </c>
    </row>
    <row r="32" spans="15:23" x14ac:dyDescent="0.35">
      <c r="O32">
        <v>2</v>
      </c>
      <c r="P32" s="122">
        <v>9.0885723479465233E-2</v>
      </c>
      <c r="Q32" s="122">
        <v>1.7359353389137716E-2</v>
      </c>
      <c r="R32" s="123">
        <v>38972.815249495914</v>
      </c>
      <c r="S32" s="123">
        <v>19233.079888827371</v>
      </c>
      <c r="T32" s="124">
        <f t="shared" si="1"/>
        <v>19739.735360668543</v>
      </c>
      <c r="U32" s="123">
        <v>1735.9353389137716</v>
      </c>
      <c r="V32" s="123">
        <f t="shared" si="0"/>
        <v>21475.670699582315</v>
      </c>
      <c r="W32" s="124">
        <f t="shared" si="2"/>
        <v>15779.256505418667</v>
      </c>
    </row>
    <row r="33" spans="15:22" x14ac:dyDescent="0.35">
      <c r="Q33" s="5"/>
      <c r="R33" s="5"/>
      <c r="S33" s="5"/>
      <c r="U33" s="5"/>
      <c r="V33" s="5"/>
    </row>
    <row r="34" spans="15:22" x14ac:dyDescent="0.35">
      <c r="Q34" s="5"/>
      <c r="R34" s="5"/>
      <c r="S34" s="5"/>
      <c r="U34" s="5"/>
      <c r="V34" s="5"/>
    </row>
    <row r="35" spans="15:22" x14ac:dyDescent="0.35">
      <c r="R35" s="124">
        <f>R26-R22-S26</f>
        <v>942.43464444609026</v>
      </c>
    </row>
    <row r="36" spans="15:22" x14ac:dyDescent="0.35">
      <c r="T36" s="124">
        <f>V27-V22</f>
        <v>1861.3344713910374</v>
      </c>
      <c r="V36" t="e">
        <f>(U22+W22)/S22</f>
        <v>#DIV/0!</v>
      </c>
    </row>
    <row r="37" spans="15:22" x14ac:dyDescent="0.35">
      <c r="Q37" s="124">
        <f>R28-R22</f>
        <v>7362.6009961994459</v>
      </c>
      <c r="V37">
        <f t="shared" ref="V37:V48" si="3">(U23+W23)/S23</f>
        <v>2.1245398816005463</v>
      </c>
    </row>
    <row r="38" spans="15:22" x14ac:dyDescent="0.35">
      <c r="S38" s="124">
        <f>V27-V22</f>
        <v>1861.3344713910374</v>
      </c>
      <c r="V38">
        <f t="shared" si="3"/>
        <v>1.8932382120932172</v>
      </c>
    </row>
    <row r="39" spans="15:22" x14ac:dyDescent="0.35">
      <c r="V39">
        <f t="shared" si="3"/>
        <v>1.6964373575952123</v>
      </c>
    </row>
    <row r="40" spans="15:22" x14ac:dyDescent="0.35">
      <c r="V40">
        <f t="shared" si="3"/>
        <v>1.5296446468620704</v>
      </c>
    </row>
    <row r="41" spans="15:22" x14ac:dyDescent="0.35">
      <c r="V41">
        <f t="shared" si="3"/>
        <v>1.3863223902553541</v>
      </c>
    </row>
    <row r="42" spans="15:22" x14ac:dyDescent="0.35">
      <c r="O42" s="5"/>
      <c r="P42" s="5"/>
      <c r="R42" s="55"/>
      <c r="S42" s="12"/>
      <c r="T42" s="12"/>
      <c r="V42">
        <f t="shared" si="3"/>
        <v>1.262500244789468</v>
      </c>
    </row>
    <row r="43" spans="15:22" x14ac:dyDescent="0.35">
      <c r="O43" s="5"/>
      <c r="P43" s="5"/>
      <c r="R43" s="55"/>
      <c r="S43" s="12"/>
      <c r="T43" s="12"/>
      <c r="V43">
        <f t="shared" si="3"/>
        <v>1.1553317139182882</v>
      </c>
    </row>
    <row r="44" spans="15:22" x14ac:dyDescent="0.35">
      <c r="O44" s="5"/>
      <c r="P44" s="5"/>
      <c r="Q44" s="108"/>
      <c r="R44" s="55"/>
      <c r="S44" s="12"/>
      <c r="T44" s="12"/>
      <c r="V44">
        <f t="shared" si="3"/>
        <v>1.0623271743505851</v>
      </c>
    </row>
    <row r="45" spans="15:22" x14ac:dyDescent="0.35">
      <c r="O45" s="5"/>
      <c r="P45" s="5"/>
      <c r="Q45" s="108"/>
      <c r="R45" s="55"/>
      <c r="S45" s="12"/>
      <c r="T45" s="12"/>
      <c r="V45">
        <f t="shared" si="3"/>
        <v>0.98137024920135862</v>
      </c>
    </row>
    <row r="46" spans="15:22" x14ac:dyDescent="0.35">
      <c r="O46" s="5"/>
      <c r="P46" s="5"/>
      <c r="Q46" s="108"/>
      <c r="R46" s="55"/>
      <c r="S46" s="12"/>
      <c r="T46" s="12"/>
      <c r="V46">
        <f t="shared" si="3"/>
        <v>0.91068055379456592</v>
      </c>
    </row>
    <row r="47" spans="15:22" x14ac:dyDescent="0.35">
      <c r="O47" s="59"/>
      <c r="Q47" s="5"/>
      <c r="R47" s="5"/>
      <c r="S47" s="5"/>
      <c r="T47" s="5"/>
      <c r="V47" t="e">
        <f>(U33+W33)/S33</f>
        <v>#DIV/0!</v>
      </c>
    </row>
    <row r="48" spans="15:22" x14ac:dyDescent="0.35">
      <c r="O48" s="59"/>
      <c r="P48" s="5"/>
      <c r="Q48" s="5"/>
      <c r="R48" s="5"/>
      <c r="S48" s="5"/>
      <c r="T48" s="5"/>
      <c r="V48" t="e">
        <f t="shared" si="3"/>
        <v>#DIV/0!</v>
      </c>
    </row>
    <row r="49" spans="15:20" x14ac:dyDescent="0.35">
      <c r="O49" s="53"/>
      <c r="P49" s="5"/>
      <c r="Q49" s="5"/>
      <c r="R49" s="5"/>
      <c r="S49" s="5"/>
      <c r="T49" s="5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87558EE-9208-4AAA-BE29-C479D1D697A3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'EXP1'!F103:F103</xm:f>
              <xm:sqref>P42</xm:sqref>
            </x14:sparkline>
            <x14:sparkline>
              <xm:f>'EXP1'!R42:R42</xm:f>
              <xm:sqref>P43</xm:sqref>
            </x14:sparkline>
            <x14:sparkline>
              <xm:f>'EXP1'!R43:R43</xm:f>
              <xm:sqref>P44</xm:sqref>
            </x14:sparkline>
            <x14:sparkline>
              <xm:f>'EXP1'!R44:R44</xm:f>
              <xm:sqref>P45</xm:sqref>
            </x14:sparkline>
            <x14:sparkline>
              <xm:f>'EXP1'!R45:R45</xm:f>
              <xm:sqref>P46</xm:sqref>
            </x14:sparkline>
          </x14:sparklines>
        </x14:sparklineGroup>
        <x14:sparklineGroup displayEmptyCellsAs="gap" xr2:uid="{F5A7EEEE-209B-440B-83F8-01CFF4872DED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sqref>P49</xm:sqref>
            </x14:sparkline>
            <x14:sparkline>
              <xm:sqref>P48</xm:sqref>
            </x14:sparkline>
            <x14:sparkline>
              <xm:sqref>Q47</xm:sqref>
            </x14:sparkline>
            <x14:sparkline>
              <xm:sqref>R47</xm:sqref>
            </x14:sparkline>
            <x14:sparkline>
              <xm:f>'EXP1'!K67:K67</xm:f>
              <xm:sqref>S47</xm:sqref>
            </x14:sparkline>
            <x14:sparkline>
              <xm:f>'EXP1'!L67:L67</xm:f>
              <xm:sqref>T47</xm:sqref>
            </x14:sparkline>
            <x14:sparkline>
              <xm:f>'EXP1'!S47:S47</xm:f>
              <xm:sqref>O49</xm:sqref>
            </x14:sparkline>
            <x14:sparkline>
              <xm:sqref>Q49</xm:sqref>
            </x14:sparkline>
            <x14:sparkline>
              <xm:sqref>R49</xm:sqref>
            </x14:sparkline>
            <x14:sparkline>
              <xm:f>'EXP1'!K68:K68</xm:f>
              <xm:sqref>S49</xm:sqref>
            </x14:sparkline>
            <x14:sparkline>
              <xm:f>'EXP1'!L68:L68</xm:f>
              <xm:sqref>T49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4F77-B009-184B-B138-7EC8D6A9B75A}">
  <dimension ref="A1:G21"/>
  <sheetViews>
    <sheetView zoomScale="85" zoomScaleNormal="85" workbookViewId="0">
      <selection activeCell="E7" sqref="E7"/>
    </sheetView>
  </sheetViews>
  <sheetFormatPr defaultColWidth="11" defaultRowHeight="15.5" x14ac:dyDescent="0.35"/>
  <cols>
    <col min="2" max="2" width="12" customWidth="1"/>
    <col min="3" max="3" width="28.5" customWidth="1"/>
    <col min="4" max="4" width="24" customWidth="1"/>
    <col min="5" max="5" width="26.83203125" customWidth="1"/>
    <col min="6" max="6" width="58.08203125" customWidth="1"/>
    <col min="7" max="7" width="12.5" bestFit="1" customWidth="1"/>
  </cols>
  <sheetData>
    <row r="1" spans="1:7" x14ac:dyDescent="0.35">
      <c r="A1" s="2"/>
      <c r="B1" s="2" t="s">
        <v>168</v>
      </c>
      <c r="C1" s="2" t="s">
        <v>159</v>
      </c>
      <c r="D1" s="2" t="s">
        <v>169</v>
      </c>
      <c r="E1" s="2" t="s">
        <v>170</v>
      </c>
      <c r="F1" s="2" t="s">
        <v>163</v>
      </c>
      <c r="G1" s="2" t="s">
        <v>165</v>
      </c>
    </row>
    <row r="2" spans="1:7" x14ac:dyDescent="0.35">
      <c r="A2" s="2" t="s">
        <v>66</v>
      </c>
      <c r="B2" s="2">
        <v>0</v>
      </c>
      <c r="C2" s="114">
        <v>0.58595646367241117</v>
      </c>
      <c r="D2" s="111">
        <v>7.7590091529843849E-2</v>
      </c>
      <c r="E2" s="23">
        <v>3.06549853387591E-2</v>
      </c>
      <c r="F2" s="113">
        <v>0</v>
      </c>
      <c r="G2" s="23">
        <v>32292.968901027791</v>
      </c>
    </row>
    <row r="3" spans="1:7" x14ac:dyDescent="0.35">
      <c r="A3" s="2" t="s">
        <v>67</v>
      </c>
      <c r="B3" s="2">
        <v>1</v>
      </c>
      <c r="C3" s="114">
        <v>0.58463723524115485</v>
      </c>
      <c r="D3" s="111">
        <v>6.5995541507843175E-2</v>
      </c>
      <c r="E3" s="125">
        <v>4.2249535360759774E-2</v>
      </c>
      <c r="F3" s="126">
        <v>4224.9535360759774</v>
      </c>
      <c r="G3" s="125">
        <v>36306.731473685373</v>
      </c>
    </row>
    <row r="4" spans="1:7" x14ac:dyDescent="0.35">
      <c r="A4" s="2" t="s">
        <v>69</v>
      </c>
      <c r="B4" s="2">
        <v>2</v>
      </c>
      <c r="C4" s="114">
        <v>0.58407883004199679</v>
      </c>
      <c r="D4" s="111">
        <v>6.4553162447773232E-2</v>
      </c>
      <c r="E4" s="23">
        <v>4.3691914420829717E-2</v>
      </c>
      <c r="F4" s="113">
        <v>8738.3828841659433</v>
      </c>
      <c r="G4" s="23">
        <v>40532.319701762266</v>
      </c>
    </row>
    <row r="5" spans="1:7" x14ac:dyDescent="0.35">
      <c r="A5" s="2" t="s">
        <v>70</v>
      </c>
      <c r="B5" s="2">
        <v>3</v>
      </c>
      <c r="C5" s="114">
        <v>0.58520496323519366</v>
      </c>
      <c r="D5" s="111">
        <v>6.2862498854613508E-2</v>
      </c>
      <c r="E5" s="23">
        <v>4.5382578013989441E-2</v>
      </c>
      <c r="F5" s="113">
        <v>13614.773404196832</v>
      </c>
      <c r="G5" s="23">
        <v>45112.903922372461</v>
      </c>
    </row>
    <row r="6" spans="1:7" x14ac:dyDescent="0.35">
      <c r="A6" s="2" t="s">
        <v>71</v>
      </c>
      <c r="B6" s="2">
        <v>4</v>
      </c>
      <c r="C6" s="114">
        <v>0.58553725132230372</v>
      </c>
      <c r="D6" s="111">
        <v>6.2318476350243304E-2</v>
      </c>
      <c r="E6" s="23">
        <v>4.5926600518359645E-2</v>
      </c>
      <c r="F6" s="113">
        <v>18370.640207343858</v>
      </c>
      <c r="G6" s="23">
        <v>49514.517188929633</v>
      </c>
    </row>
    <row r="7" spans="1:7" x14ac:dyDescent="0.35">
      <c r="A7" s="2" t="s">
        <v>72</v>
      </c>
      <c r="B7" s="2">
        <v>5</v>
      </c>
      <c r="C7" s="114">
        <v>0.58760016933721682</v>
      </c>
      <c r="D7" s="111">
        <v>6.1112146175227852E-2</v>
      </c>
      <c r="E7" s="23">
        <v>4.7132930693375097E-2</v>
      </c>
      <c r="F7" s="113">
        <v>23566.46534668755</v>
      </c>
      <c r="G7" s="23">
        <v>54404.905587915782</v>
      </c>
    </row>
    <row r="8" spans="1:7" x14ac:dyDescent="0.35">
      <c r="A8" s="2" t="s">
        <v>73</v>
      </c>
      <c r="B8" s="2">
        <v>6</v>
      </c>
      <c r="C8" s="114">
        <v>0.58736981091968121</v>
      </c>
      <c r="D8" s="111">
        <v>6.0599130246835775E-2</v>
      </c>
      <c r="E8" s="23">
        <v>4.7645946621767174E-2</v>
      </c>
      <c r="F8" s="113">
        <v>28587.567973060304</v>
      </c>
      <c r="G8" s="23">
        <v>59125.619297849567</v>
      </c>
    </row>
    <row r="9" spans="1:7" x14ac:dyDescent="0.35">
      <c r="A9" s="2" t="s">
        <v>74</v>
      </c>
      <c r="B9" s="2">
        <v>7</v>
      </c>
      <c r="C9" s="114">
        <v>0.58788615730245797</v>
      </c>
      <c r="D9" s="111">
        <v>6.0090121955054289E-2</v>
      </c>
      <c r="E9" s="23">
        <v>4.815495491354866E-2</v>
      </c>
      <c r="F9" s="113">
        <v>33708.468439484059</v>
      </c>
      <c r="G9" s="23">
        <v>63917.54329772458</v>
      </c>
    </row>
    <row r="10" spans="1:7" x14ac:dyDescent="0.35">
      <c r="A10" s="2" t="s">
        <v>75</v>
      </c>
      <c r="B10" s="2">
        <v>8</v>
      </c>
      <c r="C10" s="115">
        <v>0.58829909624581711</v>
      </c>
      <c r="D10" s="8">
        <v>5.9629433370255842E-2</v>
      </c>
      <c r="E10" s="2">
        <v>4.8615643498347107E-2</v>
      </c>
      <c r="F10" s="117">
        <v>38892.514798677686</v>
      </c>
      <c r="G10" s="2">
        <v>68755.283615276276</v>
      </c>
    </row>
    <row r="11" spans="1:7" x14ac:dyDescent="0.35">
      <c r="A11" s="2" t="s">
        <v>76</v>
      </c>
      <c r="B11" s="2">
        <v>9</v>
      </c>
      <c r="C11" s="114">
        <v>0.58845773017951086</v>
      </c>
      <c r="D11" s="111">
        <v>5.9626474860218097E-2</v>
      </c>
      <c r="E11" s="23">
        <v>4.8618602008384852E-2</v>
      </c>
      <c r="F11" s="113">
        <v>43756.741807546365</v>
      </c>
      <c r="G11" s="23">
        <v>73234.070073657276</v>
      </c>
    </row>
    <row r="12" spans="1:7" x14ac:dyDescent="0.35">
      <c r="A12" s="2" t="s">
        <v>77</v>
      </c>
      <c r="B12" s="2">
        <v>10</v>
      </c>
      <c r="C12" s="114">
        <v>0.58893573109862463</v>
      </c>
      <c r="D12" s="111">
        <v>5.9211781834399527E-2</v>
      </c>
      <c r="E12" s="23">
        <v>4.9033295034203422E-2</v>
      </c>
      <c r="F12" s="113">
        <v>49033.295034203424</v>
      </c>
      <c r="G12" s="23">
        <v>78118.365304734747</v>
      </c>
    </row>
    <row r="13" spans="1:7" x14ac:dyDescent="0.35">
      <c r="F13" s="118"/>
    </row>
    <row r="14" spans="1:7" x14ac:dyDescent="0.35">
      <c r="F14" s="118"/>
    </row>
    <row r="15" spans="1:7" x14ac:dyDescent="0.35">
      <c r="F15" s="118"/>
    </row>
    <row r="16" spans="1:7" x14ac:dyDescent="0.35">
      <c r="B16" s="5"/>
      <c r="C16" s="5"/>
      <c r="D16" s="121"/>
      <c r="E16" s="12"/>
      <c r="F16" s="118"/>
    </row>
    <row r="17" spans="2:6" x14ac:dyDescent="0.35">
      <c r="B17" s="5"/>
      <c r="C17" s="5"/>
      <c r="D17" s="121"/>
      <c r="E17" s="12"/>
      <c r="F17" s="118"/>
    </row>
    <row r="18" spans="2:6" x14ac:dyDescent="0.35">
      <c r="B18" s="5"/>
      <c r="C18" s="5"/>
      <c r="D18" s="121"/>
      <c r="E18" s="118"/>
      <c r="F18" s="118"/>
    </row>
    <row r="19" spans="2:6" x14ac:dyDescent="0.35">
      <c r="B19" s="5"/>
      <c r="C19" s="5"/>
      <c r="D19" s="108"/>
      <c r="E19" s="12"/>
      <c r="F19" s="12"/>
    </row>
    <row r="20" spans="2:6" x14ac:dyDescent="0.35">
      <c r="B20" s="5"/>
      <c r="C20" s="5"/>
      <c r="D20" s="108"/>
      <c r="E20" s="12"/>
      <c r="F20" s="53"/>
    </row>
    <row r="21" spans="2:6" x14ac:dyDescent="0.35">
      <c r="B21" s="5"/>
      <c r="C21" s="5"/>
      <c r="D21" s="108"/>
      <c r="E21" s="5"/>
      <c r="F21" s="5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30EBA62-71D2-AD44-8298-6CCF47F01BB4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'EXP2'!D2:D2</xm:f>
              <xm:sqref>B2</xm:sqref>
            </x14:sparkline>
            <x14:sparkline>
              <xm:sqref>B3</xm:sqref>
            </x14:sparkline>
            <x14:sparkline>
              <xm:f>'EXP2'!D12:D12</xm:f>
              <xm:sqref>C16</xm:sqref>
            </x14:sparkline>
            <x14:sparkline>
              <xm:f>'EXP2'!E16:E16</xm:f>
              <xm:sqref>C17</xm:sqref>
            </x14:sparkline>
            <x14:sparkline>
              <xm:f>'EXP2'!E17:E17</xm:f>
              <xm:sqref>C18</xm:sqref>
            </x14:sparkline>
            <x14:sparkline>
              <xm:f>'EXP2'!E18:E18</xm:f>
              <xm:sqref>C19</xm:sqref>
            </x14:sparkline>
            <x14:sparkline>
              <xm:f>'EXP2'!G20:G20</xm:f>
              <xm:sqref>C20</xm:sqref>
            </x14:sparkline>
            <x14:sparkline>
              <xm:f>'EXP2'!G21:G21</xm:f>
              <xm:sqref>C21</xm:sqref>
            </x14:sparkline>
            <x14:sparkline>
              <xm:f>'EXP2'!D4:D4</xm:f>
              <xm:sqref>B4</xm:sqref>
            </x14:sparkline>
            <x14:sparkline>
              <xm:sqref>B5</xm:sqref>
            </x14:sparkline>
            <x14:sparkline>
              <xm:f>'EXP2'!D6:D6</xm:f>
              <xm:sqref>B6</xm:sqref>
            </x14:sparkline>
            <x14:sparkline>
              <xm:sqref>B7</xm:sqref>
            </x14:sparkline>
            <x14:sparkline>
              <xm:f>'EXP2'!D8:D8</xm:f>
              <xm:sqref>B8</xm:sqref>
            </x14:sparkline>
            <x14:sparkline>
              <xm:sqref>B9</xm:sqref>
            </x14:sparkline>
            <x14:sparkline>
              <xm:f>'EXP2'!D10:D10</xm:f>
              <xm:sqref>B10</xm:sqref>
            </x14:sparkline>
            <x14:sparkline>
              <xm:sqref>B11</xm:sqref>
            </x14:sparkline>
            <x14:sparkline>
              <xm:f>'EXP2'!D12:D12</xm:f>
              <xm:sqref>B12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98AC-EBEB-475B-82E2-5D2F9B09B043}">
  <dimension ref="A3:G8"/>
  <sheetViews>
    <sheetView workbookViewId="0">
      <selection activeCell="D25" sqref="D25"/>
    </sheetView>
  </sheetViews>
  <sheetFormatPr defaultRowHeight="15.5" x14ac:dyDescent="0.35"/>
  <cols>
    <col min="1" max="1" width="11.83203125" bestFit="1" customWidth="1"/>
    <col min="2" max="2" width="10" bestFit="1" customWidth="1"/>
    <col min="3" max="3" width="16.33203125" bestFit="1" customWidth="1"/>
    <col min="4" max="4" width="18.75" bestFit="1" customWidth="1"/>
    <col min="5" max="5" width="24.5" bestFit="1" customWidth="1"/>
    <col min="6" max="6" width="22.25" bestFit="1" customWidth="1"/>
  </cols>
  <sheetData>
    <row r="3" spans="1:7" x14ac:dyDescent="0.35">
      <c r="A3" t="s">
        <v>173</v>
      </c>
      <c r="B3" t="s">
        <v>171</v>
      </c>
      <c r="C3" s="39" t="s">
        <v>169</v>
      </c>
      <c r="D3" s="39" t="s">
        <v>62</v>
      </c>
      <c r="E3" s="39" t="s">
        <v>63</v>
      </c>
      <c r="F3" s="39" t="s">
        <v>158</v>
      </c>
      <c r="G3" s="39" t="s">
        <v>172</v>
      </c>
    </row>
    <row r="4" spans="1:7" x14ac:dyDescent="0.35">
      <c r="A4" s="5">
        <v>0.10824507686860295</v>
      </c>
      <c r="B4" s="129">
        <v>1</v>
      </c>
      <c r="C4" s="127">
        <v>6.5970722173338908E-2</v>
      </c>
      <c r="D4" s="54">
        <v>4.2274354695264041E-2</v>
      </c>
      <c r="E4" s="128">
        <v>4227.4354695264037</v>
      </c>
      <c r="F4" s="128">
        <v>36308.87632367132</v>
      </c>
      <c r="G4" s="5" t="b">
        <f>IF(A4&gt;=C4,TRUE,FALSE)</f>
        <v>1</v>
      </c>
    </row>
    <row r="5" spans="1:7" x14ac:dyDescent="0.35">
      <c r="A5" s="5">
        <v>9.7420569181742661E-2</v>
      </c>
      <c r="B5" s="129">
        <v>0.9</v>
      </c>
      <c r="C5" s="127">
        <v>6.5970685722451516E-2</v>
      </c>
      <c r="D5" s="54">
        <v>3.1449883459291145E-2</v>
      </c>
      <c r="E5" s="128">
        <v>3144.9883459291145</v>
      </c>
      <c r="F5" s="128">
        <v>35226.426515390645</v>
      </c>
      <c r="G5" s="5" t="b">
        <f>IF(A5&gt;=C5,TRUE,FALSE)</f>
        <v>1</v>
      </c>
    </row>
    <row r="6" spans="1:7" x14ac:dyDescent="0.35">
      <c r="A6" s="5">
        <v>8.6596061494882359E-2</v>
      </c>
      <c r="B6" s="129">
        <v>0.8</v>
      </c>
      <c r="C6" s="5">
        <v>6.5970712375432922E-2</v>
      </c>
      <c r="D6" s="5">
        <v>2.0625349119449438E-2</v>
      </c>
      <c r="E6" s="5">
        <v>2062.5349119449438</v>
      </c>
      <c r="F6" s="5">
        <v>34143.975246072026</v>
      </c>
      <c r="G6" s="5" t="b">
        <f>IF(A6&gt;=C6,TRUE,FALSE)</f>
        <v>1</v>
      </c>
    </row>
    <row r="7" spans="1:7" x14ac:dyDescent="0.35">
      <c r="A7" s="5">
        <v>7.5771553808022057E-2</v>
      </c>
      <c r="B7" s="129">
        <v>0.7</v>
      </c>
      <c r="C7" s="5">
        <v>6.5951229732272576E-2</v>
      </c>
      <c r="D7" s="5">
        <v>9.8203240757494814E-3</v>
      </c>
      <c r="E7" s="5">
        <v>982.03240757494814</v>
      </c>
      <c r="F7" s="5">
        <v>33064.586982351815</v>
      </c>
      <c r="G7" s="5" t="b">
        <f>IF(A7&gt;=C7,TRUE,FALSE)</f>
        <v>1</v>
      </c>
    </row>
    <row r="8" spans="1:7" x14ac:dyDescent="0.35">
      <c r="A8" s="5">
        <v>6.4947046121161769E-2</v>
      </c>
      <c r="B8" s="129">
        <v>0.6</v>
      </c>
      <c r="C8" s="5">
        <v>6.5970715038433339E-2</v>
      </c>
      <c r="D8" s="5">
        <v>-1.0236689172715696E-3</v>
      </c>
      <c r="E8" s="5">
        <v>-102.36689172715697</v>
      </c>
      <c r="F8" s="5">
        <v>31979.073407560732</v>
      </c>
      <c r="G8" s="5" t="b">
        <f>IF(A8&gt;=C8,TRUE,FALSE)</f>
        <v>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02B385B7B02A4D8DEE5CD63D2C8402" ma:contentTypeVersion="13" ma:contentTypeDescription="Create a new document." ma:contentTypeScope="" ma:versionID="ba31455066adeee710b7fe4b6867a73d">
  <xsd:schema xmlns:xsd="http://www.w3.org/2001/XMLSchema" xmlns:xs="http://www.w3.org/2001/XMLSchema" xmlns:p="http://schemas.microsoft.com/office/2006/metadata/properties" xmlns:ns2="f161e893-8e5d-4d70-8bfd-88090e1d80ec" xmlns:ns3="9e1cb5d2-e640-41f5-8580-247213d8ed85" targetNamespace="http://schemas.microsoft.com/office/2006/metadata/properties" ma:root="true" ma:fieldsID="1ce41cb8d14cf3dbc507d75a73ffe69e" ns2:_="" ns3:_="">
    <xsd:import namespace="f161e893-8e5d-4d70-8bfd-88090e1d80ec"/>
    <xsd:import namespace="9e1cb5d2-e640-41f5-8580-247213d8ed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1e893-8e5d-4d70-8bfd-88090e1d80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6920d90-f6ba-415e-93f7-6ec85b8d1054}" ma:internalName="TaxCatchAll" ma:showField="CatchAllData" ma:web="f161e893-8e5d-4d70-8bfd-88090e1d8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cb5d2-e640-41f5-8580-247213d8e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febfc9b-23e9-475f-892e-1eca44aac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AD3965-02DA-47BE-B53E-27A9BC8BEC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F6F4F-C7D3-43BE-8FEF-1E515692CD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61e893-8e5d-4d70-8bfd-88090e1d80ec"/>
    <ds:schemaRef ds:uri="9e1cb5d2-e640-41f5-8580-247213d8e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Transportation_info</vt:lpstr>
      <vt:lpstr>Accessbility_Revenue_Cal</vt:lpstr>
      <vt:lpstr>Solver_page</vt:lpstr>
      <vt:lpstr>EXP1</vt:lpstr>
      <vt:lpstr>EXP2</vt:lpstr>
      <vt:lpstr>EXP3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Shang</dc:creator>
  <cp:lastModifiedBy>Xin Wu</cp:lastModifiedBy>
  <dcterms:created xsi:type="dcterms:W3CDTF">2024-03-18T12:23:22Z</dcterms:created>
  <dcterms:modified xsi:type="dcterms:W3CDTF">2025-04-01T21:28:10Z</dcterms:modified>
</cp:coreProperties>
</file>