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emf" ContentType="image/x-emf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ustomProperty1.bin" ContentType="application/vnd.openxmlformats-officedocument.spreadsheetml.customProperty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85" windowWidth="18795" windowHeight="9210" tabRatio="707" activeTab="4"/>
  </bookViews>
  <sheets>
    <sheet name="1.model_summary" sheetId="2" r:id="rId1"/>
    <sheet name="2.trip_production" sheetId="1" r:id="rId2"/>
    <sheet name="3.trip_distribution_mode_choice" sheetId="3" r:id="rId3"/>
    <sheet name="4.UE-traffic assignment" sheetId="7" r:id="rId4"/>
    <sheet name="5.References" sheetId="6" r:id="rId5"/>
    <sheet name="6.Sampling process illustration" sheetId="9" r:id="rId6"/>
    <sheet name="7.Trip_dist_w_hist_demand" sheetId="10" r:id="rId7"/>
    <sheet name="8.Mode choice model calibration" sheetId="8" r:id="rId8"/>
  </sheets>
  <definedNames>
    <definedName name="solver_adj" localSheetId="3" hidden="1">'4.UE-traffic assignment'!$Q$6:$R$6,'4.UE-traffic assignment'!$Z$6:$AA$6,'4.UE-traffic assignment'!$AI$6</definedName>
    <definedName name="solver_adj" localSheetId="6" hidden="1">'7.Trip_dist_w_hist_demand'!$I$10:$L$11</definedName>
    <definedName name="solver_adj" localSheetId="7" hidden="1">'8.Mode choice model calibration'!$D$27</definedName>
    <definedName name="solver_cvg" localSheetId="3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6" hidden="1">1</definedName>
    <definedName name="solver_drv" localSheetId="7" hidden="1">1</definedName>
    <definedName name="solver_est" localSheetId="3" hidden="1">1</definedName>
    <definedName name="solver_est" localSheetId="6" hidden="1">1</definedName>
    <definedName name="solver_est" localSheetId="7" hidden="1">1</definedName>
    <definedName name="solver_itr" localSheetId="3" hidden="1">3000</definedName>
    <definedName name="solver_itr" localSheetId="6" hidden="1">100</definedName>
    <definedName name="solver_itr" localSheetId="7" hidden="1">100</definedName>
    <definedName name="solver_lhs1" localSheetId="3" hidden="1">'4.UE-traffic assignment'!$S$7</definedName>
    <definedName name="solver_lhs2" localSheetId="3" hidden="1">'4.UE-traffic assignment'!$AB$7</definedName>
    <definedName name="solver_lhs3" localSheetId="3" hidden="1">'4.UE-traffic assignment'!$AJ$7</definedName>
    <definedName name="solver_lin" localSheetId="3" hidden="1">2</definedName>
    <definedName name="solver_lin" localSheetId="6" hidden="1">2</definedName>
    <definedName name="solver_lin" localSheetId="7" hidden="1">2</definedName>
    <definedName name="solver_neg" localSheetId="3" hidden="1">1</definedName>
    <definedName name="solver_neg" localSheetId="6" hidden="1">1</definedName>
    <definedName name="solver_neg" localSheetId="7" hidden="1">2</definedName>
    <definedName name="solver_num" localSheetId="3" hidden="1">3</definedName>
    <definedName name="solver_num" localSheetId="6" hidden="1">0</definedName>
    <definedName name="solver_num" localSheetId="7" hidden="1">0</definedName>
    <definedName name="solver_nwt" localSheetId="3" hidden="1">1</definedName>
    <definedName name="solver_nwt" localSheetId="6" hidden="1">1</definedName>
    <definedName name="solver_nwt" localSheetId="7" hidden="1">1</definedName>
    <definedName name="solver_opt" localSheetId="3" hidden="1">'4.UE-traffic assignment'!$H$8</definedName>
    <definedName name="solver_opt" localSheetId="6" hidden="1">'7.Trip_dist_w_hist_demand'!$I$23</definedName>
    <definedName name="solver_opt" localSheetId="7" hidden="1">'8.Mode choice model calibration'!$G$27</definedName>
    <definedName name="solver_pre" localSheetId="3" hidden="1">0.000001</definedName>
    <definedName name="solver_pre" localSheetId="6" hidden="1">0.000001</definedName>
    <definedName name="solver_pre" localSheetId="7" hidden="1">0.000001</definedName>
    <definedName name="solver_rel1" localSheetId="3" hidden="1">3</definedName>
    <definedName name="solver_rel2" localSheetId="3" hidden="1">3</definedName>
    <definedName name="solver_rel3" localSheetId="3" hidden="1">3</definedName>
    <definedName name="solver_rhs1" localSheetId="3" hidden="1">0</definedName>
    <definedName name="solver_rhs2" localSheetId="3" hidden="1">0</definedName>
    <definedName name="solver_rhs3" localSheetId="3" hidden="1">0</definedName>
    <definedName name="solver_scl" localSheetId="3" hidden="1">2</definedName>
    <definedName name="solver_scl" localSheetId="6" hidden="1">2</definedName>
    <definedName name="solver_scl" localSheetId="7" hidden="1">2</definedName>
    <definedName name="solver_sho" localSheetId="3" hidden="1">2</definedName>
    <definedName name="solver_sho" localSheetId="6" hidden="1">2</definedName>
    <definedName name="solver_sho" localSheetId="7" hidden="1">2</definedName>
    <definedName name="solver_tim" localSheetId="3" hidden="1">100</definedName>
    <definedName name="solver_tim" localSheetId="6" hidden="1">100</definedName>
    <definedName name="solver_tim" localSheetId="7" hidden="1">100</definedName>
    <definedName name="solver_tol" localSheetId="3" hidden="1">0.01</definedName>
    <definedName name="solver_tol" localSheetId="6" hidden="1">0.05</definedName>
    <definedName name="solver_tol" localSheetId="7" hidden="1">0.05</definedName>
    <definedName name="solver_typ" localSheetId="3" hidden="1">2</definedName>
    <definedName name="solver_typ" localSheetId="6" hidden="1">2</definedName>
    <definedName name="solver_typ" localSheetId="7" hidden="1">1</definedName>
    <definedName name="solver_val" localSheetId="3" hidden="1">0</definedName>
    <definedName name="solver_val" localSheetId="6" hidden="1">0</definedName>
    <definedName name="solver_val" localSheetId="7" hidden="1">0</definedName>
  </definedNames>
  <calcPr calcId="125725"/>
</workbook>
</file>

<file path=xl/calcChain.xml><?xml version="1.0" encoding="utf-8"?>
<calcChain xmlns="http://schemas.openxmlformats.org/spreadsheetml/2006/main">
  <c r="C11" i="10"/>
  <c r="AC4" i="1"/>
  <c r="X7"/>
  <c r="X6"/>
  <c r="X5"/>
  <c r="X4"/>
  <c r="N5"/>
  <c r="N6"/>
  <c r="N7"/>
  <c r="N4"/>
  <c r="BD6" i="3"/>
  <c r="BD7"/>
  <c r="BD8"/>
  <c r="BD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"/>
  <c r="Q99" i="2"/>
  <c r="Q100"/>
  <c r="Q101"/>
  <c r="Q102"/>
  <c r="Q103"/>
  <c r="Q104"/>
  <c r="Q98"/>
  <c r="P99"/>
  <c r="P100"/>
  <c r="P101"/>
  <c r="P102"/>
  <c r="P103"/>
  <c r="P104"/>
  <c r="P98"/>
  <c r="O99"/>
  <c r="O100"/>
  <c r="O101"/>
  <c r="O102"/>
  <c r="O103"/>
  <c r="O104"/>
  <c r="O98"/>
  <c r="N39"/>
  <c r="M39"/>
  <c r="L39"/>
  <c r="K39"/>
  <c r="O38"/>
  <c r="O37"/>
  <c r="O36"/>
  <c r="O35"/>
  <c r="G53"/>
  <c r="G52"/>
  <c r="G51"/>
  <c r="G50"/>
  <c r="G49"/>
  <c r="G48"/>
  <c r="G47"/>
  <c r="G46"/>
  <c r="G45"/>
  <c r="O39" l="1"/>
  <c r="T5" i="1" l="1"/>
  <c r="T6"/>
  <c r="T7"/>
  <c r="T4"/>
  <c r="G3" i="10"/>
  <c r="G4"/>
  <c r="G5"/>
  <c r="G6"/>
  <c r="C7"/>
  <c r="D7"/>
  <c r="E7"/>
  <c r="F7"/>
  <c r="C10"/>
  <c r="C17" s="1"/>
  <c r="D10"/>
  <c r="E10"/>
  <c r="E17" s="1"/>
  <c r="F10"/>
  <c r="F17" s="1"/>
  <c r="D11"/>
  <c r="D18" s="1"/>
  <c r="E11"/>
  <c r="E18" s="1"/>
  <c r="F11"/>
  <c r="F18" s="1"/>
  <c r="C12"/>
  <c r="C19" s="1"/>
  <c r="D12"/>
  <c r="D19" s="1"/>
  <c r="E12"/>
  <c r="E19" s="1"/>
  <c r="F12"/>
  <c r="F19" s="1"/>
  <c r="C13"/>
  <c r="C20" s="1"/>
  <c r="D13"/>
  <c r="D20" s="1"/>
  <c r="E13"/>
  <c r="E20" s="1"/>
  <c r="F13"/>
  <c r="F20" s="1"/>
  <c r="D17"/>
  <c r="C18"/>
  <c r="H21"/>
  <c r="F21" l="1"/>
  <c r="F23" s="1"/>
  <c r="E21"/>
  <c r="E23" s="1"/>
  <c r="C21"/>
  <c r="C23" s="1"/>
  <c r="D21"/>
  <c r="D23" s="1"/>
  <c r="G20"/>
  <c r="I20" s="1"/>
  <c r="G19"/>
  <c r="I19" s="1"/>
  <c r="G18"/>
  <c r="I18" s="1"/>
  <c r="G17"/>
  <c r="I17" s="1"/>
  <c r="I23" l="1"/>
  <c r="G21"/>
  <c r="E3" i="9"/>
  <c r="F3"/>
  <c r="G3"/>
  <c r="H3"/>
  <c r="I3"/>
  <c r="J3"/>
  <c r="K3"/>
  <c r="L3"/>
  <c r="M3"/>
  <c r="N3"/>
  <c r="O3"/>
  <c r="P3"/>
  <c r="Q3"/>
  <c r="R3"/>
  <c r="S3"/>
  <c r="T3"/>
  <c r="U3"/>
  <c r="V3"/>
  <c r="W3"/>
  <c r="X3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E102"/>
  <c r="F102"/>
  <c r="G102"/>
  <c r="H102"/>
  <c r="I102"/>
  <c r="J102"/>
  <c r="K102"/>
  <c r="K104" s="1"/>
  <c r="K105" s="1"/>
  <c r="L102"/>
  <c r="M102"/>
  <c r="M104" s="1"/>
  <c r="M105" s="1"/>
  <c r="N102"/>
  <c r="O102"/>
  <c r="P102"/>
  <c r="Q102"/>
  <c r="R102"/>
  <c r="S102"/>
  <c r="T102"/>
  <c r="U102"/>
  <c r="V102"/>
  <c r="W102"/>
  <c r="X102"/>
  <c r="B104"/>
  <c r="F104"/>
  <c r="N104"/>
  <c r="O104"/>
  <c r="P104"/>
  <c r="Q104"/>
  <c r="R104"/>
  <c r="R105" s="1"/>
  <c r="S104"/>
  <c r="S105" s="1"/>
  <c r="T104"/>
  <c r="T105" s="1"/>
  <c r="U104"/>
  <c r="U105" s="1"/>
  <c r="V104"/>
  <c r="V105" s="1"/>
  <c r="W104"/>
  <c r="W105" s="1"/>
  <c r="X104"/>
  <c r="X105" s="1"/>
  <c r="B105"/>
  <c r="F105"/>
  <c r="N105"/>
  <c r="O105"/>
  <c r="P105"/>
  <c r="Q105"/>
  <c r="J104" l="1"/>
  <c r="J105" s="1"/>
  <c r="L104"/>
  <c r="L105" s="1"/>
  <c r="H104"/>
  <c r="H105" s="1"/>
  <c r="I104"/>
  <c r="I105" s="1"/>
  <c r="G104"/>
  <c r="G105" s="1"/>
  <c r="E113" s="1"/>
  <c r="E104"/>
  <c r="E105" s="1"/>
  <c r="E111"/>
  <c r="E119"/>
  <c r="E127"/>
  <c r="E110"/>
  <c r="E114"/>
  <c r="E118"/>
  <c r="E124"/>
  <c r="E128"/>
  <c r="J40" i="8"/>
  <c r="I40"/>
  <c r="J39"/>
  <c r="I39"/>
  <c r="J38"/>
  <c r="I38"/>
  <c r="J23"/>
  <c r="I23"/>
  <c r="J22"/>
  <c r="I22"/>
  <c r="J21"/>
  <c r="I21"/>
  <c r="M38" i="6"/>
  <c r="M36"/>
  <c r="M40"/>
  <c r="L37"/>
  <c r="AI4" i="3"/>
  <c r="AJ4" s="1"/>
  <c r="AI5"/>
  <c r="AJ5" s="1"/>
  <c r="AI6"/>
  <c r="AJ6" s="1"/>
  <c r="AI7"/>
  <c r="AJ7" s="1"/>
  <c r="AI8"/>
  <c r="AJ8" s="1"/>
  <c r="AI9"/>
  <c r="AJ9" s="1"/>
  <c r="AI10"/>
  <c r="AJ10" s="1"/>
  <c r="AI11"/>
  <c r="AJ11" s="1"/>
  <c r="AI12"/>
  <c r="AJ12" s="1"/>
  <c r="AI13"/>
  <c r="AJ13" s="1"/>
  <c r="AI14"/>
  <c r="AJ14" s="1"/>
  <c r="AI15"/>
  <c r="AJ15" s="1"/>
  <c r="AI16"/>
  <c r="AJ16" s="1"/>
  <c r="AI17"/>
  <c r="AJ17" s="1"/>
  <c r="AI18"/>
  <c r="AJ18" s="1"/>
  <c r="AI19"/>
  <c r="AJ19" s="1"/>
  <c r="AI20"/>
  <c r="AJ20" s="1"/>
  <c r="AI21"/>
  <c r="AJ21" s="1"/>
  <c r="AI22"/>
  <c r="AJ22" s="1"/>
  <c r="AI23"/>
  <c r="AJ23" s="1"/>
  <c r="AI24"/>
  <c r="AJ24" s="1"/>
  <c r="AI25"/>
  <c r="AJ25" s="1"/>
  <c r="AI26"/>
  <c r="AJ26" s="1"/>
  <c r="AI27"/>
  <c r="AJ27" s="1"/>
  <c r="AI28"/>
  <c r="AJ28" s="1"/>
  <c r="AI29"/>
  <c r="AJ29" s="1"/>
  <c r="AI30"/>
  <c r="AJ30" s="1"/>
  <c r="AI31"/>
  <c r="AJ31" s="1"/>
  <c r="AI32"/>
  <c r="AJ32" s="1"/>
  <c r="AI33"/>
  <c r="AJ33" s="1"/>
  <c r="AI34"/>
  <c r="AJ34" s="1"/>
  <c r="AI35"/>
  <c r="AJ35" s="1"/>
  <c r="AI36"/>
  <c r="AJ36" s="1"/>
  <c r="AI37"/>
  <c r="AJ37" s="1"/>
  <c r="AI38"/>
  <c r="AJ38" s="1"/>
  <c r="AI3"/>
  <c r="AJ3" s="1"/>
  <c r="K38" i="8" l="1"/>
  <c r="L38" s="1"/>
  <c r="O38" s="1"/>
  <c r="K40"/>
  <c r="L40" s="1"/>
  <c r="O40" s="1"/>
  <c r="K21"/>
  <c r="L21" s="1"/>
  <c r="O21" s="1"/>
  <c r="K23"/>
  <c r="L23" s="1"/>
  <c r="O23" s="1"/>
  <c r="E120" i="9"/>
  <c r="E126"/>
  <c r="E122"/>
  <c r="E116"/>
  <c r="E112"/>
  <c r="E108"/>
  <c r="E123"/>
  <c r="E115"/>
  <c r="E125"/>
  <c r="E121"/>
  <c r="E117"/>
  <c r="E109"/>
  <c r="M38" i="8"/>
  <c r="P38" s="1"/>
  <c r="K22"/>
  <c r="M22" s="1"/>
  <c r="P22" s="1"/>
  <c r="K39"/>
  <c r="M39" s="1"/>
  <c r="P39" s="1"/>
  <c r="M40" l="1"/>
  <c r="P40" s="1"/>
  <c r="M23"/>
  <c r="P23" s="1"/>
  <c r="L22"/>
  <c r="O22" s="1"/>
  <c r="M21"/>
  <c r="P21" s="1"/>
  <c r="L39"/>
  <c r="O39" s="1"/>
  <c r="G43" s="1"/>
  <c r="G27" l="1"/>
  <c r="Y5" i="1"/>
  <c r="Z5"/>
  <c r="AA5"/>
  <c r="Y6"/>
  <c r="Z6"/>
  <c r="AA6"/>
  <c r="Y7"/>
  <c r="Z7"/>
  <c r="AA7"/>
  <c r="Y8"/>
  <c r="Z8"/>
  <c r="AA8"/>
  <c r="Y9"/>
  <c r="Z9"/>
  <c r="AA9"/>
  <c r="Z4"/>
  <c r="AA4"/>
  <c r="Y4"/>
  <c r="J5"/>
  <c r="J6"/>
  <c r="J7"/>
  <c r="J4"/>
  <c r="L36" i="6"/>
  <c r="L38"/>
  <c r="L39"/>
  <c r="L40"/>
  <c r="L41"/>
  <c r="L42"/>
  <c r="CV45"/>
  <c r="CV47"/>
  <c r="CV48"/>
  <c r="CV49"/>
  <c r="CV50"/>
  <c r="CV51"/>
  <c r="CV46"/>
  <c r="AI54" i="7" l="1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O5" i="1"/>
  <c r="P5"/>
  <c r="Q5"/>
  <c r="O6"/>
  <c r="P6"/>
  <c r="Q6"/>
  <c r="O7"/>
  <c r="P7"/>
  <c r="Q7"/>
  <c r="O8"/>
  <c r="P8"/>
  <c r="Q8"/>
  <c r="O9"/>
  <c r="P9"/>
  <c r="AC9" s="1"/>
  <c r="AJ9" s="1"/>
  <c r="Q9"/>
  <c r="Q4"/>
  <c r="P4"/>
  <c r="O4"/>
  <c r="G155" i="2"/>
  <c r="G154"/>
  <c r="L148" s="1"/>
  <c r="G153"/>
  <c r="G152"/>
  <c r="L146" s="1"/>
  <c r="AD9" i="1"/>
  <c r="AF9"/>
  <c r="AH9"/>
  <c r="AT9" s="1"/>
  <c r="AH5"/>
  <c r="AH6"/>
  <c r="AH7"/>
  <c r="AH8"/>
  <c r="AT8" s="1"/>
  <c r="AH4"/>
  <c r="AF8"/>
  <c r="AD8"/>
  <c r="AF5"/>
  <c r="AF6"/>
  <c r="AF7"/>
  <c r="AF4"/>
  <c r="AD5"/>
  <c r="AD6"/>
  <c r="AD7"/>
  <c r="AD4"/>
  <c r="J178" i="2"/>
  <c r="D178"/>
  <c r="E178"/>
  <c r="F178"/>
  <c r="G178"/>
  <c r="K178"/>
  <c r="L178"/>
  <c r="M178"/>
  <c r="P178"/>
  <c r="Q178"/>
  <c r="R178"/>
  <c r="S178"/>
  <c r="D179"/>
  <c r="E179"/>
  <c r="F179"/>
  <c r="G179"/>
  <c r="J179"/>
  <c r="K179"/>
  <c r="L179"/>
  <c r="M179"/>
  <c r="P179"/>
  <c r="Q179"/>
  <c r="R179"/>
  <c r="S179"/>
  <c r="D180"/>
  <c r="E180"/>
  <c r="F180"/>
  <c r="G180"/>
  <c r="J180"/>
  <c r="K180"/>
  <c r="L180"/>
  <c r="M180"/>
  <c r="P180"/>
  <c r="Q180"/>
  <c r="R180"/>
  <c r="S180"/>
  <c r="D181"/>
  <c r="E181"/>
  <c r="F181"/>
  <c r="G181"/>
  <c r="J181"/>
  <c r="K181"/>
  <c r="L181"/>
  <c r="M181"/>
  <c r="P181"/>
  <c r="Q181"/>
  <c r="R181"/>
  <c r="S181"/>
  <c r="C188"/>
  <c r="D188"/>
  <c r="E188"/>
  <c r="I188"/>
  <c r="J188"/>
  <c r="K188"/>
  <c r="O188"/>
  <c r="P188"/>
  <c r="Q188"/>
  <c r="C189"/>
  <c r="D189"/>
  <c r="E189"/>
  <c r="I189"/>
  <c r="J189"/>
  <c r="K189"/>
  <c r="O189"/>
  <c r="P189"/>
  <c r="Q189"/>
  <c r="C190"/>
  <c r="D190"/>
  <c r="E190"/>
  <c r="I190"/>
  <c r="J190"/>
  <c r="K190"/>
  <c r="O190"/>
  <c r="P190"/>
  <c r="Q190"/>
  <c r="C191"/>
  <c r="D191"/>
  <c r="E191"/>
  <c r="I191"/>
  <c r="J191"/>
  <c r="K191"/>
  <c r="O191"/>
  <c r="P191"/>
  <c r="Q191"/>
  <c r="D195"/>
  <c r="E195"/>
  <c r="D196"/>
  <c r="E196"/>
  <c r="D197"/>
  <c r="E197"/>
  <c r="D198"/>
  <c r="E198"/>
  <c r="M146"/>
  <c r="N146"/>
  <c r="M147"/>
  <c r="N147"/>
  <c r="M148"/>
  <c r="N148"/>
  <c r="M149"/>
  <c r="N149"/>
  <c r="L147"/>
  <c r="L149"/>
  <c r="C156"/>
  <c r="D156"/>
  <c r="E156"/>
  <c r="F156"/>
  <c r="G115"/>
  <c r="L115"/>
  <c r="M115"/>
  <c r="N115"/>
  <c r="G116"/>
  <c r="L116"/>
  <c r="M116"/>
  <c r="N116"/>
  <c r="G117"/>
  <c r="L117"/>
  <c r="M117"/>
  <c r="N117"/>
  <c r="G118"/>
  <c r="L118"/>
  <c r="M118"/>
  <c r="N118"/>
  <c r="G119"/>
  <c r="G120"/>
  <c r="G121"/>
  <c r="L121"/>
  <c r="M121"/>
  <c r="N121"/>
  <c r="G122"/>
  <c r="L122"/>
  <c r="M122"/>
  <c r="N122"/>
  <c r="G123"/>
  <c r="L123"/>
  <c r="M123"/>
  <c r="N123"/>
  <c r="L124"/>
  <c r="M124"/>
  <c r="N124"/>
  <c r="L127"/>
  <c r="M127"/>
  <c r="N127"/>
  <c r="L128"/>
  <c r="M128"/>
  <c r="N128"/>
  <c r="L129"/>
  <c r="M129"/>
  <c r="N129"/>
  <c r="L130"/>
  <c r="M130"/>
  <c r="N130"/>
  <c r="AA54" i="7"/>
  <c r="Z54"/>
  <c r="R54"/>
  <c r="Q54"/>
  <c r="J54"/>
  <c r="AA53"/>
  <c r="Z53"/>
  <c r="R53"/>
  <c r="Q53"/>
  <c r="J53"/>
  <c r="AA52"/>
  <c r="Z52"/>
  <c r="R52"/>
  <c r="Q52"/>
  <c r="J52"/>
  <c r="AA51"/>
  <c r="Z51"/>
  <c r="R51"/>
  <c r="Q51"/>
  <c r="J51"/>
  <c r="AA50"/>
  <c r="Z50"/>
  <c r="R50"/>
  <c r="Q50"/>
  <c r="J50"/>
  <c r="AA49"/>
  <c r="Z49"/>
  <c r="R49"/>
  <c r="Q49"/>
  <c r="J49"/>
  <c r="AA48"/>
  <c r="Z48"/>
  <c r="R48"/>
  <c r="Q48"/>
  <c r="J48"/>
  <c r="AA47"/>
  <c r="Z47"/>
  <c r="R47"/>
  <c r="Q47"/>
  <c r="J47"/>
  <c r="AA46"/>
  <c r="Z46"/>
  <c r="R46"/>
  <c r="Q46"/>
  <c r="J46"/>
  <c r="AA45"/>
  <c r="Z45"/>
  <c r="R45"/>
  <c r="Q45"/>
  <c r="J45"/>
  <c r="AA44"/>
  <c r="Z44"/>
  <c r="R44"/>
  <c r="Q44"/>
  <c r="J44"/>
  <c r="AA43"/>
  <c r="Z43"/>
  <c r="R43"/>
  <c r="Q43"/>
  <c r="J43"/>
  <c r="AA42"/>
  <c r="Z42"/>
  <c r="R42"/>
  <c r="Q42"/>
  <c r="J42"/>
  <c r="AA41"/>
  <c r="Z41"/>
  <c r="R41"/>
  <c r="Q41"/>
  <c r="J41"/>
  <c r="AA40"/>
  <c r="Z40"/>
  <c r="R40"/>
  <c r="Q40"/>
  <c r="J40"/>
  <c r="AA39"/>
  <c r="Z39"/>
  <c r="R39"/>
  <c r="Q39"/>
  <c r="J39"/>
  <c r="AA38"/>
  <c r="Z38"/>
  <c r="R38"/>
  <c r="Q38"/>
  <c r="J38"/>
  <c r="AA37"/>
  <c r="Z37"/>
  <c r="R37"/>
  <c r="Q37"/>
  <c r="J37"/>
  <c r="AC8" i="1" l="1"/>
  <c r="AJ8" s="1"/>
  <c r="L150" i="2"/>
  <c r="M150"/>
  <c r="N150"/>
  <c r="AG9" i="1"/>
  <c r="AE9"/>
  <c r="AN9" s="1"/>
  <c r="AG8"/>
  <c r="AE8"/>
  <c r="AN8" s="1"/>
  <c r="O146" i="2"/>
  <c r="O127"/>
  <c r="O115"/>
  <c r="O149"/>
  <c r="O147"/>
  <c r="R191"/>
  <c r="Q210" s="1"/>
  <c r="F191"/>
  <c r="L190"/>
  <c r="K209" s="1"/>
  <c r="R189"/>
  <c r="T208" s="1"/>
  <c r="F189"/>
  <c r="L188"/>
  <c r="K207" s="1"/>
  <c r="O128"/>
  <c r="L191"/>
  <c r="L210" s="1"/>
  <c r="R190"/>
  <c r="R209" s="1"/>
  <c r="F190"/>
  <c r="L189"/>
  <c r="M208" s="1"/>
  <c r="R188"/>
  <c r="T207" s="1"/>
  <c r="F188"/>
  <c r="Q207"/>
  <c r="O121"/>
  <c r="O130"/>
  <c r="O124"/>
  <c r="O148"/>
  <c r="O123"/>
  <c r="O122"/>
  <c r="G156"/>
  <c r="C198"/>
  <c r="C197"/>
  <c r="C196"/>
  <c r="C195"/>
  <c r="O116"/>
  <c r="O129"/>
  <c r="O118"/>
  <c r="O117"/>
  <c r="P118" l="1"/>
  <c r="O150"/>
  <c r="J207"/>
  <c r="P124"/>
  <c r="P130"/>
  <c r="J208"/>
  <c r="L209"/>
  <c r="T210"/>
  <c r="M209"/>
  <c r="S210"/>
  <c r="J209"/>
  <c r="R210"/>
  <c r="S209"/>
  <c r="R207"/>
  <c r="K210"/>
  <c r="S208"/>
  <c r="J210"/>
  <c r="M207"/>
  <c r="S207"/>
  <c r="R208"/>
  <c r="M210"/>
  <c r="L208"/>
  <c r="L207"/>
  <c r="Q208"/>
  <c r="K208"/>
  <c r="T209"/>
  <c r="Q209"/>
  <c r="F195"/>
  <c r="C207"/>
  <c r="C208"/>
  <c r="C209"/>
  <c r="C210"/>
  <c r="F197"/>
  <c r="E207"/>
  <c r="E208"/>
  <c r="E209"/>
  <c r="E210"/>
  <c r="F196"/>
  <c r="D207"/>
  <c r="D208"/>
  <c r="D209"/>
  <c r="D210"/>
  <c r="F198"/>
  <c r="F207"/>
  <c r="F208"/>
  <c r="F209"/>
  <c r="F210"/>
  <c r="D218" l="1" a="1"/>
  <c r="D218" l="1"/>
  <c r="F218"/>
  <c r="D219"/>
  <c r="F219"/>
  <c r="D220"/>
  <c r="F220"/>
  <c r="D221"/>
  <c r="F221"/>
  <c r="E218"/>
  <c r="G218"/>
  <c r="E219"/>
  <c r="G219"/>
  <c r="E220"/>
  <c r="G220"/>
  <c r="E221"/>
  <c r="G221"/>
  <c r="AC37" i="3" l="1"/>
  <c r="U27"/>
  <c r="U28"/>
  <c r="U29"/>
  <c r="U30"/>
  <c r="U31"/>
  <c r="U32"/>
  <c r="U33"/>
  <c r="U34"/>
  <c r="U35"/>
  <c r="U36"/>
  <c r="U37"/>
  <c r="U38"/>
  <c r="N27"/>
  <c r="N28"/>
  <c r="N29"/>
  <c r="N30"/>
  <c r="N31"/>
  <c r="N32"/>
  <c r="N33"/>
  <c r="N34"/>
  <c r="N35"/>
  <c r="N36"/>
  <c r="N37"/>
  <c r="N38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"/>
  <c r="AT7" i="1"/>
  <c r="AC7" i="3" s="1"/>
  <c r="AG7" i="1"/>
  <c r="AE7"/>
  <c r="AN7" s="1"/>
  <c r="U21" i="3" s="1"/>
  <c r="AC7" i="1"/>
  <c r="AJ7" s="1"/>
  <c r="N21" i="3" s="1"/>
  <c r="AT6" i="1"/>
  <c r="AC5" i="3" s="1"/>
  <c r="AG6" i="1"/>
  <c r="AE6"/>
  <c r="AC6"/>
  <c r="AJ6" s="1"/>
  <c r="N15" i="3" s="1"/>
  <c r="AG5" i="1"/>
  <c r="AE5"/>
  <c r="AN5" s="1"/>
  <c r="U9" i="3" s="1"/>
  <c r="AC5" i="1"/>
  <c r="AJ5" s="1"/>
  <c r="N9" i="3" s="1"/>
  <c r="AT4" i="1"/>
  <c r="AC9" i="3" s="1"/>
  <c r="AG4" i="1"/>
  <c r="AE4"/>
  <c r="AJ4"/>
  <c r="AT5"/>
  <c r="AC10" i="3" s="1"/>
  <c r="AN6" i="1"/>
  <c r="U15" i="3" s="1"/>
  <c r="AN4" i="1"/>
  <c r="U4" i="3" s="1"/>
  <c r="N26" l="1"/>
  <c r="N24"/>
  <c r="N22"/>
  <c r="N20"/>
  <c r="N18"/>
  <c r="N16"/>
  <c r="N14"/>
  <c r="N12"/>
  <c r="N10"/>
  <c r="U26"/>
  <c r="U24"/>
  <c r="U22"/>
  <c r="U20"/>
  <c r="U18"/>
  <c r="U16"/>
  <c r="U14"/>
  <c r="U12"/>
  <c r="U10"/>
  <c r="N25"/>
  <c r="N23"/>
  <c r="N19"/>
  <c r="N17"/>
  <c r="N13"/>
  <c r="N11"/>
  <c r="U25"/>
  <c r="U23"/>
  <c r="U19"/>
  <c r="U17"/>
  <c r="U13"/>
  <c r="U11"/>
  <c r="N6"/>
  <c r="N8"/>
  <c r="N5"/>
  <c r="N7"/>
  <c r="N4"/>
  <c r="N3"/>
  <c r="U3"/>
  <c r="U7"/>
  <c r="U5"/>
  <c r="U8"/>
  <c r="U6"/>
  <c r="AC3"/>
  <c r="AD3" s="1"/>
  <c r="AC33"/>
  <c r="AD33" s="1"/>
  <c r="AC21"/>
  <c r="AD21" s="1"/>
  <c r="AC27"/>
  <c r="AD27" s="1"/>
  <c r="AC38"/>
  <c r="AD38" s="1"/>
  <c r="AC36"/>
  <c r="AD36" s="1"/>
  <c r="AC34"/>
  <c r="AD34" s="1"/>
  <c r="AC32"/>
  <c r="AD32" s="1"/>
  <c r="AC30"/>
  <c r="AD30" s="1"/>
  <c r="AC28"/>
  <c r="AD28" s="1"/>
  <c r="AC26"/>
  <c r="AD26" s="1"/>
  <c r="AC24"/>
  <c r="AD24" s="1"/>
  <c r="AC22"/>
  <c r="AD22" s="1"/>
  <c r="AC20"/>
  <c r="AD20" s="1"/>
  <c r="AC18"/>
  <c r="AD18" s="1"/>
  <c r="AC16"/>
  <c r="AD16" s="1"/>
  <c r="AC13"/>
  <c r="AD13" s="1"/>
  <c r="AC11"/>
  <c r="AD11" s="1"/>
  <c r="AC8"/>
  <c r="AD8" s="1"/>
  <c r="AC6"/>
  <c r="AD6" s="1"/>
  <c r="AC4"/>
  <c r="AD4" s="1"/>
  <c r="AC35"/>
  <c r="AD35" s="1"/>
  <c r="AC31"/>
  <c r="AD31" s="1"/>
  <c r="AC29"/>
  <c r="AD29" s="1"/>
  <c r="AC25"/>
  <c r="AD25" s="1"/>
  <c r="AC23"/>
  <c r="AD23" s="1"/>
  <c r="AC19"/>
  <c r="AD19" s="1"/>
  <c r="AC17"/>
  <c r="AD17" s="1"/>
  <c r="AC14"/>
  <c r="AD14" s="1"/>
  <c r="AC12"/>
  <c r="AD12" s="1"/>
  <c r="AC15"/>
  <c r="AD15" s="1"/>
  <c r="AD37"/>
  <c r="AD9"/>
  <c r="AD7"/>
  <c r="AD5"/>
  <c r="AD10"/>
  <c r="AJ3" i="1"/>
  <c r="AN3"/>
  <c r="AG3"/>
  <c r="AD3"/>
  <c r="AT3"/>
  <c r="AE3"/>
  <c r="AH3"/>
  <c r="AC3"/>
  <c r="AL4" s="1"/>
  <c r="AF3"/>
  <c r="AL9" l="1"/>
  <c r="AE28" i="3"/>
  <c r="AF28" s="1"/>
  <c r="AE30"/>
  <c r="AF30" s="1"/>
  <c r="AE32"/>
  <c r="AF32" s="1"/>
  <c r="AE27"/>
  <c r="AF27" s="1"/>
  <c r="AE29"/>
  <c r="AF29" s="1"/>
  <c r="AE31"/>
  <c r="AF31" s="1"/>
  <c r="AE10"/>
  <c r="AE12"/>
  <c r="AF12" s="1"/>
  <c r="AE14"/>
  <c r="AF14" s="1"/>
  <c r="AE9"/>
  <c r="AF9" s="1"/>
  <c r="AE11"/>
  <c r="AF11" s="1"/>
  <c r="AE13"/>
  <c r="AF13" s="1"/>
  <c r="AE34"/>
  <c r="AF34" s="1"/>
  <c r="AE36"/>
  <c r="AF36" s="1"/>
  <c r="AE38"/>
  <c r="AF38" s="1"/>
  <c r="AE33"/>
  <c r="AF33" s="1"/>
  <c r="AE35"/>
  <c r="AF35" s="1"/>
  <c r="AE37"/>
  <c r="AF37" s="1"/>
  <c r="AF10"/>
  <c r="AE16"/>
  <c r="AF16" s="1"/>
  <c r="AE18"/>
  <c r="AF18" s="1"/>
  <c r="AE20"/>
  <c r="AF20" s="1"/>
  <c r="AE15"/>
  <c r="AF15" s="1"/>
  <c r="AE17"/>
  <c r="AF17" s="1"/>
  <c r="AE19"/>
  <c r="AF19" s="1"/>
  <c r="AE22"/>
  <c r="AF22" s="1"/>
  <c r="AE24"/>
  <c r="AF24" s="1"/>
  <c r="AE26"/>
  <c r="AF26" s="1"/>
  <c r="AE21"/>
  <c r="AF21" s="1"/>
  <c r="AE23"/>
  <c r="AF23" s="1"/>
  <c r="AE25"/>
  <c r="AF25" s="1"/>
  <c r="AE5"/>
  <c r="AF5" s="1"/>
  <c r="AE7"/>
  <c r="AF7" s="1"/>
  <c r="AE3"/>
  <c r="AF3" s="1"/>
  <c r="AE4"/>
  <c r="AF4" s="1"/>
  <c r="AE6"/>
  <c r="AF6" s="1"/>
  <c r="AE8"/>
  <c r="AF8" s="1"/>
  <c r="AR9" i="1"/>
  <c r="AP9"/>
  <c r="AL8"/>
  <c r="AP8"/>
  <c r="AR8"/>
  <c r="AL6"/>
  <c r="AL5"/>
  <c r="AL7"/>
  <c r="AP7"/>
  <c r="AR5"/>
  <c r="AR7"/>
  <c r="AR6"/>
  <c r="AR4"/>
  <c r="AP5"/>
  <c r="AP6"/>
  <c r="AP4"/>
  <c r="V9" i="3" l="1"/>
  <c r="W9" s="1"/>
  <c r="V15"/>
  <c r="W15" s="1"/>
  <c r="V21"/>
  <c r="W21" s="1"/>
  <c r="V27"/>
  <c r="W27" s="1"/>
  <c r="V33"/>
  <c r="W33" s="1"/>
  <c r="V3"/>
  <c r="W3" s="1"/>
  <c r="V4"/>
  <c r="W4" s="1"/>
  <c r="V10"/>
  <c r="W10" s="1"/>
  <c r="V16"/>
  <c r="W16" s="1"/>
  <c r="V22"/>
  <c r="W22" s="1"/>
  <c r="V28"/>
  <c r="W28" s="1"/>
  <c r="V34"/>
  <c r="W34" s="1"/>
  <c r="AB5"/>
  <c r="AB7"/>
  <c r="AB3"/>
  <c r="AB4"/>
  <c r="AB6"/>
  <c r="AB8"/>
  <c r="AB21"/>
  <c r="AB23"/>
  <c r="AB25"/>
  <c r="AB27"/>
  <c r="AB29"/>
  <c r="AB31"/>
  <c r="AB33"/>
  <c r="AB35"/>
  <c r="AB37"/>
  <c r="AB22"/>
  <c r="AB24"/>
  <c r="AB26"/>
  <c r="AB28"/>
  <c r="AB30"/>
  <c r="AB32"/>
  <c r="AB34"/>
  <c r="AB36"/>
  <c r="AB38"/>
  <c r="V7"/>
  <c r="W7" s="1"/>
  <c r="V13"/>
  <c r="W13" s="1"/>
  <c r="V19"/>
  <c r="W19" s="1"/>
  <c r="V25"/>
  <c r="W25" s="1"/>
  <c r="V31"/>
  <c r="W31" s="1"/>
  <c r="V37"/>
  <c r="W37" s="1"/>
  <c r="V6"/>
  <c r="W6" s="1"/>
  <c r="V8"/>
  <c r="W8" s="1"/>
  <c r="V12"/>
  <c r="W12" s="1"/>
  <c r="V14"/>
  <c r="W14" s="1"/>
  <c r="V18"/>
  <c r="W18" s="1"/>
  <c r="V20"/>
  <c r="W20" s="1"/>
  <c r="V24"/>
  <c r="W24" s="1"/>
  <c r="V26"/>
  <c r="W26" s="1"/>
  <c r="V30"/>
  <c r="W30" s="1"/>
  <c r="V32"/>
  <c r="W32" s="1"/>
  <c r="V36"/>
  <c r="W36" s="1"/>
  <c r="V38"/>
  <c r="W38" s="1"/>
  <c r="O4"/>
  <c r="P4" s="1"/>
  <c r="O10"/>
  <c r="P10" s="1"/>
  <c r="O16"/>
  <c r="P16" s="1"/>
  <c r="O22"/>
  <c r="P22" s="1"/>
  <c r="O28"/>
  <c r="P28" s="1"/>
  <c r="O34"/>
  <c r="P34" s="1"/>
  <c r="V5"/>
  <c r="W5" s="1"/>
  <c r="V11"/>
  <c r="W11" s="1"/>
  <c r="V17"/>
  <c r="W17" s="1"/>
  <c r="V23"/>
  <c r="W23" s="1"/>
  <c r="V29"/>
  <c r="W29" s="1"/>
  <c r="V35"/>
  <c r="W35" s="1"/>
  <c r="O9"/>
  <c r="P9" s="1"/>
  <c r="O15"/>
  <c r="P15" s="1"/>
  <c r="O21"/>
  <c r="P21" s="1"/>
  <c r="O27"/>
  <c r="P27" s="1"/>
  <c r="O33"/>
  <c r="P33" s="1"/>
  <c r="O3"/>
  <c r="P3" s="1"/>
  <c r="AB15"/>
  <c r="AB17"/>
  <c r="AB19"/>
  <c r="AB16"/>
  <c r="AB18"/>
  <c r="AB20"/>
  <c r="AB9"/>
  <c r="AB11"/>
  <c r="AB13"/>
  <c r="AB10"/>
  <c r="AB12"/>
  <c r="AB14"/>
  <c r="O7"/>
  <c r="P7" s="1"/>
  <c r="O13"/>
  <c r="P13" s="1"/>
  <c r="O19"/>
  <c r="P19" s="1"/>
  <c r="O25"/>
  <c r="P25" s="1"/>
  <c r="O31"/>
  <c r="P31" s="1"/>
  <c r="O37"/>
  <c r="P37" s="1"/>
  <c r="O6"/>
  <c r="P6" s="1"/>
  <c r="O8"/>
  <c r="P8" s="1"/>
  <c r="O12"/>
  <c r="P12" s="1"/>
  <c r="O14"/>
  <c r="P14" s="1"/>
  <c r="O18"/>
  <c r="P18" s="1"/>
  <c r="O20"/>
  <c r="P20" s="1"/>
  <c r="O24"/>
  <c r="P24" s="1"/>
  <c r="O26"/>
  <c r="P26" s="1"/>
  <c r="O30"/>
  <c r="P30" s="1"/>
  <c r="O32"/>
  <c r="P32" s="1"/>
  <c r="O36"/>
  <c r="P36" s="1"/>
  <c r="O38"/>
  <c r="P38" s="1"/>
  <c r="O5"/>
  <c r="P5" s="1"/>
  <c r="O11"/>
  <c r="P11" s="1"/>
  <c r="O17"/>
  <c r="P17" s="1"/>
  <c r="O23"/>
  <c r="P23" s="1"/>
  <c r="O29"/>
  <c r="P29" s="1"/>
  <c r="O35"/>
  <c r="P35" s="1"/>
  <c r="AL3" i="1"/>
  <c r="AR3"/>
  <c r="AP3"/>
  <c r="Q33" i="3" l="1"/>
  <c r="R33" s="1"/>
  <c r="Q35"/>
  <c r="R35" s="1"/>
  <c r="Q37"/>
  <c r="Q34"/>
  <c r="R34" s="1"/>
  <c r="Q36"/>
  <c r="R36" s="1"/>
  <c r="Q38"/>
  <c r="R38" s="1"/>
  <c r="Q21"/>
  <c r="R21" s="1"/>
  <c r="S21" s="1"/>
  <c r="AL21" s="1"/>
  <c r="Q23"/>
  <c r="R23" s="1"/>
  <c r="Q25"/>
  <c r="R25" s="1"/>
  <c r="Q22"/>
  <c r="R22" s="1"/>
  <c r="Q24"/>
  <c r="R24" s="1"/>
  <c r="Q26"/>
  <c r="Q9"/>
  <c r="R9" s="1"/>
  <c r="Q11"/>
  <c r="R11" s="1"/>
  <c r="Q13"/>
  <c r="Q10"/>
  <c r="Q12"/>
  <c r="R12" s="1"/>
  <c r="Q14"/>
  <c r="R14" s="1"/>
  <c r="X33"/>
  <c r="Y33" s="1"/>
  <c r="X35"/>
  <c r="Y35" s="1"/>
  <c r="X37"/>
  <c r="Y37" s="1"/>
  <c r="X34"/>
  <c r="Y34" s="1"/>
  <c r="X36"/>
  <c r="Y36" s="1"/>
  <c r="X38"/>
  <c r="Y38" s="1"/>
  <c r="X21"/>
  <c r="Y21" s="1"/>
  <c r="X23"/>
  <c r="Y23" s="1"/>
  <c r="X25"/>
  <c r="Y25" s="1"/>
  <c r="X22"/>
  <c r="Y22" s="1"/>
  <c r="X24"/>
  <c r="Y24" s="1"/>
  <c r="X26"/>
  <c r="Y26" s="1"/>
  <c r="X11"/>
  <c r="Y11" s="1"/>
  <c r="X13"/>
  <c r="X9"/>
  <c r="Y9" s="1"/>
  <c r="X10"/>
  <c r="Y10" s="1"/>
  <c r="X12"/>
  <c r="Y12" s="1"/>
  <c r="X14"/>
  <c r="Y14" s="1"/>
  <c r="R37"/>
  <c r="Q5"/>
  <c r="R5" s="1"/>
  <c r="Q7"/>
  <c r="R7" s="1"/>
  <c r="Q3"/>
  <c r="R3" s="1"/>
  <c r="Q4"/>
  <c r="R4" s="1"/>
  <c r="Q6"/>
  <c r="R6" s="1"/>
  <c r="Q8"/>
  <c r="R8" s="1"/>
  <c r="Q27"/>
  <c r="R27" s="1"/>
  <c r="Q29"/>
  <c r="R29" s="1"/>
  <c r="Q31"/>
  <c r="R31" s="1"/>
  <c r="Q28"/>
  <c r="R28" s="1"/>
  <c r="Q30"/>
  <c r="R30" s="1"/>
  <c r="Q32"/>
  <c r="R32" s="1"/>
  <c r="Q15"/>
  <c r="R15" s="1"/>
  <c r="Q17"/>
  <c r="R17" s="1"/>
  <c r="Q19"/>
  <c r="R19" s="1"/>
  <c r="Q16"/>
  <c r="R16" s="1"/>
  <c r="Q18"/>
  <c r="R18" s="1"/>
  <c r="Q20"/>
  <c r="R20" s="1"/>
  <c r="X5"/>
  <c r="Y5" s="1"/>
  <c r="X7"/>
  <c r="Y7" s="1"/>
  <c r="X3"/>
  <c r="Y3" s="1"/>
  <c r="X4"/>
  <c r="Y4" s="1"/>
  <c r="X6"/>
  <c r="Y6" s="1"/>
  <c r="X8"/>
  <c r="Y8" s="1"/>
  <c r="X27"/>
  <c r="Y27" s="1"/>
  <c r="X29"/>
  <c r="Y29" s="1"/>
  <c r="X31"/>
  <c r="Y31" s="1"/>
  <c r="X28"/>
  <c r="Y28" s="1"/>
  <c r="X30"/>
  <c r="Y30" s="1"/>
  <c r="X32"/>
  <c r="Y32" s="1"/>
  <c r="X15"/>
  <c r="Y15" s="1"/>
  <c r="X17"/>
  <c r="Y17" s="1"/>
  <c r="X19"/>
  <c r="Y19" s="1"/>
  <c r="X16"/>
  <c r="Y16" s="1"/>
  <c r="X18"/>
  <c r="Y18" s="1"/>
  <c r="X20"/>
  <c r="Y20" s="1"/>
  <c r="R26"/>
  <c r="R13"/>
  <c r="R10"/>
  <c r="Y13"/>
  <c r="AG33"/>
  <c r="AN33" s="1"/>
  <c r="AG29"/>
  <c r="AN29" s="1"/>
  <c r="AG34"/>
  <c r="AN34" s="1"/>
  <c r="AG12"/>
  <c r="AN12" s="1"/>
  <c r="AG30"/>
  <c r="AN30" s="1"/>
  <c r="Z22" l="1"/>
  <c r="AM22" s="1"/>
  <c r="AG25"/>
  <c r="AN25" s="1"/>
  <c r="S22"/>
  <c r="AL22" s="1"/>
  <c r="Z24"/>
  <c r="AM24" s="1"/>
  <c r="S25"/>
  <c r="AL25" s="1"/>
  <c r="AG32"/>
  <c r="AN32" s="1"/>
  <c r="AG31"/>
  <c r="AN31" s="1"/>
  <c r="AG11"/>
  <c r="AN11" s="1"/>
  <c r="AG14"/>
  <c r="AN14" s="1"/>
  <c r="AG9"/>
  <c r="AN9" s="1"/>
  <c r="AG28"/>
  <c r="AN28" s="1"/>
  <c r="S23"/>
  <c r="AL23" s="1"/>
  <c r="AG35"/>
  <c r="AN35" s="1"/>
  <c r="AG38"/>
  <c r="AN38" s="1"/>
  <c r="AG36"/>
  <c r="AN36" s="1"/>
  <c r="AG37"/>
  <c r="AN37" s="1"/>
  <c r="AG27"/>
  <c r="AN27" s="1"/>
  <c r="AG21"/>
  <c r="AN21" s="1"/>
  <c r="AG24"/>
  <c r="AN24" s="1"/>
  <c r="AG22"/>
  <c r="AN22" s="1"/>
  <c r="Z25"/>
  <c r="AM25" s="1"/>
  <c r="Z23"/>
  <c r="AM23" s="1"/>
  <c r="Z21"/>
  <c r="AM21" s="1"/>
  <c r="S24"/>
  <c r="AL24" s="1"/>
  <c r="S26"/>
  <c r="AL26" s="1"/>
  <c r="S27"/>
  <c r="AL27" s="1"/>
  <c r="S29"/>
  <c r="AL29" s="1"/>
  <c r="S30"/>
  <c r="AL30" s="1"/>
  <c r="S31"/>
  <c r="AL31" s="1"/>
  <c r="S28"/>
  <c r="AL28" s="1"/>
  <c r="S10"/>
  <c r="AL10" s="1"/>
  <c r="S9"/>
  <c r="AL9" s="1"/>
  <c r="S12"/>
  <c r="AL12" s="1"/>
  <c r="S15"/>
  <c r="AL15" s="1"/>
  <c r="S17"/>
  <c r="AL17" s="1"/>
  <c r="S16"/>
  <c r="AL16" s="1"/>
  <c r="S19"/>
  <c r="AL19" s="1"/>
  <c r="S18"/>
  <c r="AL18" s="1"/>
  <c r="S7"/>
  <c r="AL7" s="1"/>
  <c r="S3"/>
  <c r="AL3" s="1"/>
  <c r="S6"/>
  <c r="AL6" s="1"/>
  <c r="S5"/>
  <c r="AL5" s="1"/>
  <c r="S4"/>
  <c r="AL4" s="1"/>
  <c r="S34"/>
  <c r="AL34" s="1"/>
  <c r="S35"/>
  <c r="AL35" s="1"/>
  <c r="S38"/>
  <c r="AL38" s="1"/>
  <c r="S36"/>
  <c r="AL36" s="1"/>
  <c r="S37"/>
  <c r="AL37" s="1"/>
  <c r="S33"/>
  <c r="AL33" s="1"/>
  <c r="Z26"/>
  <c r="AM26" s="1"/>
  <c r="AG23"/>
  <c r="AN23" s="1"/>
  <c r="AG26"/>
  <c r="AN26" s="1"/>
  <c r="S13"/>
  <c r="AL13" s="1"/>
  <c r="S14"/>
  <c r="AL14" s="1"/>
  <c r="S32"/>
  <c r="AL32" s="1"/>
  <c r="S8"/>
  <c r="AL8" s="1"/>
  <c r="S20"/>
  <c r="AL20" s="1"/>
  <c r="S11"/>
  <c r="AL11" s="1"/>
  <c r="Z14"/>
  <c r="AM14" s="1"/>
  <c r="Z10"/>
  <c r="AM10" s="1"/>
  <c r="Z13"/>
  <c r="AM13" s="1"/>
  <c r="Z9"/>
  <c r="AM9" s="1"/>
  <c r="Z12"/>
  <c r="AM12" s="1"/>
  <c r="Z11"/>
  <c r="AM11" s="1"/>
  <c r="Z6"/>
  <c r="AM6" s="1"/>
  <c r="Z8"/>
  <c r="AM8" s="1"/>
  <c r="Z4"/>
  <c r="AM4" s="1"/>
  <c r="Z3"/>
  <c r="AM3" s="1"/>
  <c r="Z7"/>
  <c r="AM7" s="1"/>
  <c r="Z5"/>
  <c r="AM5" s="1"/>
  <c r="Z30"/>
  <c r="AM30" s="1"/>
  <c r="Z29"/>
  <c r="AM29" s="1"/>
  <c r="Z32"/>
  <c r="AM32" s="1"/>
  <c r="Z28"/>
  <c r="AM28" s="1"/>
  <c r="Z31"/>
  <c r="AM31" s="1"/>
  <c r="Z27"/>
  <c r="AM27" s="1"/>
  <c r="Z18"/>
  <c r="AM18" s="1"/>
  <c r="Z17"/>
  <c r="AM17" s="1"/>
  <c r="Z20"/>
  <c r="AM20" s="1"/>
  <c r="Z16"/>
  <c r="AM16" s="1"/>
  <c r="Z19"/>
  <c r="AM19" s="1"/>
  <c r="Z15"/>
  <c r="AM15" s="1"/>
  <c r="Z38"/>
  <c r="AM38" s="1"/>
  <c r="Z34"/>
  <c r="AM34" s="1"/>
  <c r="Z37"/>
  <c r="AM37" s="1"/>
  <c r="Z33"/>
  <c r="AM33" s="1"/>
  <c r="Z36"/>
  <c r="AM36" s="1"/>
  <c r="Z35"/>
  <c r="AM35" s="1"/>
  <c r="AG17"/>
  <c r="AN17" s="1"/>
  <c r="AG10"/>
  <c r="AN10" s="1"/>
  <c r="AG13"/>
  <c r="AN13" s="1"/>
  <c r="AO24" l="1"/>
  <c r="BC15" s="1"/>
  <c r="BC22" s="1"/>
  <c r="AO21"/>
  <c r="AZ15" s="1"/>
  <c r="AO14"/>
  <c r="AO11"/>
  <c r="BB13" s="1"/>
  <c r="AO37"/>
  <c r="AO38"/>
  <c r="AO34"/>
  <c r="AO9"/>
  <c r="AZ13" s="1"/>
  <c r="AZ20" s="1"/>
  <c r="AO28"/>
  <c r="AO30"/>
  <c r="AO27"/>
  <c r="AO23"/>
  <c r="AO32"/>
  <c r="AO13"/>
  <c r="AO33"/>
  <c r="AO36"/>
  <c r="AO35"/>
  <c r="AO17"/>
  <c r="BB14" s="1"/>
  <c r="BB21" s="1"/>
  <c r="AO12"/>
  <c r="BC13" s="1"/>
  <c r="BC20" s="1"/>
  <c r="AO10"/>
  <c r="BA13" s="1"/>
  <c r="BA20" s="1"/>
  <c r="AO31"/>
  <c r="AO29"/>
  <c r="AO26"/>
  <c r="AO25"/>
  <c r="AO22"/>
  <c r="AS25"/>
  <c r="AS21"/>
  <c r="AS22"/>
  <c r="AS24"/>
  <c r="AS32"/>
  <c r="AS13"/>
  <c r="AS33"/>
  <c r="AS36"/>
  <c r="AS35"/>
  <c r="AS17"/>
  <c r="AS12"/>
  <c r="AS10"/>
  <c r="AS31"/>
  <c r="AS29"/>
  <c r="AS26"/>
  <c r="AS11"/>
  <c r="AS14"/>
  <c r="AS37"/>
  <c r="AS38"/>
  <c r="AS34"/>
  <c r="AS9"/>
  <c r="AS28"/>
  <c r="AS30"/>
  <c r="AS27"/>
  <c r="AS23"/>
  <c r="AG3"/>
  <c r="AN3" s="1"/>
  <c r="AS3" s="1"/>
  <c r="AG7"/>
  <c r="AN7" s="1"/>
  <c r="AS7" s="1"/>
  <c r="AG6"/>
  <c r="AN6" s="1"/>
  <c r="AS6" s="1"/>
  <c r="AG8"/>
  <c r="AN8" s="1"/>
  <c r="AS8" s="1"/>
  <c r="AG4"/>
  <c r="AN4" s="1"/>
  <c r="AS4" s="1"/>
  <c r="AI3" i="7" s="1"/>
  <c r="AJ7" s="1"/>
  <c r="AG16" i="3"/>
  <c r="AN16" s="1"/>
  <c r="AS16" s="1"/>
  <c r="AG19"/>
  <c r="AN19" s="1"/>
  <c r="AS19" s="1"/>
  <c r="AG20"/>
  <c r="AN20" s="1"/>
  <c r="AS20" s="1"/>
  <c r="AG18"/>
  <c r="AN18" s="1"/>
  <c r="AS18" s="1"/>
  <c r="AG15"/>
  <c r="AN15" s="1"/>
  <c r="AS15" s="1"/>
  <c r="AG5"/>
  <c r="AN5" s="1"/>
  <c r="AS5" s="1"/>
  <c r="Z3" i="7" s="1"/>
  <c r="BB15" i="3" l="1"/>
  <c r="BB22" s="1"/>
  <c r="BA15"/>
  <c r="BA22" s="1"/>
  <c r="BD13"/>
  <c r="BD20" s="1"/>
  <c r="BB20"/>
  <c r="AZ22"/>
  <c r="AO4"/>
  <c r="BA12" s="1"/>
  <c r="BA19" s="1"/>
  <c r="AO5"/>
  <c r="BB12" s="1"/>
  <c r="BB19" s="1"/>
  <c r="AO18"/>
  <c r="BC14" s="1"/>
  <c r="BC21" s="1"/>
  <c r="AO7"/>
  <c r="AO20"/>
  <c r="AO15"/>
  <c r="AZ14" s="1"/>
  <c r="AO8"/>
  <c r="AO19"/>
  <c r="AO6"/>
  <c r="BC12" s="1"/>
  <c r="BC19" s="1"/>
  <c r="AO16"/>
  <c r="BA14" s="1"/>
  <c r="BA21" s="1"/>
  <c r="AO3"/>
  <c r="AZ12" s="1"/>
  <c r="AB7" i="7"/>
  <c r="AB53" s="1"/>
  <c r="Q3"/>
  <c r="S7" s="1"/>
  <c r="S54" s="1"/>
  <c r="AJ38"/>
  <c r="AJ37"/>
  <c r="AJ47"/>
  <c r="AJ39"/>
  <c r="AJ49"/>
  <c r="AJ41"/>
  <c r="AJ52"/>
  <c r="AJ48"/>
  <c r="AJ44"/>
  <c r="AJ40"/>
  <c r="AJ51"/>
  <c r="AJ43"/>
  <c r="AJ53"/>
  <c r="AJ45"/>
  <c r="AJ54"/>
  <c r="AJ50"/>
  <c r="AJ46"/>
  <c r="AJ42"/>
  <c r="BD14" i="3" l="1"/>
  <c r="BD21" s="1"/>
  <c r="AZ21"/>
  <c r="BD12"/>
  <c r="BD19" s="1"/>
  <c r="AZ19"/>
  <c r="BD15"/>
  <c r="BD22" s="1"/>
  <c r="S48" i="7"/>
  <c r="AB52"/>
  <c r="S51"/>
  <c r="S40"/>
  <c r="S43"/>
  <c r="AB49"/>
  <c r="S52"/>
  <c r="S44"/>
  <c r="S39"/>
  <c r="S47"/>
  <c r="S37"/>
  <c r="AB41"/>
  <c r="AB44"/>
  <c r="AB38"/>
  <c r="AB45"/>
  <c r="AB37"/>
  <c r="AB48"/>
  <c r="AB40"/>
  <c r="AB51"/>
  <c r="AB47"/>
  <c r="AB43"/>
  <c r="K43" s="1"/>
  <c r="M43" s="1"/>
  <c r="AB39"/>
  <c r="AB54"/>
  <c r="K54" s="1"/>
  <c r="M54" s="1"/>
  <c r="AB50"/>
  <c r="AB46"/>
  <c r="AB42"/>
  <c r="S50"/>
  <c r="S46"/>
  <c r="S42"/>
  <c r="S38"/>
  <c r="K38" s="1"/>
  <c r="M38" s="1"/>
  <c r="S53"/>
  <c r="K53" s="1"/>
  <c r="M53" s="1"/>
  <c r="S49"/>
  <c r="S45"/>
  <c r="K45" s="1"/>
  <c r="M45" s="1"/>
  <c r="S41"/>
  <c r="K51"/>
  <c r="M51" s="1"/>
  <c r="K40"/>
  <c r="M40" s="1"/>
  <c r="K49" l="1"/>
  <c r="M49" s="1"/>
  <c r="AI69" s="1"/>
  <c r="K48"/>
  <c r="M48" s="1"/>
  <c r="AI68" s="1"/>
  <c r="K41"/>
  <c r="M41" s="1"/>
  <c r="AI61" s="1"/>
  <c r="K47"/>
  <c r="M47" s="1"/>
  <c r="AI67" s="1"/>
  <c r="K52"/>
  <c r="K42"/>
  <c r="K50"/>
  <c r="K39"/>
  <c r="K37"/>
  <c r="K44"/>
  <c r="K46"/>
  <c r="M46" s="1"/>
  <c r="AJ58"/>
  <c r="N38"/>
  <c r="O38" s="1"/>
  <c r="AB74"/>
  <c r="N54"/>
  <c r="O54" s="1"/>
  <c r="AI65"/>
  <c r="N45"/>
  <c r="O45" s="1"/>
  <c r="AI73"/>
  <c r="N53"/>
  <c r="O53" s="1"/>
  <c r="AI60"/>
  <c r="N40"/>
  <c r="O40" s="1"/>
  <c r="S63"/>
  <c r="N43"/>
  <c r="O43" s="1"/>
  <c r="AI71"/>
  <c r="N51"/>
  <c r="O51" s="1"/>
  <c r="N49" l="1"/>
  <c r="O49" s="1"/>
  <c r="N48"/>
  <c r="O48" s="1"/>
  <c r="N41"/>
  <c r="O41" s="1"/>
  <c r="AB67"/>
  <c r="N47"/>
  <c r="O47" s="1"/>
  <c r="N44"/>
  <c r="O44" s="1"/>
  <c r="M44"/>
  <c r="AI64" s="1"/>
  <c r="N39"/>
  <c r="O39" s="1"/>
  <c r="M39"/>
  <c r="AB59" s="1"/>
  <c r="N42"/>
  <c r="O42" s="1"/>
  <c r="M42"/>
  <c r="AI62" s="1"/>
  <c r="N37"/>
  <c r="O37" s="1"/>
  <c r="M37"/>
  <c r="Z57" s="1"/>
  <c r="N50"/>
  <c r="O50" s="1"/>
  <c r="M50"/>
  <c r="AB70" s="1"/>
  <c r="N52"/>
  <c r="O52" s="1"/>
  <c r="M52"/>
  <c r="AI72" s="1"/>
  <c r="AA58"/>
  <c r="Z65"/>
  <c r="AA68"/>
  <c r="AA63"/>
  <c r="AJ69"/>
  <c r="Z61"/>
  <c r="R58"/>
  <c r="AA69"/>
  <c r="AB61"/>
  <c r="Q73"/>
  <c r="AB65"/>
  <c r="Q67"/>
  <c r="AA74"/>
  <c r="AJ65"/>
  <c r="Q74"/>
  <c r="Z58"/>
  <c r="Z69"/>
  <c r="AB69"/>
  <c r="AA61"/>
  <c r="AB68"/>
  <c r="Z60"/>
  <c r="AB73"/>
  <c r="R73"/>
  <c r="AA65"/>
  <c r="Q71"/>
  <c r="Z67"/>
  <c r="AJ67"/>
  <c r="AI58"/>
  <c r="R74"/>
  <c r="AJ73"/>
  <c r="AJ74"/>
  <c r="AJ61"/>
  <c r="Z68"/>
  <c r="AB60"/>
  <c r="AA60"/>
  <c r="Q63"/>
  <c r="AI63"/>
  <c r="S68"/>
  <c r="Q68"/>
  <c r="R68"/>
  <c r="S60"/>
  <c r="Q60"/>
  <c r="R60"/>
  <c r="Z73"/>
  <c r="AA73"/>
  <c r="S73"/>
  <c r="Q65"/>
  <c r="R65"/>
  <c r="S65"/>
  <c r="R63"/>
  <c r="Z71"/>
  <c r="AA71"/>
  <c r="Z74"/>
  <c r="AJ71"/>
  <c r="AI74"/>
  <c r="S74"/>
  <c r="N46"/>
  <c r="O46" s="1"/>
  <c r="S58"/>
  <c r="Q58"/>
  <c r="AB58"/>
  <c r="Q69"/>
  <c r="R69"/>
  <c r="S69"/>
  <c r="Q61"/>
  <c r="R61"/>
  <c r="S61"/>
  <c r="AA67"/>
  <c r="R67"/>
  <c r="S67"/>
  <c r="AI66"/>
  <c r="AA66"/>
  <c r="Z66"/>
  <c r="AB66"/>
  <c r="AJ66"/>
  <c r="Q66"/>
  <c r="S66"/>
  <c r="R66"/>
  <c r="R71"/>
  <c r="AB71"/>
  <c r="Z63"/>
  <c r="AB63"/>
  <c r="S71"/>
  <c r="AJ68"/>
  <c r="AJ63"/>
  <c r="AJ60"/>
  <c r="S72" l="1"/>
  <c r="AJ72"/>
  <c r="R62"/>
  <c r="AB62"/>
  <c r="S62"/>
  <c r="AB72"/>
  <c r="AA62"/>
  <c r="Q62"/>
  <c r="Q72"/>
  <c r="R72"/>
  <c r="Z72"/>
  <c r="Z62"/>
  <c r="AJ62"/>
  <c r="AA72"/>
  <c r="AB64"/>
  <c r="R59"/>
  <c r="Q59"/>
  <c r="S59"/>
  <c r="Z64"/>
  <c r="S64"/>
  <c r="AJ64"/>
  <c r="Q64"/>
  <c r="R64"/>
  <c r="AA64"/>
  <c r="AJ59"/>
  <c r="Z59"/>
  <c r="AI59"/>
  <c r="AA59"/>
  <c r="AJ57"/>
  <c r="AA70"/>
  <c r="AB57"/>
  <c r="AI57"/>
  <c r="S57"/>
  <c r="Q57"/>
  <c r="AA57"/>
  <c r="R57"/>
  <c r="AJ70"/>
  <c r="Q70"/>
  <c r="S70"/>
  <c r="R70"/>
  <c r="AI70"/>
  <c r="Z70"/>
  <c r="AJ8" l="1"/>
  <c r="AB8"/>
  <c r="Q8"/>
  <c r="S8"/>
  <c r="AI8"/>
  <c r="Z8"/>
  <c r="AA8"/>
  <c r="R8"/>
  <c r="AK8" l="1"/>
  <c r="AL8" s="1"/>
  <c r="T8"/>
  <c r="V8" s="1"/>
  <c r="AC8"/>
  <c r="AD8" s="1"/>
  <c r="AM8" l="1"/>
  <c r="AN8" s="1"/>
  <c r="U8"/>
  <c r="W8"/>
  <c r="AE8"/>
  <c r="AF8"/>
  <c r="X8" l="1"/>
  <c r="AG8"/>
  <c r="H8" l="1"/>
</calcChain>
</file>

<file path=xl/comments1.xml><?xml version="1.0" encoding="utf-8"?>
<comments xmlns="http://schemas.openxmlformats.org/spreadsheetml/2006/main">
  <authors>
    <author>Xuesong Zhou</author>
  </authors>
  <commentList>
    <comment ref="D218" authorId="0">
      <text>
        <r>
          <rPr>
            <b/>
            <sz val="8"/>
            <color indexed="81"/>
            <rFont val="Tahoma"/>
            <family val="2"/>
          </rPr>
          <t>A matrix function is used for this calculation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Xuesong Zhou</author>
  </authors>
  <commentList>
    <comment ref="AI2" authorId="0">
      <text>
        <r>
          <rPr>
            <b/>
            <sz val="8"/>
            <color indexed="81"/>
            <rFont val="Tahoma"/>
            <family val="2"/>
          </rPr>
          <t xml:space="preserve">This column serves as the reference for VLOOKUP function
</t>
        </r>
      </text>
    </comment>
    <comment ref="AC3" authorId="0">
      <text>
        <r>
          <rPr>
            <b/>
            <sz val="8"/>
            <color indexed="81"/>
            <rFont val="Tahoma"/>
            <family val="2"/>
          </rPr>
          <t xml:space="preserve">2: calculate the total production for all zones, per trip purpose
</t>
        </r>
      </text>
    </comment>
    <comment ref="AJ4" authorId="0">
      <text>
        <r>
          <rPr>
            <b/>
            <sz val="8"/>
            <color indexed="81"/>
            <rFont val="Tahoma"/>
            <family val="2"/>
          </rPr>
          <t>3: use original HBW productions, which are
more accurate predictors.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L4" authorId="0">
      <text>
        <r>
          <rPr>
            <b/>
            <sz val="8"/>
            <color indexed="81"/>
            <rFont val="Tahoma"/>
            <family val="2"/>
          </rPr>
          <t xml:space="preserve">4: balanced attraction = total production * relative attraction
</t>
        </r>
      </text>
    </comment>
    <comment ref="AR4" authorId="0">
      <text>
        <r>
          <rPr>
            <b/>
            <sz val="8"/>
            <color indexed="81"/>
            <rFont val="Tahoma"/>
            <family val="2"/>
          </rPr>
          <t>5: Balanced NHB production = total attraction * relative production, because attraction data are more reliable for NHB trips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1: Nodes 5 and 6 do not have any households and employees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Jeffrey Taylor</author>
    <author>Xuesong Zhou</author>
  </authors>
  <commentList>
    <comment ref="AJ1" authorId="0">
      <text>
        <r>
          <rPr>
            <b/>
            <sz val="8"/>
            <color indexed="81"/>
            <rFont val="Tahoma"/>
            <family val="2"/>
          </rPr>
          <t>We assume all drivers are alone. If not, there would be an occupancy factor to further convert person trips to vehicle trips.</t>
        </r>
      </text>
    </comment>
    <comment ref="P2" authorId="0">
      <text>
        <r>
          <rPr>
            <b/>
            <sz val="8"/>
            <color indexed="81"/>
            <rFont val="Tahoma"/>
            <family val="2"/>
          </rPr>
          <t>Also called weighted attractiveness</t>
        </r>
      </text>
    </comment>
    <comment ref="AI2" authorId="0">
      <text>
        <r>
          <rPr>
            <b/>
            <sz val="8"/>
            <color indexed="81"/>
            <rFont val="Tahoma"/>
            <family val="2"/>
          </rPr>
          <t>Calculated using Utility-based Mode Choice Model, at bottom-left corner of worksheet</t>
        </r>
      </text>
    </comment>
    <comment ref="Q3" authorId="1">
      <text>
        <r>
          <rPr>
            <b/>
            <sz val="8"/>
            <color indexed="81"/>
            <rFont val="Tahoma"/>
            <family val="2"/>
          </rPr>
          <t>This SUMIF expression calculates all weighted attractiveness from one origin zone to all zones</t>
        </r>
        <r>
          <rPr>
            <sz val="8"/>
            <color indexed="81"/>
            <rFont val="Tahoma"/>
            <family val="2"/>
          </rPr>
          <t xml:space="preserve">
Ref: http://office.microsoft.com/en-us/excel-help/sumif-HP005209292.aspx</t>
        </r>
      </text>
    </comment>
    <comment ref="AP3" authorId="1">
      <text>
        <r>
          <rPr>
            <b/>
            <sz val="8"/>
            <color indexed="81"/>
            <rFont val="Tahoma"/>
            <family val="2"/>
          </rPr>
          <t>Read the reference table (5. References) to understand how to obtain peak hour conversion factor</t>
        </r>
      </text>
    </comment>
    <comment ref="AS3" authorId="1">
      <text>
        <r>
          <rPr>
            <b/>
            <sz val="8"/>
            <color indexed="81"/>
            <rFont val="Tahoma"/>
            <family val="2"/>
          </rPr>
          <t>Intra-zonal demands always have largest volume, but they are not taken into account in traffic assignment</t>
        </r>
      </text>
    </comment>
    <comment ref="AU3" authorId="1">
      <text>
        <r>
          <rPr>
            <b/>
            <sz val="8"/>
            <color indexed="81"/>
            <rFont val="Tahoma"/>
            <family val="2"/>
          </rPr>
          <t>these 2 columns serve as reference for ease of comparison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Y17" authorId="1">
      <text>
        <r>
          <rPr>
            <b/>
            <sz val="8"/>
            <color indexed="81"/>
            <rFont val="Tahoma"/>
            <family val="2"/>
          </rPr>
          <t>relatively small difference between the 2 methods</t>
        </r>
      </text>
    </comment>
  </commentList>
</comments>
</file>

<file path=xl/comments4.xml><?xml version="1.0" encoding="utf-8"?>
<comments xmlns="http://schemas.openxmlformats.org/spreadsheetml/2006/main">
  <authors>
    <author>Xuesong Zhou</author>
  </authors>
  <commentList>
    <comment ref="AA2" authorId="0">
      <text>
        <r>
          <rPr>
            <b/>
            <sz val="8"/>
            <color indexed="81"/>
            <rFont val="Tahoma"/>
            <family val="2"/>
          </rPr>
          <t>1. Local network loading factor allows us to load a fraction of flow to the study (corridor) network.</t>
        </r>
      </text>
    </comment>
    <comment ref="Z3" authorId="0">
      <text>
        <r>
          <rPr>
            <b/>
            <sz val="8"/>
            <color indexed="81"/>
            <rFont val="Tahoma"/>
            <family val="2"/>
          </rPr>
          <t>0. OD demand comes from Column AS (labeled Peak-Hour Vehicle Demand)</t>
        </r>
        <r>
          <rPr>
            <sz val="8"/>
            <color indexed="81"/>
            <rFont val="Tahoma"/>
            <family val="2"/>
          </rPr>
          <t xml:space="preserve">
 in trip distribution worksheet</t>
        </r>
      </text>
    </comment>
    <comment ref="Z5" authorId="0">
      <text>
        <r>
          <rPr>
            <b/>
            <sz val="8"/>
            <color indexed="81"/>
            <rFont val="Tahoma"/>
            <family val="2"/>
          </rPr>
          <t xml:space="preserve">2. There are 3 paths from Node 1 to Node 3. </t>
        </r>
      </text>
    </comment>
    <comment ref="AB7" authorId="0">
      <text>
        <r>
          <rPr>
            <b/>
            <sz val="8"/>
            <color indexed="81"/>
            <rFont val="Tahoma"/>
            <family val="2"/>
          </rPr>
          <t>3. flow on path 3 = demand - flow on paths 1 and 2</t>
        </r>
        <r>
          <rPr>
            <sz val="8"/>
            <color indexed="81"/>
            <rFont val="Tahoma"/>
            <family val="2"/>
          </rPr>
          <t xml:space="preserve">
Flow on paths 1 and 2 will be used as "variables" to be changed and optimized.  </t>
        </r>
      </text>
    </comment>
    <comment ref="H8" authorId="0">
      <text>
        <r>
          <rPr>
            <b/>
            <sz val="8"/>
            <color indexed="81"/>
            <rFont val="Tahoma"/>
            <family val="2"/>
          </rPr>
          <t>12: total system-wide travel time = sum of gaps on different OD pairs</t>
        </r>
        <r>
          <rPr>
            <sz val="8"/>
            <color indexed="81"/>
            <rFont val="Tahoma"/>
            <family val="2"/>
          </rPr>
          <t xml:space="preserve">
total GAP is close to 0--&gt; UE (User Equilibrium)
After optimization, if you still get a large gap, please try a different feasible solution as a new starting point (provide different initial values in Green cells before running the Solver for solution).
This is a difficult nonlinear program in its own right.</t>
        </r>
      </text>
    </comment>
    <comment ref="Z8" authorId="0">
      <text>
        <r>
          <rPr>
            <b/>
            <sz val="8"/>
            <color indexed="81"/>
            <rFont val="Tahoma"/>
            <family val="2"/>
          </rPr>
          <t>4. path travel time = sum of link travel time over all links on the path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C8" authorId="0">
      <text>
        <r>
          <rPr>
            <b/>
            <sz val="8"/>
            <color indexed="81"/>
            <rFont val="Tahoma"/>
            <family val="2"/>
          </rPr>
          <t>5. OD minimum travel time/cost</t>
        </r>
      </text>
    </comment>
    <comment ref="AG8" authorId="0">
      <text>
        <r>
          <rPr>
            <b/>
            <sz val="8"/>
            <color indexed="81"/>
            <rFont val="Tahoma"/>
            <family val="2"/>
          </rPr>
          <t>6: traffic assignment UE gap function = path flow *(path cost-OD least cost)</t>
        </r>
        <r>
          <rPr>
            <sz val="8"/>
            <color indexed="81"/>
            <rFont val="Tahoma"/>
            <family val="2"/>
          </rPr>
          <t xml:space="preserve">
gap =0 -&gt; user equilibirum</t>
        </r>
      </text>
    </comment>
    <comment ref="A10" authorId="0">
      <text>
        <r>
          <rPr>
            <b/>
            <sz val="8"/>
            <color indexed="81"/>
            <rFont val="Tahoma"/>
            <family val="2"/>
          </rPr>
          <t xml:space="preserve">References: 
</t>
        </r>
        <r>
          <rPr>
            <sz val="8"/>
            <color indexed="81"/>
            <rFont val="Tahoma"/>
            <family val="2"/>
          </rPr>
          <t xml:space="preserve"> Lu, C-C., Mahmassani, H.S. and Zhou, X. (2009) Equivalent Gap Function-Based Reformulation and Solution Algorithm for the Dynamic User 
Lo, H. K., Chen, A., 2000a. Reformulating the general traffic equilibrium problem via a smooth gap function. Mathematical and Computer Modeling 31(2/3), 179-195.
Lo, H. K., Chen, A., 2000b. Traffic equilibrium problem with route-specific costs: formulation and algorithms. Transportation Research Part B 34(6), pp. 459-513.
</t>
        </r>
      </text>
    </comment>
    <comment ref="Z17" authorId="0">
      <text>
        <r>
          <rPr>
            <b/>
            <sz val="8"/>
            <color indexed="81"/>
            <rFont val="Tahoma"/>
            <family val="2"/>
          </rPr>
          <t>7. the first path of OD 1-&gt;3 passes through link 1-&gt;3.</t>
        </r>
      </text>
    </comment>
    <comment ref="B37" authorId="0">
      <text>
        <r>
          <rPr>
            <b/>
            <sz val="8"/>
            <color indexed="81"/>
            <rFont val="Tahoma"/>
            <family val="2"/>
          </rPr>
          <t>We use beta= 1 to use a linear travel time function (so that the gap function can be converged to 0).</t>
        </r>
      </text>
    </comment>
    <comment ref="K38" authorId="0">
      <text>
        <r>
          <rPr>
            <b/>
            <sz val="8"/>
            <color indexed="81"/>
            <rFont val="Tahoma"/>
            <family val="2"/>
          </rPr>
          <t>9. total link flow = sum of path flow passing through this link over all paths</t>
        </r>
      </text>
    </comment>
    <comment ref="M38" authorId="0">
      <text>
        <r>
          <rPr>
            <b/>
            <sz val="8"/>
            <color indexed="81"/>
            <rFont val="Tahoma"/>
            <family val="2"/>
          </rPr>
          <t>10: link travel time = BRP function (volume/capacity)
link cost = link travel time + toll/VOT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Z38" authorId="0">
      <text>
        <r>
          <rPr>
            <b/>
            <sz val="8"/>
            <color indexed="81"/>
            <rFont val="Tahoma"/>
            <family val="2"/>
          </rPr>
          <t>8. link flow on the first path = path flow * path-to-link incidence coefficient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58" authorId="0">
      <text>
        <r>
          <rPr>
            <b/>
            <sz val="8"/>
            <color indexed="81"/>
            <rFont val="Tahoma"/>
            <family val="2"/>
          </rPr>
          <t>11. link travel time on this path = corresponding link travel time *0_1_indicator.
Indicator = 1, if path passes through this link, =0, otherwise</t>
        </r>
      </text>
    </comment>
  </commentList>
</comments>
</file>

<file path=xl/comments5.xml><?xml version="1.0" encoding="utf-8"?>
<comments xmlns="http://schemas.openxmlformats.org/spreadsheetml/2006/main">
  <authors>
    <author>Jeffrey Taylor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Procedure:</t>
        </r>
        <r>
          <rPr>
            <sz val="9"/>
            <color indexed="81"/>
            <rFont val="Tahoma"/>
            <family val="2"/>
          </rPr>
          <t xml:space="preserve">
Draw a uniform random number (between 0 and 1) for each value in the population. The random number is the probability of selecting this number as a sample through random sampling. 
Population values with randomly-generated numbers below the sampling rate are considered a part of the survey sample.
</t>
        </r>
      </text>
    </comment>
  </commentList>
</comments>
</file>

<file path=xl/comments6.xml><?xml version="1.0" encoding="utf-8"?>
<comments xmlns="http://schemas.openxmlformats.org/spreadsheetml/2006/main">
  <authors>
    <author>Jeffrey Taylor</author>
  </authors>
  <commentList>
    <comment ref="B9" authorId="0">
      <text>
        <r>
          <rPr>
            <b/>
            <sz val="8"/>
            <color indexed="81"/>
            <rFont val="Tahoma"/>
            <family val="2"/>
          </rPr>
          <t>This table represents the growth ratio for # of trips between origin and destination</t>
        </r>
      </text>
    </comment>
    <comment ref="H10" authorId="0">
      <text>
        <r>
          <rPr>
            <b/>
            <sz val="8"/>
            <color indexed="81"/>
            <rFont val="Tahoma"/>
            <family val="2"/>
          </rPr>
          <t>Alpha is the growth ratio in the origin zone, and Beta is the growth ratio in the destination zone</t>
        </r>
        <r>
          <rPr>
            <sz val="8"/>
            <color indexed="81"/>
            <rFont val="Tahoma"/>
            <family val="2"/>
          </rPr>
          <t xml:space="preserve">
Both are estimated using the Solver.</t>
        </r>
      </text>
    </comment>
    <comment ref="B16" authorId="0">
      <text>
        <r>
          <rPr>
            <b/>
            <sz val="8"/>
            <color indexed="81"/>
            <rFont val="Tahoma"/>
            <family val="2"/>
          </rPr>
          <t>New Estimated Trip Distribution table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Jeffrey Taylor</author>
  </authors>
  <commentList>
    <comment ref="F19" authorId="0">
      <text>
        <r>
          <rPr>
            <b/>
            <sz val="11"/>
            <color indexed="81"/>
            <rFont val="Tahoma"/>
            <family val="2"/>
          </rPr>
          <t>δ</t>
        </r>
        <r>
          <rPr>
            <b/>
            <vertAlign val="subscript"/>
            <sz val="11"/>
            <color indexed="81"/>
            <rFont val="Tahoma"/>
            <family val="2"/>
          </rPr>
          <t>jt</t>
        </r>
        <r>
          <rPr>
            <b/>
            <sz val="11"/>
            <color indexed="81"/>
            <rFont val="Tahoma"/>
            <family val="2"/>
          </rPr>
          <t xml:space="preserve"> : Which modes they chose</t>
        </r>
      </text>
    </comment>
    <comment ref="I19" authorId="0">
      <text>
        <r>
          <rPr>
            <b/>
            <sz val="9"/>
            <color indexed="81"/>
            <rFont val="Tahoma"/>
            <family val="2"/>
          </rPr>
          <t>Utility of each mode:</t>
        </r>
      </text>
    </comment>
    <comment ref="L19" authorId="0">
      <text>
        <r>
          <rPr>
            <b/>
            <sz val="9"/>
            <color indexed="81"/>
            <rFont val="Tahoma"/>
            <family val="2"/>
          </rPr>
          <t>Our Prediction of their Choice: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Model variables estimated through optimization</t>
        </r>
      </text>
    </comment>
  </commentList>
</comments>
</file>

<file path=xl/sharedStrings.xml><?xml version="1.0" encoding="utf-8"?>
<sst xmlns="http://schemas.openxmlformats.org/spreadsheetml/2006/main" count="888" uniqueCount="473">
  <si>
    <t>zone</t>
  </si>
  <si>
    <t>emp_retail</t>
  </si>
  <si>
    <t>emp_service</t>
  </si>
  <si>
    <t>emp_other</t>
  </si>
  <si>
    <t>auto_ownership_0</t>
  </si>
  <si>
    <t>auto_ownership_1</t>
  </si>
  <si>
    <t>auto_ownership_2+</t>
  </si>
  <si>
    <t>HBW_P</t>
  </si>
  <si>
    <t>HBW_A</t>
  </si>
  <si>
    <t>HBO_P</t>
  </si>
  <si>
    <t>HBO_A</t>
  </si>
  <si>
    <t>NHB_P</t>
  </si>
  <si>
    <t>NHB_A</t>
  </si>
  <si>
    <t># of Productions/HH</t>
  </si>
  <si>
    <t>HBW</t>
  </si>
  <si>
    <t>HBO</t>
  </si>
  <si>
    <t>NHB</t>
  </si>
  <si>
    <t>Method:</t>
  </si>
  <si>
    <t>ITE Trip Attraction Rates</t>
  </si>
  <si>
    <t>HBW  =  1.45(Total Employment)</t>
  </si>
  <si>
    <t>HBO  =  0.9(# of Households) + 9(Retail Employment) + 1.7(Service Employment) + 0.5(Other Employment)</t>
  </si>
  <si>
    <t>NHB  =  0.5(# of Households) + 4.1(Retail Employment) + 1.2(Service Employment) + 0.5(Other Employment)</t>
  </si>
  <si>
    <t># of HH</t>
  </si>
  <si>
    <t>EMP_retail</t>
  </si>
  <si>
    <t>EMP_service</t>
  </si>
  <si>
    <t>EMP_other</t>
  </si>
  <si>
    <t>B_HBW_P</t>
  </si>
  <si>
    <t>B_HBW_A</t>
  </si>
  <si>
    <t>B_HBO_P</t>
  </si>
  <si>
    <t>B_HBO_A</t>
  </si>
  <si>
    <t>B_NHB_P</t>
  </si>
  <si>
    <t>B_NHB_A</t>
  </si>
  <si>
    <t>SUM</t>
  </si>
  <si>
    <t>Friction Factor Model: (Gamma Model)</t>
  </si>
  <si>
    <t>i = origin zone</t>
  </si>
  <si>
    <t>a, b, c = coefficients</t>
  </si>
  <si>
    <t>j = destination zone</t>
  </si>
  <si>
    <r>
      <t>TT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Travel Time from zone i to zone j</t>
    </r>
  </si>
  <si>
    <t>Friction Factor Coefficients:</t>
  </si>
  <si>
    <t>Trip Purpose</t>
  </si>
  <si>
    <t>a</t>
  </si>
  <si>
    <t>b</t>
  </si>
  <si>
    <t>c</t>
  </si>
  <si>
    <t>Glossary:</t>
  </si>
  <si>
    <t>HBW:</t>
  </si>
  <si>
    <t>Home-Based Work Trips</t>
  </si>
  <si>
    <t>HBO:</t>
  </si>
  <si>
    <t>Home-Based Other Trips</t>
  </si>
  <si>
    <t>NHB:</t>
  </si>
  <si>
    <t>Non-Home-Based Trips</t>
  </si>
  <si>
    <t>HH:</t>
  </si>
  <si>
    <t>Household</t>
  </si>
  <si>
    <t>Friction Factor:</t>
  </si>
  <si>
    <t>A factor describing the relative attractiveness of a TAZ based on travel time, where the zone is more attractive as a destination as the friction factor increases</t>
  </si>
  <si>
    <t>Data Sources and References:</t>
  </si>
  <si>
    <t>McNally, Michael G. The Four Step Model. Tech. Rep. UCI-ITS-AS-WP-07-2, Institute of Transportation Studies, UC Irvine, 2007.</t>
  </si>
  <si>
    <t>Attraction</t>
  </si>
  <si>
    <t>HBW_friction_factor</t>
  </si>
  <si>
    <t>HBO_friction_factor</t>
  </si>
  <si>
    <t>NHB_friction_factor</t>
  </si>
  <si>
    <t>Gravity Model Steps:</t>
  </si>
  <si>
    <t>#1: Calculate Friction Factors for each Trip Type</t>
  </si>
  <si>
    <t>#2: Use Friction Factors in Gravity Model</t>
  </si>
  <si>
    <r>
      <t>P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Productions in Zone i</t>
    </r>
  </si>
  <si>
    <r>
      <t>T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Trips from Zone i to Zone j</t>
    </r>
  </si>
  <si>
    <r>
      <t>A</t>
    </r>
    <r>
      <rPr>
        <vertAlign val="subscript"/>
        <sz val="11"/>
        <color theme="1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= Attractions in Zone j</t>
    </r>
  </si>
  <si>
    <r>
      <t>F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Friction Factor for travel from Zone i to Zone j</t>
    </r>
  </si>
  <si>
    <r>
      <t>K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Correction Factor for travel from Zone i to Zone j (default K</t>
    </r>
    <r>
      <rPr>
        <vertAlign val="subscript"/>
        <sz val="11"/>
        <color theme="1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= 1)</t>
    </r>
  </si>
  <si>
    <t>HBW_Pi</t>
  </si>
  <si>
    <t>HBW_Aj</t>
  </si>
  <si>
    <t>HBW_Aj*Fij</t>
  </si>
  <si>
    <t>RelativeAttractiveness</t>
  </si>
  <si>
    <t>HBW_Tij</t>
  </si>
  <si>
    <t>HBO_Pi</t>
  </si>
  <si>
    <t>HBO_Tij</t>
  </si>
  <si>
    <t>NHB_Pi</t>
  </si>
  <si>
    <t>NHB_Aj</t>
  </si>
  <si>
    <t>NHB_Aj*Fij</t>
  </si>
  <si>
    <t>NHB_Tij</t>
  </si>
  <si>
    <t>driving_travel_time_in_min</t>
  </si>
  <si>
    <t>Legend</t>
  </si>
  <si>
    <t>OD</t>
  </si>
  <si>
    <t>1-&gt;4</t>
  </si>
  <si>
    <t>1-&gt;3</t>
  </si>
  <si>
    <t>input</t>
  </si>
  <si>
    <t>Demand</t>
  </si>
  <si>
    <t>Variable</t>
  </si>
  <si>
    <t>gap</t>
  </si>
  <si>
    <t>total_gap</t>
  </si>
  <si>
    <t>Intermediate Result</t>
  </si>
  <si>
    <t>Path</t>
  </si>
  <si>
    <t>min_TT</t>
  </si>
  <si>
    <t>Intermediate Target Cell</t>
  </si>
  <si>
    <t>flow as variable</t>
  </si>
  <si>
    <t>flow as derived variable</t>
  </si>
  <si>
    <t>Target gap function</t>
  </si>
  <si>
    <t>from_node_id</t>
  </si>
  <si>
    <t>to_node_id</t>
  </si>
  <si>
    <t>link-path-incidence matrix</t>
  </si>
  <si>
    <t>BPR_alpha</t>
  </si>
  <si>
    <t>BPR_beta</t>
  </si>
  <si>
    <t>length_in_mile</t>
  </si>
  <si>
    <t>number_of_lanes</t>
  </si>
  <si>
    <t>speed_limit_in_mph</t>
  </si>
  <si>
    <t>lane_capacity_in_vhc_per_hour</t>
  </si>
  <si>
    <t>link_type</t>
  </si>
  <si>
    <t>FFTT_min</t>
  </si>
  <si>
    <t>total_flow</t>
  </si>
  <si>
    <t>link_travel_time</t>
  </si>
  <si>
    <t>path travel time</t>
  </si>
  <si>
    <t>2 Cars</t>
  </si>
  <si>
    <t>1 Car</t>
  </si>
  <si>
    <t>0 Cars</t>
  </si>
  <si>
    <t>High</t>
  </si>
  <si>
    <t>Middle</t>
  </si>
  <si>
    <t>Low</t>
  </si>
  <si>
    <t>Income</t>
  </si>
  <si>
    <t>Total</t>
  </si>
  <si>
    <t>Zone 4</t>
  </si>
  <si>
    <t>Zone 3</t>
  </si>
  <si>
    <t>Other</t>
  </si>
  <si>
    <t>Service</t>
  </si>
  <si>
    <t>Retail</t>
  </si>
  <si>
    <t>Zone</t>
  </si>
  <si>
    <t>Zone 2</t>
  </si>
  <si>
    <t>Zone 1</t>
  </si>
  <si>
    <t>Total Employment</t>
  </si>
  <si>
    <t>Total # of Households</t>
  </si>
  <si>
    <t>Description:  Identifies # of households in each zone with the specified car ownership and income</t>
  </si>
  <si>
    <t>Description: Identifies # of households and # of jobs classified by type in each zone</t>
  </si>
  <si>
    <t>Household Demographic Information</t>
  </si>
  <si>
    <t>Zone Socio-Economic Information</t>
  </si>
  <si>
    <t>Outputs: # of Productions, # of Attractions</t>
  </si>
  <si>
    <t>Inputs: Zone Characteristics (# of HH, HH Income, Auto Ownership, Employment, etc.)</t>
  </si>
  <si>
    <t>Objective:  Estimate the number of trips entering and leaving each zone</t>
  </si>
  <si>
    <t>Trip Generation</t>
  </si>
  <si>
    <t>Given Household Characteristics Data:</t>
  </si>
  <si>
    <t>HH Income</t>
  </si>
  <si>
    <t>Cars/HH</t>
  </si>
  <si>
    <t>Trip Production Table:</t>
  </si>
  <si>
    <t>Results:</t>
  </si>
  <si>
    <r>
      <t xml:space="preserve">Multiply </t>
    </r>
    <r>
      <rPr>
        <b/>
        <sz val="11"/>
        <color theme="1"/>
        <rFont val="Calibri"/>
        <family val="2"/>
        <scheme val="minor"/>
      </rPr>
      <t>Trip Production Table</t>
    </r>
    <r>
      <rPr>
        <sz val="11"/>
        <color theme="1"/>
        <rFont val="Calibri"/>
        <family val="2"/>
        <scheme val="minor"/>
      </rPr>
      <t xml:space="preserve"> coefficients with corresponding # of households in each category</t>
    </r>
  </si>
  <si>
    <t>Process:</t>
  </si>
  <si>
    <t>Cross Classification</t>
  </si>
  <si>
    <t>Trip Productions</t>
  </si>
  <si>
    <t>Summarized Form:  Trip Attraction Coefficient Table</t>
  </si>
  <si>
    <t>Trip Attraction Table</t>
  </si>
  <si>
    <t>Employment Type</t>
  </si>
  <si>
    <t>Trip Type</t>
  </si>
  <si>
    <t>Example:  HBW Attractions = 1.45*Total Employment</t>
  </si>
  <si>
    <t>Zone Socio-Economic Data:</t>
  </si>
  <si>
    <t>Trip Distribution</t>
  </si>
  <si>
    <t>Methods:</t>
  </si>
  <si>
    <t>Objective:  Estimate the number of trips made between each zone</t>
  </si>
  <si>
    <t>Gravity Model</t>
  </si>
  <si>
    <t>Inputs: Productions, Attractions, Travel time between zones</t>
  </si>
  <si>
    <t>Growth Factor Model</t>
  </si>
  <si>
    <t>Outputs: # of Person Trips from Zone i to Zone j</t>
  </si>
  <si>
    <t>Discrete Choice Model</t>
  </si>
  <si>
    <t>Travel Time Table: Time in (minutes)</t>
  </si>
  <si>
    <t>Destination</t>
  </si>
  <si>
    <t>TAZ 1</t>
  </si>
  <si>
    <t>TAZ 2</t>
  </si>
  <si>
    <t>TAZ 3</t>
  </si>
  <si>
    <t>TAZ 4</t>
  </si>
  <si>
    <t>Origin</t>
  </si>
  <si>
    <t>Trip Attraction</t>
  </si>
  <si>
    <t>Friction Factor Tables:</t>
  </si>
  <si>
    <t>Type = HBW</t>
  </si>
  <si>
    <t>Type = HBO</t>
  </si>
  <si>
    <t>Type = NHB</t>
  </si>
  <si>
    <t>Productions:</t>
  </si>
  <si>
    <t>TAZ</t>
  </si>
  <si>
    <t>Attractions:</t>
  </si>
  <si>
    <t>Gravity Model Calculations for Trip Distribution by Trip Type:</t>
  </si>
  <si>
    <t>Final Trip Distribution Table:</t>
  </si>
  <si>
    <t>Total Trips</t>
  </si>
  <si>
    <t>SOLUTION PROCESS</t>
  </si>
  <si>
    <t>HBW_Peak hour factor</t>
  </si>
  <si>
    <t>HBO_peak_hour_factor</t>
  </si>
  <si>
    <t>NHB_peak_hour_factor</t>
  </si>
  <si>
    <t>Reference:  Lu, C-C., Mahmassani, H.S. and Zhou, X. (2009) Equivalent Gap Function-Based Reformulation and Solution Algorithm for the Dynamic User Equilibrium Problem. Transportation Research Part B. Vol. 43, No. 3, pp. 345-364</t>
  </si>
  <si>
    <t xml:space="preserve">OD </t>
  </si>
  <si>
    <t>1-&gt;2</t>
  </si>
  <si>
    <t>path_to_link flow</t>
  </si>
  <si>
    <t>path travel_time</t>
  </si>
  <si>
    <t>Local Network Loading Factor</t>
  </si>
  <si>
    <t>Growth factor</t>
  </si>
  <si>
    <t>LOS</t>
  </si>
  <si>
    <t>VOT: $/hr</t>
  </si>
  <si>
    <t>Road_toll_in_$</t>
  </si>
  <si>
    <t>Legend of Optimization</t>
  </si>
  <si>
    <t>VOC Ratio = volume / link capacity</t>
  </si>
  <si>
    <t xml:space="preserve">Reference: </t>
  </si>
  <si>
    <t>Development of an Interactive Traffic Operations Center Staff Training Simulator for Real-time Traffic Management: A Showcase from Salt Lake City, Utah</t>
  </si>
  <si>
    <t>http://www.mygistics.com/docs/MYG_Response_Strategy_Planning_WhitePaper.pdf</t>
  </si>
  <si>
    <t>time_series_label</t>
  </si>
  <si>
    <t>5h00</t>
  </si>
  <si>
    <t>5h15</t>
  </si>
  <si>
    <t>5h30</t>
  </si>
  <si>
    <t>5h45</t>
  </si>
  <si>
    <t>6h00</t>
  </si>
  <si>
    <t>6h15</t>
  </si>
  <si>
    <t>6h30</t>
  </si>
  <si>
    <t>6h45</t>
  </si>
  <si>
    <t>7h00</t>
  </si>
  <si>
    <t>7h15</t>
  </si>
  <si>
    <t>7h30</t>
  </si>
  <si>
    <t>7h45</t>
  </si>
  <si>
    <t>8h00</t>
  </si>
  <si>
    <t>8h15</t>
  </si>
  <si>
    <t>8h30</t>
  </si>
  <si>
    <t>8h45</t>
  </si>
  <si>
    <t>9h00</t>
  </si>
  <si>
    <t>9h15</t>
  </si>
  <si>
    <t>9h30</t>
  </si>
  <si>
    <t>9h45</t>
  </si>
  <si>
    <t>10h00</t>
  </si>
  <si>
    <t>10h15</t>
  </si>
  <si>
    <t>10h30</t>
  </si>
  <si>
    <t>10h45</t>
  </si>
  <si>
    <t>11h00</t>
  </si>
  <si>
    <t>11h15</t>
  </si>
  <si>
    <t>11h30</t>
  </si>
  <si>
    <t>11h45</t>
  </si>
  <si>
    <t>12h00</t>
  </si>
  <si>
    <t>12h15</t>
  </si>
  <si>
    <t>12h30</t>
  </si>
  <si>
    <t>12h45</t>
  </si>
  <si>
    <t>13h00</t>
  </si>
  <si>
    <t>13h15</t>
  </si>
  <si>
    <t>13h30</t>
  </si>
  <si>
    <t>13h45</t>
  </si>
  <si>
    <t>14h00</t>
  </si>
  <si>
    <t>14h15</t>
  </si>
  <si>
    <t>14h30</t>
  </si>
  <si>
    <t>14h45</t>
  </si>
  <si>
    <t>15h00</t>
  </si>
  <si>
    <t>15h15</t>
  </si>
  <si>
    <t>15h30</t>
  </si>
  <si>
    <t>15h45</t>
  </si>
  <si>
    <t>16h00</t>
  </si>
  <si>
    <t>16h15</t>
  </si>
  <si>
    <t>16h30</t>
  </si>
  <si>
    <t>16h45</t>
  </si>
  <si>
    <t>17h00</t>
  </si>
  <si>
    <t>17h15</t>
  </si>
  <si>
    <t>17h30</t>
  </si>
  <si>
    <t>17h45</t>
  </si>
  <si>
    <t>18h00</t>
  </si>
  <si>
    <t>18h15</t>
  </si>
  <si>
    <t>18h30</t>
  </si>
  <si>
    <t>18h45</t>
  </si>
  <si>
    <t>19h00</t>
  </si>
  <si>
    <t>19h15</t>
  </si>
  <si>
    <t>19h30</t>
  </si>
  <si>
    <t>19h45</t>
  </si>
  <si>
    <t>20h00</t>
  </si>
  <si>
    <t>20h15</t>
  </si>
  <si>
    <t>20h30</t>
  </si>
  <si>
    <t>20h45</t>
  </si>
  <si>
    <t>21h00</t>
  </si>
  <si>
    <t>21h15</t>
  </si>
  <si>
    <t>21h30</t>
  </si>
  <si>
    <t>21h45</t>
  </si>
  <si>
    <t>22h00</t>
  </si>
  <si>
    <t>22h15</t>
  </si>
  <si>
    <t>22h30</t>
  </si>
  <si>
    <t>22h45</t>
  </si>
  <si>
    <t>23h00</t>
  </si>
  <si>
    <t>23h15</t>
  </si>
  <si>
    <t>23h30</t>
  </si>
  <si>
    <t>23h45</t>
  </si>
  <si>
    <t>0h00</t>
  </si>
  <si>
    <t>0h15</t>
  </si>
  <si>
    <t>0h30</t>
  </si>
  <si>
    <t>0h45</t>
  </si>
  <si>
    <t>1h00</t>
  </si>
  <si>
    <t>1h15</t>
  </si>
  <si>
    <t>1h30</t>
  </si>
  <si>
    <t>1h45</t>
  </si>
  <si>
    <t>2h00</t>
  </si>
  <si>
    <t>2h15</t>
  </si>
  <si>
    <t>2h30</t>
  </si>
  <si>
    <t>2h45</t>
  </si>
  <si>
    <t>3h00</t>
  </si>
  <si>
    <t>3h15</t>
  </si>
  <si>
    <t>3h30</t>
  </si>
  <si>
    <t>3h45</t>
  </si>
  <si>
    <t>4h00</t>
  </si>
  <si>
    <t>4h15</t>
  </si>
  <si>
    <t>4h30</t>
  </si>
  <si>
    <t>4h45</t>
  </si>
  <si>
    <t>HBW_SOV_AP</t>
  </si>
  <si>
    <t>HBW_SOV_PA</t>
  </si>
  <si>
    <t>HBO_SOV_AP</t>
  </si>
  <si>
    <t>HBO_SOV_PA</t>
  </si>
  <si>
    <t>NHB_SOV_AP</t>
  </si>
  <si>
    <t>NHB_SOV_PA</t>
  </si>
  <si>
    <t>Trucks</t>
  </si>
  <si>
    <t>Reference:</t>
  </si>
  <si>
    <t>FHWA Alexandria TRANSIMS Data Set</t>
  </si>
  <si>
    <t>Peak Hour Factor: 7AM-8AM</t>
  </si>
  <si>
    <t>number_of_households</t>
  </si>
  <si>
    <t>% of 0 car</t>
  </si>
  <si>
    <t>% of 1 car</t>
  </si>
  <si>
    <t>% of 2+ cars</t>
  </si>
  <si>
    <t># of HH_0 car</t>
  </si>
  <si>
    <t># of HH_1 car</t>
  </si>
  <si>
    <t># of HH_2+ car</t>
  </si>
  <si>
    <t>Reference</t>
  </si>
  <si>
    <t>Base Year:# of_households</t>
  </si>
  <si>
    <t>Base Year</t>
  </si>
  <si>
    <t>Final output</t>
  </si>
  <si>
    <t>total # of employees</t>
  </si>
  <si>
    <t>Future Year</t>
  </si>
  <si>
    <t>Balanced</t>
  </si>
  <si>
    <t>transit_travel_time_in_min</t>
  </si>
  <si>
    <t>Mode constant</t>
  </si>
  <si>
    <t>beta</t>
  </si>
  <si>
    <t>Driving_mode_split</t>
  </si>
  <si>
    <t>Public_Transit_split</t>
  </si>
  <si>
    <t>HBW_car</t>
  </si>
  <si>
    <t>HBO_car</t>
  </si>
  <si>
    <t>NHB_car</t>
  </si>
  <si>
    <t>Peak-hour vehicle demand</t>
  </si>
  <si>
    <t>Modal Split</t>
  </si>
  <si>
    <t>Examples of Logit Model Equations:</t>
  </si>
  <si>
    <r>
      <t>P</t>
    </r>
    <r>
      <rPr>
        <vertAlign val="subscript"/>
        <sz val="11"/>
        <color theme="1"/>
        <rFont val="Calibri"/>
        <family val="2"/>
        <scheme val="minor"/>
      </rPr>
      <t>auto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bus</t>
    </r>
    <r>
      <rPr>
        <sz val="11"/>
        <color theme="1"/>
        <rFont val="Calibri"/>
        <family val="2"/>
        <scheme val="minor"/>
      </rPr>
      <t xml:space="preserve">  =  1</t>
    </r>
  </si>
  <si>
    <t>Logit Model</t>
  </si>
  <si>
    <t>Inputs:</t>
  </si>
  <si>
    <t>Travel Time between zones, cost, etc.</t>
  </si>
  <si>
    <t>Outputs:</t>
  </si>
  <si>
    <t>Trips for each mode of travel</t>
  </si>
  <si>
    <t>Logit Model:</t>
  </si>
  <si>
    <r>
      <t>P</t>
    </r>
    <r>
      <rPr>
        <vertAlign val="subscript"/>
        <sz val="11"/>
        <color theme="1"/>
        <rFont val="Calibri"/>
        <family val="2"/>
        <scheme val="minor"/>
      </rPr>
      <t xml:space="preserve">i </t>
    </r>
    <r>
      <rPr>
        <sz val="11"/>
        <color theme="1"/>
        <rFont val="Calibri"/>
        <family val="2"/>
        <scheme val="minor"/>
      </rPr>
      <t>= probability of using mode i</t>
    </r>
  </si>
  <si>
    <r>
      <t>U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= Utility of using mode i</t>
    </r>
  </si>
  <si>
    <t xml:space="preserve"> j represents different modes (Auto, HOV, Transit, etc.)</t>
  </si>
  <si>
    <t>Simple Utility Function:</t>
  </si>
  <si>
    <t>We can use survey data to calibrate our utility function, as seen below.</t>
  </si>
  <si>
    <t>Calibration Process:</t>
  </si>
  <si>
    <t>Without modal constant</t>
  </si>
  <si>
    <t>We need to find the Beta coefficient which best predicts traveler choice.</t>
  </si>
  <si>
    <t xml:space="preserve">Survey Data: </t>
  </si>
  <si>
    <t>Log-Likelihood</t>
  </si>
  <si>
    <t>Traveler</t>
  </si>
  <si>
    <t>Auto TT (min)</t>
  </si>
  <si>
    <t>Bus TT (min)</t>
  </si>
  <si>
    <t>Chosen Mode_Auto</t>
  </si>
  <si>
    <t>Chosen Mode_Bus</t>
  </si>
  <si>
    <t>U_Auto</t>
  </si>
  <si>
    <t>U_Bus</t>
  </si>
  <si>
    <t>SUM_Exp(U)</t>
  </si>
  <si>
    <t>Prob_Auto</t>
  </si>
  <si>
    <t>Prob_Bus</t>
  </si>
  <si>
    <t>LL_Auto</t>
  </si>
  <si>
    <t>LL_Bus</t>
  </si>
  <si>
    <t>Function Variables:</t>
  </si>
  <si>
    <t>Optimization Objective:</t>
  </si>
  <si>
    <t>Beta</t>
  </si>
  <si>
    <t>Obj _LL</t>
  </si>
  <si>
    <t>j = mode</t>
  </si>
  <si>
    <r>
      <t>P</t>
    </r>
    <r>
      <rPr>
        <vertAlign val="subscript"/>
        <sz val="11"/>
        <color theme="1"/>
        <rFont val="Calibri"/>
        <family val="2"/>
        <scheme val="minor"/>
      </rPr>
      <t>jt</t>
    </r>
    <r>
      <rPr>
        <sz val="11"/>
        <color theme="1"/>
        <rFont val="Calibri"/>
        <family val="2"/>
        <scheme val="minor"/>
      </rPr>
      <t xml:space="preserve"> = Probabity of traveler t using mode j</t>
    </r>
  </si>
  <si>
    <t>t = traveler</t>
  </si>
  <si>
    <r>
      <t>δ</t>
    </r>
    <r>
      <rPr>
        <vertAlign val="subscript"/>
        <sz val="11"/>
        <color theme="1"/>
        <rFont val="Calibri"/>
        <family val="2"/>
      </rPr>
      <t>jt</t>
    </r>
    <r>
      <rPr>
        <sz val="11"/>
        <color theme="1"/>
        <rFont val="Calibri"/>
        <family val="2"/>
      </rPr>
      <t xml:space="preserve"> = 1 if traveler t chose mode j, 0 if they did not</t>
    </r>
  </si>
  <si>
    <t xml:space="preserve">With modal constant </t>
  </si>
  <si>
    <t>(accounts for factors not considered in our utility function, or modal bias)</t>
  </si>
  <si>
    <t>Survey Data:</t>
  </si>
  <si>
    <t>Auto TT</t>
  </si>
  <si>
    <t>Bus TT</t>
  </si>
  <si>
    <t>We use the Solver again to maximize the log likelihood function.</t>
  </si>
  <si>
    <t>Const.</t>
  </si>
  <si>
    <t>frequence</t>
  </si>
  <si>
    <t>income</t>
  </si>
  <si>
    <t>histogram</t>
  </si>
  <si>
    <t>converted integer number</t>
  </si>
  <si>
    <t xml:space="preserve">Standard Deviation </t>
  </si>
  <si>
    <t>sample mean</t>
  </si>
  <si>
    <t>population mean</t>
  </si>
  <si>
    <t>Random number sequence: uniform: [0,1]</t>
  </si>
  <si>
    <t>sample sequence 1</t>
  </si>
  <si>
    <t>sampling rate</t>
  </si>
  <si>
    <t>sample no</t>
  </si>
  <si>
    <t>Population</t>
  </si>
  <si>
    <t>Error*Error</t>
  </si>
  <si>
    <t>Total Error*Error</t>
  </si>
  <si>
    <t>Target</t>
  </si>
  <si>
    <t>attraction (A)</t>
  </si>
  <si>
    <t>production (P)</t>
  </si>
  <si>
    <t>Beta J</t>
  </si>
  <si>
    <t>Alpha I</t>
  </si>
  <si>
    <t>Growth Ratio</t>
  </si>
  <si>
    <t>Base Year (historical)</t>
  </si>
  <si>
    <t>growth factor</t>
  </si>
  <si>
    <t>A</t>
  </si>
  <si>
    <t>B</t>
  </si>
  <si>
    <t>C</t>
  </si>
  <si>
    <t>D</t>
  </si>
  <si>
    <t>E</t>
  </si>
  <si>
    <t>F</t>
  </si>
  <si>
    <t>LOS (Level of Service)</t>
  </si>
  <si>
    <t>Input 2:</t>
  </si>
  <si>
    <t>Input 1: Traffic Network</t>
  </si>
  <si>
    <t>Input 3:</t>
  </si>
  <si>
    <t>Input 4: Trip Production Table:</t>
  </si>
  <si>
    <t>Input 5: Trip Attraction Coefficient Table</t>
  </si>
  <si>
    <t>http://escholarship.org/uc/item/0r75311t</t>
  </si>
  <si>
    <t>Source: based on Martin and McGuckin (1998), Table 7, pg. 27.</t>
  </si>
  <si>
    <t>Martin,W.A. and N.A.McGuckin (1998). Travel Estimation Techniques for Urban Planning,</t>
  </si>
  <si>
    <t>NCHRP Report 365, Transportation Research Board, Washington, DC.</t>
  </si>
  <si>
    <t>Friction</t>
  </si>
  <si>
    <t>Travel Time (min)</t>
  </si>
  <si>
    <t>1: calculate future # of households</t>
  </si>
  <si>
    <t xml:space="preserve">3: future year employment </t>
  </si>
  <si>
    <t>4: future year employment per category</t>
  </si>
  <si>
    <t>5: calculate production and attraction per trip purpose</t>
  </si>
  <si>
    <t>s</t>
  </si>
  <si>
    <t>2. obtain accessibility data from external traffic assignment program, such as NEXTA</t>
  </si>
  <si>
    <t>3. calculate friction factors</t>
  </si>
  <si>
    <t>4: total production</t>
  </si>
  <si>
    <t>5. zone-based attraction</t>
  </si>
  <si>
    <t>6.attractiveness*friction</t>
  </si>
  <si>
    <t>8. relative attractiveness</t>
  </si>
  <si>
    <t>7. sum of weighted attractiveness</t>
  </si>
  <si>
    <t>Step 1: menu-&gt; data -&gt; Solver -&gt; solve</t>
  </si>
  <si>
    <t>Quick Response Method Tables (NCHRP 187, Sosslau et al., 1978)</t>
  </si>
  <si>
    <t xml:space="preserve">Source: </t>
  </si>
  <si>
    <t>Equation</t>
  </si>
  <si>
    <t>Alternative Trip Attraction Table</t>
  </si>
  <si>
    <t>production_TAZ</t>
  </si>
  <si>
    <t>attraction_TAZ</t>
  </si>
  <si>
    <t>1. production-to-attraction</t>
  </si>
  <si>
    <t>Volume/Capacity: VOC</t>
  </si>
  <si>
    <t>Input 6: Travel Time Table: Time in (minutes)</t>
  </si>
  <si>
    <t>Input 7: Friction Factor Coefficients:</t>
  </si>
  <si>
    <t>total number of trips</t>
  </si>
  <si>
    <t>Based on cross-classification method from the first sheet</t>
  </si>
  <si>
    <t>Percentage Difference</t>
  </si>
  <si>
    <t>Total Production</t>
  </si>
  <si>
    <t>origin_TAZ</t>
  </si>
  <si>
    <t>destination_TAZ</t>
  </si>
  <si>
    <t>Cofficients</t>
  </si>
  <si>
    <t>Total % Check</t>
  </si>
  <si>
    <t>2: calculate future # of households for each auto ownership category</t>
  </si>
  <si>
    <t>Equations, Models &amp; Inputs</t>
  </si>
  <si>
    <t>9: calculate P-to-A trip rate for HBO trip purpose</t>
  </si>
  <si>
    <t>10: calculate P-to-A trip rate for NHB trip propose</t>
  </si>
  <si>
    <r>
      <t xml:space="preserve">11: apply logit model to convert </t>
    </r>
    <r>
      <rPr>
        <b/>
        <sz val="11"/>
        <color rgb="FFFFFF00"/>
        <rFont val="Calibri"/>
        <family val="2"/>
        <scheme val="minor"/>
      </rPr>
      <t>person trips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rgb="FFFFFF00"/>
        <rFont val="Calibri"/>
        <family val="2"/>
        <scheme val="minor"/>
      </rPr>
      <t>vehicle trips</t>
    </r>
  </si>
  <si>
    <t>12: generate vehicular demand for 24 hours</t>
  </si>
  <si>
    <t>13: obtain peak hour conversion factor for each trip purpose</t>
  </si>
  <si>
    <t>14: combine all trip purposes to generate peak hour demand</t>
  </si>
  <si>
    <t>Utility-Based Mode Choice Model:</t>
  </si>
  <si>
    <t>Based on simplified method from column AO</t>
  </si>
  <si>
    <t>24-hour Demand Table</t>
  </si>
  <si>
    <t>Traffic Assignment Model Formulation:</t>
  </si>
  <si>
    <t>Peak Hour used in Spreadsheet</t>
  </si>
  <si>
    <t>Path 1</t>
  </si>
  <si>
    <t>Path 2</t>
  </si>
  <si>
    <t>Path 3</t>
  </si>
  <si>
    <t>BPR Link Travel Time Function:</t>
  </si>
  <si>
    <t>Destination Zone</t>
  </si>
  <si>
    <t>Origin Zone</t>
  </si>
  <si>
    <t>Input</t>
  </si>
  <si>
    <t>Intermediate Target</t>
  </si>
  <si>
    <t>To find the best Beta coefficient, we use the Solver to maximize the log likelihood function.</t>
  </si>
  <si>
    <t>Lo, H. K., Chen, A., 2000a. Reformulating the general traffic equilibrium problem via a smooth gap function. Mathematical and Computer Modeling 31(2/3), 179-195.</t>
  </si>
  <si>
    <t>Lo, H. K., Chen, A., 2000b. Traffic equilibrium problem with route-specific costs: formulation and algorithms. Transportation Research Part B 34(6), pp. 459-513.</t>
  </si>
  <si>
    <t>5AM</t>
  </si>
  <si>
    <t>6AM</t>
  </si>
  <si>
    <t>7AM</t>
  </si>
  <si>
    <t>8AM</t>
  </si>
  <si>
    <t>9AM</t>
  </si>
  <si>
    <t>10AM</t>
  </si>
</sst>
</file>

<file path=xl/styles.xml><?xml version="1.0" encoding="utf-8"?>
<styleSheet xmlns="http://schemas.openxmlformats.org/spreadsheetml/2006/main">
  <numFmts count="10">
    <numFmt numFmtId="41" formatCode="_(* #,##0_);_(* \(#,##0\);_(* &quot;-&quot;_);_(@_)"/>
    <numFmt numFmtId="43" formatCode="_(* #,##0.00_);_(* \(#,##0.00\);_(* &quot;-&quot;??_);_(@_)"/>
    <numFmt numFmtId="164" formatCode="0.000"/>
    <numFmt numFmtId="165" formatCode="0.000000000"/>
    <numFmt numFmtId="166" formatCode="0.0000000"/>
    <numFmt numFmtId="167" formatCode="0.000000"/>
    <numFmt numFmtId="168" formatCode="0.00000"/>
    <numFmt numFmtId="169" formatCode="0.0%"/>
    <numFmt numFmtId="170" formatCode="_(* #,##0_);_(* \(#,##0\);_(* &quot;-&quot;??_);_(@_)"/>
    <numFmt numFmtId="171" formatCode="0.0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indexed="81"/>
      <name val="Tahoma"/>
      <family val="2"/>
    </font>
    <font>
      <b/>
      <vertAlign val="subscript"/>
      <sz val="11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"/>
      <family val="2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34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0" fillId="0" borderId="0" xfId="0" applyBorder="1" applyAlignment="1"/>
    <xf numFmtId="0" fontId="0" fillId="2" borderId="0" xfId="0" applyFill="1"/>
    <xf numFmtId="0" fontId="0" fillId="3" borderId="4" xfId="0" applyFill="1" applyBorder="1"/>
    <xf numFmtId="0" fontId="0" fillId="3" borderId="0" xfId="0" applyFill="1" applyBorder="1"/>
    <xf numFmtId="0" fontId="0" fillId="0" borderId="9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0" xfId="0" applyAlignment="1">
      <alignment wrapText="1"/>
    </xf>
    <xf numFmtId="0" fontId="0" fillId="4" borderId="0" xfId="0" applyFill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6" xfId="0" applyFill="1" applyBorder="1"/>
    <xf numFmtId="0" fontId="0" fillId="4" borderId="0" xfId="0" applyFill="1" applyBorder="1"/>
    <xf numFmtId="0" fontId="0" fillId="4" borderId="16" xfId="0" applyFill="1" applyBorder="1"/>
    <xf numFmtId="0" fontId="1" fillId="4" borderId="0" xfId="0" applyFont="1" applyFill="1"/>
    <xf numFmtId="0" fontId="0" fillId="4" borderId="19" xfId="0" applyFill="1" applyBorder="1"/>
    <xf numFmtId="0" fontId="0" fillId="4" borderId="5" xfId="0" applyFill="1" applyBorder="1"/>
    <xf numFmtId="0" fontId="0" fillId="4" borderId="9" xfId="0" applyFill="1" applyBorder="1"/>
    <xf numFmtId="0" fontId="0" fillId="4" borderId="7" xfId="0" applyFill="1" applyBorder="1"/>
    <xf numFmtId="0" fontId="4" fillId="5" borderId="25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1" fillId="5" borderId="0" xfId="0" applyFont="1" applyFill="1" applyBorder="1"/>
    <xf numFmtId="2" fontId="0" fillId="6" borderId="27" xfId="0" applyNumberFormat="1" applyFill="1" applyBorder="1" applyAlignment="1">
      <alignment horizontal="center"/>
    </xf>
    <xf numFmtId="164" fontId="0" fillId="7" borderId="27" xfId="0" applyNumberFormat="1" applyFill="1" applyBorder="1" applyAlignment="1">
      <alignment horizontal="center"/>
    </xf>
    <xf numFmtId="0" fontId="1" fillId="0" borderId="19" xfId="0" applyFont="1" applyBorder="1" applyAlignment="1">
      <alignment horizontal="left"/>
    </xf>
    <xf numFmtId="0" fontId="1" fillId="0" borderId="30" xfId="0" applyFont="1" applyBorder="1" applyAlignment="1">
      <alignment horizontal="left"/>
    </xf>
    <xf numFmtId="0" fontId="3" fillId="8" borderId="31" xfId="0" applyFont="1" applyFill="1" applyBorder="1"/>
    <xf numFmtId="0" fontId="0" fillId="6" borderId="0" xfId="0" applyFill="1" applyBorder="1"/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0" fontId="0" fillId="5" borderId="0" xfId="0" applyFill="1"/>
    <xf numFmtId="0" fontId="0" fillId="7" borderId="0" xfId="0" applyFill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34" xfId="0" applyBorder="1"/>
    <xf numFmtId="0" fontId="0" fillId="0" borderId="35" xfId="0" applyBorder="1"/>
    <xf numFmtId="0" fontId="0" fillId="0" borderId="28" xfId="0" applyBorder="1"/>
    <xf numFmtId="0" fontId="1" fillId="0" borderId="18" xfId="0" applyFont="1" applyBorder="1"/>
    <xf numFmtId="0" fontId="6" fillId="0" borderId="10" xfId="0" applyFont="1" applyBorder="1"/>
    <xf numFmtId="0" fontId="1" fillId="0" borderId="10" xfId="0" applyFont="1" applyBorder="1"/>
    <xf numFmtId="0" fontId="1" fillId="0" borderId="34" xfId="0" applyFont="1" applyBorder="1"/>
    <xf numFmtId="0" fontId="1" fillId="0" borderId="0" xfId="0" applyFont="1" applyBorder="1"/>
    <xf numFmtId="0" fontId="0" fillId="0" borderId="3" xfId="0" applyFill="1" applyBorder="1"/>
    <xf numFmtId="0" fontId="0" fillId="0" borderId="18" xfId="0" applyFill="1" applyBorder="1"/>
    <xf numFmtId="0" fontId="7" fillId="0" borderId="8" xfId="0" applyFont="1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10" xfId="0" applyFill="1" applyBorder="1"/>
    <xf numFmtId="0" fontId="0" fillId="0" borderId="6" xfId="0" applyFill="1" applyBorder="1"/>
    <xf numFmtId="0" fontId="0" fillId="0" borderId="1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8" xfId="0" applyFill="1" applyBorder="1"/>
    <xf numFmtId="0" fontId="0" fillId="0" borderId="6" xfId="0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0" xfId="0" applyFont="1" applyFill="1" applyBorder="1"/>
    <xf numFmtId="0" fontId="0" fillId="0" borderId="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28" xfId="0" applyFill="1" applyBorder="1"/>
    <xf numFmtId="0" fontId="0" fillId="0" borderId="34" xfId="0" applyFill="1" applyBorder="1"/>
    <xf numFmtId="0" fontId="0" fillId="0" borderId="19" xfId="0" applyFill="1" applyBorder="1"/>
    <xf numFmtId="0" fontId="0" fillId="0" borderId="35" xfId="0" applyFill="1" applyBorder="1"/>
    <xf numFmtId="0" fontId="0" fillId="0" borderId="35" xfId="0" applyFill="1" applyBorder="1" applyAlignment="1">
      <alignment horizontal="center"/>
    </xf>
    <xf numFmtId="0" fontId="1" fillId="0" borderId="0" xfId="0" applyFont="1" applyBorder="1" applyAlignment="1"/>
    <xf numFmtId="0" fontId="3" fillId="0" borderId="0" xfId="0" applyFont="1"/>
    <xf numFmtId="1" fontId="0" fillId="0" borderId="4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6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18" xfId="0" applyNumberFormat="1" applyBorder="1"/>
    <xf numFmtId="0" fontId="5" fillId="0" borderId="0" xfId="0" applyFont="1"/>
    <xf numFmtId="0" fontId="3" fillId="2" borderId="0" xfId="0" applyFont="1" applyFill="1"/>
    <xf numFmtId="9" fontId="0" fillId="0" borderId="0" xfId="1" applyFont="1"/>
    <xf numFmtId="0" fontId="0" fillId="6" borderId="0" xfId="0" applyFill="1"/>
    <xf numFmtId="0" fontId="1" fillId="0" borderId="4" xfId="0" applyFont="1" applyBorder="1"/>
    <xf numFmtId="167" fontId="0" fillId="0" borderId="0" xfId="0" applyNumberFormat="1"/>
    <xf numFmtId="2" fontId="0" fillId="0" borderId="0" xfId="0" applyNumberFormat="1"/>
    <xf numFmtId="43" fontId="0" fillId="0" borderId="0" xfId="2" applyFont="1"/>
    <xf numFmtId="0" fontId="0" fillId="5" borderId="5" xfId="0" applyFill="1" applyBorder="1"/>
    <xf numFmtId="0" fontId="11" fillId="0" borderId="0" xfId="3" applyAlignment="1" applyProtection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12" fillId="0" borderId="0" xfId="0" applyFont="1"/>
    <xf numFmtId="0" fontId="13" fillId="5" borderId="25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169" fontId="13" fillId="5" borderId="25" xfId="1" applyNumberFormat="1" applyFont="1" applyFill="1" applyBorder="1" applyAlignment="1">
      <alignment horizontal="center"/>
    </xf>
    <xf numFmtId="41" fontId="0" fillId="7" borderId="27" xfId="2" applyNumberFormat="1" applyFont="1" applyFill="1" applyBorder="1" applyAlignment="1">
      <alignment horizontal="center"/>
    </xf>
    <xf numFmtId="170" fontId="13" fillId="5" borderId="25" xfId="2" applyNumberFormat="1" applyFont="1" applyFill="1" applyBorder="1" applyAlignment="1">
      <alignment horizontal="center"/>
    </xf>
    <xf numFmtId="41" fontId="0" fillId="7" borderId="36" xfId="2" applyNumberFormat="1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3" borderId="14" xfId="0" applyFill="1" applyBorder="1"/>
    <xf numFmtId="0" fontId="0" fillId="3" borderId="15" xfId="0" applyFill="1" applyBorder="1"/>
    <xf numFmtId="49" fontId="0" fillId="0" borderId="11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167" fontId="0" fillId="0" borderId="14" xfId="0" applyNumberFormat="1" applyBorder="1"/>
    <xf numFmtId="167" fontId="0" fillId="0" borderId="0" xfId="0" applyNumberFormat="1" applyBorder="1"/>
    <xf numFmtId="167" fontId="0" fillId="0" borderId="15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7" fontId="0" fillId="0" borderId="17" xfId="0" applyNumberFormat="1" applyBorder="1"/>
    <xf numFmtId="43" fontId="0" fillId="0" borderId="0" xfId="0" applyNumberFormat="1"/>
    <xf numFmtId="0" fontId="0" fillId="14" borderId="31" xfId="0" applyFont="1" applyFill="1" applyBorder="1"/>
    <xf numFmtId="0" fontId="0" fillId="0" borderId="14" xfId="0" applyBorder="1"/>
    <xf numFmtId="0" fontId="0" fillId="0" borderId="15" xfId="0" applyBorder="1"/>
    <xf numFmtId="164" fontId="0" fillId="0" borderId="0" xfId="0" applyNumberFormat="1" applyBorder="1"/>
    <xf numFmtId="0" fontId="0" fillId="0" borderId="20" xfId="0" applyBorder="1"/>
    <xf numFmtId="0" fontId="0" fillId="0" borderId="21" xfId="0" applyBorder="1"/>
    <xf numFmtId="164" fontId="0" fillId="0" borderId="21" xfId="0" applyNumberFormat="1" applyBorder="1"/>
    <xf numFmtId="0" fontId="0" fillId="0" borderId="17" xfId="0" applyBorder="1"/>
    <xf numFmtId="10" fontId="0" fillId="0" borderId="0" xfId="0" applyNumberFormat="1"/>
    <xf numFmtId="167" fontId="0" fillId="13" borderId="0" xfId="0" applyNumberFormat="1" applyFill="1"/>
    <xf numFmtId="171" fontId="0" fillId="0" borderId="0" xfId="0" applyNumberFormat="1"/>
    <xf numFmtId="171" fontId="0" fillId="7" borderId="0" xfId="0" applyNumberFormat="1" applyFill="1"/>
    <xf numFmtId="0" fontId="14" fillId="0" borderId="0" xfId="0" applyFont="1" applyBorder="1"/>
    <xf numFmtId="0" fontId="1" fillId="0" borderId="4" xfId="0" applyFont="1" applyBorder="1" applyAlignment="1"/>
    <xf numFmtId="0" fontId="1" fillId="0" borderId="9" xfId="0" applyFont="1" applyBorder="1" applyAlignme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168" fontId="0" fillId="0" borderId="0" xfId="0" applyNumberFormat="1" applyBorder="1"/>
    <xf numFmtId="166" fontId="0" fillId="6" borderId="0" xfId="0" applyNumberFormat="1" applyFill="1" applyBorder="1"/>
    <xf numFmtId="165" fontId="0" fillId="0" borderId="0" xfId="0" applyNumberFormat="1" applyBorder="1"/>
    <xf numFmtId="2" fontId="0" fillId="6" borderId="0" xfId="0" applyNumberFormat="1" applyFill="1" applyBorder="1"/>
    <xf numFmtId="0" fontId="0" fillId="8" borderId="0" xfId="0" applyFont="1" applyFill="1"/>
    <xf numFmtId="2" fontId="0" fillId="12" borderId="0" xfId="0" applyNumberFormat="1" applyFill="1"/>
    <xf numFmtId="1" fontId="1" fillId="0" borderId="0" xfId="0" applyNumberFormat="1" applyFont="1"/>
    <xf numFmtId="1" fontId="0" fillId="0" borderId="0" xfId="0" applyNumberFormat="1"/>
    <xf numFmtId="2" fontId="1" fillId="0" borderId="0" xfId="0" applyNumberFormat="1" applyFont="1"/>
    <xf numFmtId="2" fontId="0" fillId="6" borderId="0" xfId="0" applyNumberFormat="1" applyFill="1"/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19" xfId="0" applyFill="1" applyBorder="1"/>
    <xf numFmtId="0" fontId="1" fillId="9" borderId="19" xfId="0" applyFont="1" applyFill="1" applyBorder="1"/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1" fillId="0" borderId="10" xfId="0" applyFont="1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49" fontId="0" fillId="6" borderId="0" xfId="0" applyNumberFormat="1" applyFill="1" applyAlignment="1"/>
    <xf numFmtId="49" fontId="0" fillId="6" borderId="12" xfId="0" applyNumberFormat="1" applyFill="1" applyBorder="1" applyAlignment="1"/>
    <xf numFmtId="0" fontId="0" fillId="15" borderId="0" xfId="0" applyFill="1"/>
    <xf numFmtId="9" fontId="0" fillId="6" borderId="0" xfId="1" applyFont="1" applyFill="1"/>
    <xf numFmtId="0" fontId="19" fillId="0" borderId="0" xfId="0" applyFont="1"/>
    <xf numFmtId="0" fontId="0" fillId="0" borderId="19" xfId="0" applyFill="1" applyBorder="1" applyAlignment="1">
      <alignment horizontal="center"/>
    </xf>
    <xf numFmtId="0" fontId="1" fillId="0" borderId="19" xfId="0" applyFont="1" applyFill="1" applyBorder="1"/>
    <xf numFmtId="0" fontId="1" fillId="0" borderId="0" xfId="0" applyFont="1" applyFill="1" applyBorder="1" applyAlignment="1">
      <alignment horizontal="center"/>
    </xf>
    <xf numFmtId="0" fontId="1" fillId="14" borderId="11" xfId="0" applyFont="1" applyFill="1" applyBorder="1"/>
    <xf numFmtId="0" fontId="0" fillId="14" borderId="12" xfId="0" applyFill="1" applyBorder="1"/>
    <xf numFmtId="0" fontId="0" fillId="14" borderId="13" xfId="0" applyFill="1" applyBorder="1"/>
    <xf numFmtId="0" fontId="0" fillId="14" borderId="14" xfId="0" applyFill="1" applyBorder="1"/>
    <xf numFmtId="0" fontId="0" fillId="14" borderId="35" xfId="0" applyFill="1" applyBorder="1"/>
    <xf numFmtId="0" fontId="0" fillId="14" borderId="34" xfId="0" applyFill="1" applyBorder="1"/>
    <xf numFmtId="0" fontId="0" fillId="14" borderId="15" xfId="0" applyFill="1" applyBorder="1"/>
    <xf numFmtId="0" fontId="0" fillId="14" borderId="37" xfId="0" applyFill="1" applyBorder="1"/>
    <xf numFmtId="0" fontId="0" fillId="14" borderId="0" xfId="0" applyFill="1" applyBorder="1"/>
    <xf numFmtId="0" fontId="0" fillId="14" borderId="10" xfId="0" applyFill="1" applyBorder="1"/>
    <xf numFmtId="0" fontId="0" fillId="14" borderId="38" xfId="0" applyFill="1" applyBorder="1"/>
    <xf numFmtId="0" fontId="0" fillId="14" borderId="39" xfId="0" applyFill="1" applyBorder="1"/>
    <xf numFmtId="0" fontId="0" fillId="14" borderId="8" xfId="0" applyFill="1" applyBorder="1"/>
    <xf numFmtId="0" fontId="0" fillId="14" borderId="18" xfId="0" applyFill="1" applyBorder="1"/>
    <xf numFmtId="0" fontId="1" fillId="14" borderId="38" xfId="0" applyFont="1" applyFill="1" applyBorder="1"/>
    <xf numFmtId="0" fontId="1" fillId="14" borderId="0" xfId="0" applyFont="1" applyFill="1" applyBorder="1"/>
    <xf numFmtId="9" fontId="0" fillId="14" borderId="6" xfId="1" applyFont="1" applyFill="1" applyBorder="1"/>
    <xf numFmtId="9" fontId="0" fillId="14" borderId="40" xfId="1" applyFont="1" applyFill="1" applyBorder="1"/>
    <xf numFmtId="0" fontId="0" fillId="14" borderId="16" xfId="0" applyFill="1" applyBorder="1"/>
    <xf numFmtId="9" fontId="0" fillId="14" borderId="41" xfId="1" applyFont="1" applyFill="1" applyBorder="1"/>
    <xf numFmtId="9" fontId="0" fillId="14" borderId="42" xfId="1" applyFont="1" applyFill="1" applyBorder="1"/>
    <xf numFmtId="0" fontId="1" fillId="14" borderId="14" xfId="0" applyFont="1" applyFill="1" applyBorder="1"/>
    <xf numFmtId="0" fontId="0" fillId="0" borderId="0" xfId="0" applyFill="1"/>
    <xf numFmtId="0" fontId="1" fillId="5" borderId="43" xfId="0" applyFont="1" applyFill="1" applyBorder="1" applyAlignment="1">
      <alignment horizontal="center"/>
    </xf>
    <xf numFmtId="49" fontId="0" fillId="6" borderId="6" xfId="0" applyNumberFormat="1" applyFill="1" applyBorder="1" applyAlignment="1"/>
    <xf numFmtId="49" fontId="0" fillId="6" borderId="0" xfId="0" applyNumberFormat="1" applyFill="1" applyBorder="1" applyAlignment="1"/>
    <xf numFmtId="0" fontId="0" fillId="3" borderId="6" xfId="0" applyFill="1" applyBorder="1"/>
    <xf numFmtId="41" fontId="0" fillId="7" borderId="19" xfId="2" applyNumberFormat="1" applyFont="1" applyFill="1" applyBorder="1" applyAlignment="1">
      <alignment horizontal="center"/>
    </xf>
    <xf numFmtId="170" fontId="13" fillId="5" borderId="8" xfId="2" applyNumberFormat="1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0" xfId="0" applyFill="1" applyBorder="1"/>
    <xf numFmtId="0" fontId="0" fillId="3" borderId="1" xfId="0" applyFill="1" applyBorder="1"/>
    <xf numFmtId="169" fontId="0" fillId="0" borderId="0" xfId="0" applyNumberFormat="1"/>
    <xf numFmtId="169" fontId="13" fillId="0" borderId="25" xfId="1" applyNumberFormat="1" applyFont="1" applyFill="1" applyBorder="1" applyAlignment="1">
      <alignment horizontal="center"/>
    </xf>
    <xf numFmtId="169" fontId="13" fillId="5" borderId="36" xfId="1" applyNumberFormat="1" applyFont="1" applyFill="1" applyBorder="1" applyAlignment="1">
      <alignment horizontal="center"/>
    </xf>
    <xf numFmtId="169" fontId="13" fillId="5" borderId="44" xfId="1" applyNumberFormat="1" applyFont="1" applyFill="1" applyBorder="1" applyAlignment="1">
      <alignment horizontal="center"/>
    </xf>
    <xf numFmtId="169" fontId="13" fillId="5" borderId="43" xfId="1" applyNumberFormat="1" applyFon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26" xfId="0" applyFill="1" applyBorder="1"/>
    <xf numFmtId="0" fontId="0" fillId="3" borderId="40" xfId="0" applyFill="1" applyBorder="1" applyAlignment="1">
      <alignment horizontal="center"/>
    </xf>
    <xf numFmtId="0" fontId="0" fillId="3" borderId="45" xfId="0" applyFill="1" applyBorder="1"/>
    <xf numFmtId="0" fontId="0" fillId="3" borderId="46" xfId="0" applyFill="1" applyBorder="1" applyAlignment="1">
      <alignment horizontal="center"/>
    </xf>
    <xf numFmtId="0" fontId="0" fillId="3" borderId="43" xfId="0" applyFill="1" applyBorder="1"/>
    <xf numFmtId="0" fontId="0" fillId="3" borderId="40" xfId="0" applyFill="1" applyBorder="1"/>
    <xf numFmtId="0" fontId="0" fillId="3" borderId="46" xfId="0" applyFill="1" applyBorder="1"/>
    <xf numFmtId="0" fontId="0" fillId="0" borderId="0" xfId="0" applyAlignment="1">
      <alignment horizontal="center"/>
    </xf>
    <xf numFmtId="0" fontId="0" fillId="3" borderId="14" xfId="0" applyFill="1" applyBorder="1" applyAlignment="1">
      <alignment horizontal="center"/>
    </xf>
    <xf numFmtId="49" fontId="0" fillId="6" borderId="14" xfId="0" applyNumberFormat="1" applyFill="1" applyBorder="1" applyAlignment="1"/>
    <xf numFmtId="0" fontId="0" fillId="3" borderId="8" xfId="0" applyFill="1" applyBorder="1"/>
    <xf numFmtId="0" fontId="0" fillId="2" borderId="6" xfId="0" applyFill="1" applyBorder="1"/>
    <xf numFmtId="0" fontId="0" fillId="0" borderId="0" xfId="0" applyNumberFormat="1"/>
    <xf numFmtId="0" fontId="0" fillId="6" borderId="10" xfId="0" applyFill="1" applyBorder="1"/>
    <xf numFmtId="0" fontId="0" fillId="6" borderId="6" xfId="0" applyFill="1" applyBorder="1"/>
    <xf numFmtId="0" fontId="13" fillId="5" borderId="7" xfId="0" applyFont="1" applyFill="1" applyBorder="1" applyAlignment="1">
      <alignment horizontal="center"/>
    </xf>
    <xf numFmtId="2" fontId="0" fillId="7" borderId="27" xfId="0" applyNumberFormat="1" applyFill="1" applyBorder="1" applyAlignment="1">
      <alignment horizontal="center"/>
    </xf>
    <xf numFmtId="2" fontId="0" fillId="7" borderId="35" xfId="0" applyNumberFormat="1" applyFill="1" applyBorder="1" applyAlignment="1">
      <alignment horizontal="center"/>
    </xf>
    <xf numFmtId="2" fontId="0" fillId="0" borderId="21" xfId="0" applyNumberFormat="1" applyBorder="1"/>
    <xf numFmtId="10" fontId="0" fillId="7" borderId="34" xfId="1" applyNumberFormat="1" applyFont="1" applyFill="1" applyBorder="1" applyAlignment="1">
      <alignment horizontal="center"/>
    </xf>
    <xf numFmtId="0" fontId="0" fillId="6" borderId="46" xfId="0" applyFill="1" applyBorder="1"/>
    <xf numFmtId="0" fontId="0" fillId="0" borderId="46" xfId="0" applyBorder="1"/>
    <xf numFmtId="10" fontId="0" fillId="7" borderId="31" xfId="1" applyNumberFormat="1" applyFont="1" applyFill="1" applyBorder="1" applyAlignment="1">
      <alignment horizontal="center"/>
    </xf>
    <xf numFmtId="10" fontId="0" fillId="0" borderId="21" xfId="0" applyNumberFormat="1" applyBorder="1"/>
    <xf numFmtId="171" fontId="0" fillId="14" borderId="48" xfId="0" applyNumberFormat="1" applyFont="1" applyFill="1" applyBorder="1"/>
    <xf numFmtId="0" fontId="0" fillId="6" borderId="14" xfId="0" applyFill="1" applyBorder="1"/>
    <xf numFmtId="0" fontId="0" fillId="0" borderId="0" xfId="0" applyFill="1" applyBorder="1" applyAlignment="1"/>
    <xf numFmtId="0" fontId="1" fillId="0" borderId="28" xfId="0" applyFont="1" applyFill="1" applyBorder="1"/>
    <xf numFmtId="0" fontId="1" fillId="0" borderId="35" xfId="0" applyFont="1" applyFill="1" applyBorder="1"/>
    <xf numFmtId="0" fontId="1" fillId="0" borderId="34" xfId="0" applyFont="1" applyFill="1" applyBorder="1"/>
    <xf numFmtId="0" fontId="0" fillId="14" borderId="19" xfId="0" applyFill="1" applyBorder="1"/>
    <xf numFmtId="0" fontId="0" fillId="14" borderId="2" xfId="0" applyFill="1" applyBorder="1"/>
    <xf numFmtId="0" fontId="0" fillId="14" borderId="3" xfId="0" applyFill="1" applyBorder="1"/>
    <xf numFmtId="1" fontId="0" fillId="14" borderId="1" xfId="0" applyNumberFormat="1" applyFill="1" applyBorder="1"/>
    <xf numFmtId="1" fontId="0" fillId="14" borderId="9" xfId="0" applyNumberFormat="1" applyFill="1" applyBorder="1"/>
    <xf numFmtId="1" fontId="0" fillId="14" borderId="2" xfId="0" applyNumberFormat="1" applyFill="1" applyBorder="1"/>
    <xf numFmtId="1" fontId="0" fillId="14" borderId="10" xfId="0" applyNumberFormat="1" applyFill="1" applyBorder="1"/>
    <xf numFmtId="1" fontId="0" fillId="14" borderId="3" xfId="0" applyNumberFormat="1" applyFill="1" applyBorder="1"/>
    <xf numFmtId="1" fontId="0" fillId="14" borderId="18" xfId="0" applyNumberFormat="1" applyFill="1" applyBorder="1"/>
    <xf numFmtId="1" fontId="0" fillId="14" borderId="15" xfId="0" applyNumberFormat="1" applyFill="1" applyBorder="1"/>
    <xf numFmtId="0" fontId="0" fillId="0" borderId="16" xfId="0" applyBorder="1"/>
    <xf numFmtId="0" fontId="3" fillId="9" borderId="49" xfId="0" applyFont="1" applyFill="1" applyBorder="1"/>
    <xf numFmtId="0" fontId="0" fillId="10" borderId="18" xfId="0" applyFont="1" applyFill="1" applyBorder="1"/>
    <xf numFmtId="0" fontId="0" fillId="11" borderId="18" xfId="0" applyFill="1" applyBorder="1"/>
    <xf numFmtId="164" fontId="0" fillId="8" borderId="3" xfId="0" applyNumberFormat="1" applyFont="1" applyFill="1" applyBorder="1"/>
    <xf numFmtId="0" fontId="1" fillId="5" borderId="5" xfId="0" applyFont="1" applyFill="1" applyBorder="1"/>
    <xf numFmtId="0" fontId="0" fillId="6" borderId="5" xfId="0" applyFill="1" applyBorder="1"/>
    <xf numFmtId="2" fontId="0" fillId="0" borderId="0" xfId="0" applyNumberFormat="1" applyFill="1"/>
    <xf numFmtId="2" fontId="0" fillId="7" borderId="0" xfId="0" applyNumberFormat="1" applyFill="1"/>
    <xf numFmtId="1" fontId="13" fillId="12" borderId="0" xfId="0" applyNumberFormat="1" applyFont="1" applyFill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9" xfId="0" applyNumberFormat="1" applyFill="1" applyBorder="1"/>
    <xf numFmtId="2" fontId="0" fillId="0" borderId="6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7" xfId="0" applyNumberFormat="1" applyFill="1" applyBorder="1"/>
    <xf numFmtId="2" fontId="0" fillId="0" borderId="8" xfId="0" applyNumberFormat="1" applyFill="1" applyBorder="1"/>
    <xf numFmtId="2" fontId="0" fillId="0" borderId="18" xfId="0" applyNumberFormat="1" applyFill="1" applyBorder="1"/>
    <xf numFmtId="2" fontId="0" fillId="6" borderId="19" xfId="0" applyNumberFormat="1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0" fontId="7" fillId="8" borderId="19" xfId="0" applyFont="1" applyFill="1" applyBorder="1"/>
    <xf numFmtId="0" fontId="4" fillId="0" borderId="1" xfId="0" applyFont="1" applyBorder="1" applyAlignment="1">
      <alignment horizontal="center"/>
    </xf>
    <xf numFmtId="0" fontId="22" fillId="5" borderId="19" xfId="0" applyFont="1" applyFill="1" applyBorder="1" applyAlignment="1">
      <alignment horizontal="center"/>
    </xf>
    <xf numFmtId="0" fontId="1" fillId="12" borderId="0" xfId="0" applyFont="1" applyFill="1" applyBorder="1"/>
    <xf numFmtId="0" fontId="7" fillId="8" borderId="0" xfId="0" applyFont="1" applyFill="1" applyBorder="1"/>
    <xf numFmtId="2" fontId="0" fillId="7" borderId="0" xfId="0" applyNumberFormat="1" applyFill="1" applyBorder="1"/>
    <xf numFmtId="0" fontId="0" fillId="0" borderId="28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8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center" textRotation="90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textRotation="90"/>
    </xf>
    <xf numFmtId="0" fontId="1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32" xfId="0" applyFont="1" applyBorder="1" applyAlignment="1">
      <alignment horizontal="left"/>
    </xf>
    <xf numFmtId="0" fontId="1" fillId="0" borderId="33" xfId="0" applyFont="1" applyBorder="1" applyAlignment="1">
      <alignment horizontal="left"/>
    </xf>
    <xf numFmtId="49" fontId="0" fillId="6" borderId="6" xfId="0" applyNumberFormat="1" applyFill="1" applyBorder="1" applyAlignment="1">
      <alignment horizontal="left" wrapText="1"/>
    </xf>
    <xf numFmtId="49" fontId="0" fillId="6" borderId="0" xfId="0" applyNumberFormat="1" applyFill="1" applyBorder="1" applyAlignment="1">
      <alignment horizontal="left" wrapText="1"/>
    </xf>
    <xf numFmtId="49" fontId="0" fillId="6" borderId="10" xfId="0" applyNumberFormat="1" applyFill="1" applyBorder="1" applyAlignment="1">
      <alignment horizontal="left" wrapText="1"/>
    </xf>
    <xf numFmtId="0" fontId="0" fillId="9" borderId="38" xfId="0" applyFill="1" applyBorder="1" applyAlignment="1">
      <alignment horizontal="center" wrapText="1"/>
    </xf>
    <xf numFmtId="0" fontId="0" fillId="9" borderId="39" xfId="0" applyFill="1" applyBorder="1" applyAlignment="1">
      <alignment horizontal="center" wrapText="1"/>
    </xf>
    <xf numFmtId="0" fontId="0" fillId="9" borderId="46" xfId="0" applyFill="1" applyBorder="1" applyAlignment="1">
      <alignment horizontal="center" wrapText="1"/>
    </xf>
    <xf numFmtId="0" fontId="0" fillId="9" borderId="43" xfId="0" applyFill="1" applyBorder="1" applyAlignment="1">
      <alignment horizontal="center" wrapText="1"/>
    </xf>
    <xf numFmtId="49" fontId="0" fillId="6" borderId="11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6" borderId="4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28" xfId="0" applyBorder="1" applyAlignment="1">
      <alignment horizontal="left"/>
    </xf>
    <xf numFmtId="0" fontId="0" fillId="0" borderId="29" xfId="0" applyFont="1" applyBorder="1" applyAlignment="1">
      <alignment horizontal="left"/>
    </xf>
    <xf numFmtId="164" fontId="5" fillId="0" borderId="32" xfId="0" applyNumberFormat="1" applyFont="1" applyBorder="1" applyAlignment="1">
      <alignment horizontal="left"/>
    </xf>
    <xf numFmtId="0" fontId="5" fillId="0" borderId="33" xfId="0" applyFont="1" applyBorder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0" xfId="0" applyBorder="1" applyAlignment="1">
      <alignment horizontal="left" wrapText="1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 patternType="none">
          <bgColor auto="1"/>
        </patternFill>
      </fill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Trip Production Table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'1.model_summary'!$D$44</c:f>
              <c:strCache>
                <c:ptCount val="1"/>
                <c:pt idx="0">
                  <c:v>HBW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'1.model_summary'!$D$45:$D$53</c:f>
              <c:numCache>
                <c:formatCode>General</c:formatCode>
                <c:ptCount val="9"/>
                <c:pt idx="0">
                  <c:v>0.5</c:v>
                </c:pt>
                <c:pt idx="1">
                  <c:v>1.1000000000000001</c:v>
                </c:pt>
                <c:pt idx="2">
                  <c:v>1.4</c:v>
                </c:pt>
                <c:pt idx="3">
                  <c:v>0.8</c:v>
                </c:pt>
                <c:pt idx="4">
                  <c:v>1.5</c:v>
                </c:pt>
                <c:pt idx="5">
                  <c:v>1.8</c:v>
                </c:pt>
                <c:pt idx="6">
                  <c:v>1.4</c:v>
                </c:pt>
                <c:pt idx="7">
                  <c:v>2.1</c:v>
                </c:pt>
                <c:pt idx="8">
                  <c:v>2.5</c:v>
                </c:pt>
              </c:numCache>
            </c:numRef>
          </c:val>
        </c:ser>
        <c:ser>
          <c:idx val="1"/>
          <c:order val="1"/>
          <c:tx>
            <c:strRef>
              <c:f>'1.model_summary'!$E$44</c:f>
              <c:strCache>
                <c:ptCount val="1"/>
                <c:pt idx="0">
                  <c:v>HBO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'1.model_summary'!$E$45:$E$53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3.9</c:v>
                </c:pt>
                <c:pt idx="3">
                  <c:v>3.2</c:v>
                </c:pt>
                <c:pt idx="4">
                  <c:v>3.9</c:v>
                </c:pt>
                <c:pt idx="5">
                  <c:v>4.9000000000000004</c:v>
                </c:pt>
                <c:pt idx="6">
                  <c:v>5.2</c:v>
                </c:pt>
                <c:pt idx="7">
                  <c:v>5.7</c:v>
                </c:pt>
                <c:pt idx="8">
                  <c:v>6.8</c:v>
                </c:pt>
              </c:numCache>
            </c:numRef>
          </c:val>
        </c:ser>
        <c:ser>
          <c:idx val="2"/>
          <c:order val="2"/>
          <c:tx>
            <c:strRef>
              <c:f>'1.model_summary'!$F$44</c:f>
              <c:strCache>
                <c:ptCount val="1"/>
                <c:pt idx="0">
                  <c:v>NHB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'1.model_summary'!$F$45:$F$53</c:f>
              <c:numCache>
                <c:formatCode>General</c:formatCode>
                <c:ptCount val="9"/>
                <c:pt idx="0">
                  <c:v>0.9</c:v>
                </c:pt>
                <c:pt idx="1">
                  <c:v>1.2</c:v>
                </c:pt>
                <c:pt idx="2">
                  <c:v>1.8</c:v>
                </c:pt>
                <c:pt idx="3">
                  <c:v>1.3</c:v>
                </c:pt>
                <c:pt idx="4">
                  <c:v>1.6</c:v>
                </c:pt>
                <c:pt idx="5">
                  <c:v>2.2000000000000002</c:v>
                </c:pt>
                <c:pt idx="6">
                  <c:v>2.1</c:v>
                </c:pt>
                <c:pt idx="7">
                  <c:v>2.2999999999999998</c:v>
                </c:pt>
                <c:pt idx="8">
                  <c:v>3.1</c:v>
                </c:pt>
              </c:numCache>
            </c:numRef>
          </c:val>
        </c:ser>
        <c:ser>
          <c:idx val="3"/>
          <c:order val="3"/>
          <c:tx>
            <c:strRef>
              <c:f>'1.model_summary'!$G$44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'1.model_summary'!$B$45:$C$53</c:f>
              <c:multiLvlStrCache>
                <c:ptCount val="9"/>
                <c:lvl>
                  <c:pt idx="0">
                    <c:v>Low</c:v>
                  </c:pt>
                  <c:pt idx="1">
                    <c:v>Middle</c:v>
                  </c:pt>
                  <c:pt idx="2">
                    <c:v>High</c:v>
                  </c:pt>
                  <c:pt idx="3">
                    <c:v>Low</c:v>
                  </c:pt>
                  <c:pt idx="4">
                    <c:v>Middle</c:v>
                  </c:pt>
                  <c:pt idx="5">
                    <c:v>High</c:v>
                  </c:pt>
                  <c:pt idx="6">
                    <c:v>Low</c:v>
                  </c:pt>
                  <c:pt idx="7">
                    <c:v>Middle</c:v>
                  </c:pt>
                  <c:pt idx="8">
                    <c:v>High</c:v>
                  </c:pt>
                </c:lvl>
                <c:lvl>
                  <c:pt idx="0">
                    <c:v>0</c:v>
                  </c:pt>
                  <c:pt idx="3">
                    <c:v>1</c:v>
                  </c:pt>
                  <c:pt idx="6">
                    <c:v>2</c:v>
                  </c:pt>
                </c:lvl>
              </c:multiLvlStrCache>
            </c:multiLvlStrRef>
          </c:cat>
          <c:val>
            <c:numRef>
              <c:f>'1.model_summary'!$G$45:$G$53</c:f>
              <c:numCache>
                <c:formatCode>General</c:formatCode>
                <c:ptCount val="9"/>
                <c:pt idx="0">
                  <c:v>3.4</c:v>
                </c:pt>
                <c:pt idx="1">
                  <c:v>5.3</c:v>
                </c:pt>
                <c:pt idx="2">
                  <c:v>7.1</c:v>
                </c:pt>
                <c:pt idx="3">
                  <c:v>5.3</c:v>
                </c:pt>
                <c:pt idx="4">
                  <c:v>7</c:v>
                </c:pt>
                <c:pt idx="5">
                  <c:v>8.9</c:v>
                </c:pt>
                <c:pt idx="6">
                  <c:v>8.6999999999999993</c:v>
                </c:pt>
                <c:pt idx="7">
                  <c:v>10.100000000000001</c:v>
                </c:pt>
                <c:pt idx="8">
                  <c:v>12.4</c:v>
                </c:pt>
              </c:numCache>
            </c:numRef>
          </c:val>
        </c:ser>
        <c:marker val="1"/>
        <c:axId val="49300224"/>
        <c:axId val="49302528"/>
      </c:lineChart>
      <c:catAx>
        <c:axId val="4930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Cars/HH</a:t>
                </a:r>
              </a:p>
            </c:rich>
          </c:tx>
        </c:title>
        <c:majorTickMark val="none"/>
        <c:tickLblPos val="nextTo"/>
        <c:crossAx val="49302528"/>
        <c:crosses val="autoZero"/>
        <c:auto val="1"/>
        <c:lblAlgn val="ctr"/>
        <c:lblOffset val="100"/>
      </c:catAx>
      <c:valAx>
        <c:axId val="493025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Productions/HH</a:t>
                </a:r>
              </a:p>
            </c:rich>
          </c:tx>
        </c:title>
        <c:numFmt formatCode="General" sourceLinked="1"/>
        <c:tickLblPos val="nextTo"/>
        <c:crossAx val="49300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Trip</a:t>
            </a:r>
            <a:r>
              <a:rPr lang="en-US" baseline="0"/>
              <a:t> Attraction Table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'1.model_summary'!$B$61</c:f>
              <c:strCache>
                <c:ptCount val="1"/>
                <c:pt idx="0">
                  <c:v>HBW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'1.model_summary'!$C$61:$F$61</c:f>
              <c:numCache>
                <c:formatCode>General</c:formatCode>
                <c:ptCount val="4"/>
                <c:pt idx="0">
                  <c:v>0</c:v>
                </c:pt>
                <c:pt idx="1">
                  <c:v>1.45</c:v>
                </c:pt>
                <c:pt idx="2">
                  <c:v>1.45</c:v>
                </c:pt>
                <c:pt idx="3">
                  <c:v>1.45</c:v>
                </c:pt>
              </c:numCache>
            </c:numRef>
          </c:val>
        </c:ser>
        <c:ser>
          <c:idx val="1"/>
          <c:order val="1"/>
          <c:tx>
            <c:strRef>
              <c:f>'1.model_summary'!$B$62</c:f>
              <c:strCache>
                <c:ptCount val="1"/>
                <c:pt idx="0">
                  <c:v>HBO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'1.model_summary'!$C$62:$F$62</c:f>
              <c:numCache>
                <c:formatCode>General</c:formatCode>
                <c:ptCount val="4"/>
                <c:pt idx="0">
                  <c:v>0.9</c:v>
                </c:pt>
                <c:pt idx="1">
                  <c:v>9</c:v>
                </c:pt>
                <c:pt idx="2">
                  <c:v>1.7</c:v>
                </c:pt>
                <c:pt idx="3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'1.model_summary'!$B$63</c:f>
              <c:strCache>
                <c:ptCount val="1"/>
                <c:pt idx="0">
                  <c:v>NHB</c:v>
                </c:pt>
              </c:strCache>
            </c:strRef>
          </c:tx>
          <c:cat>
            <c:strRef>
              <c:f>'1.model_summary'!$C$60:$F$60</c:f>
              <c:strCache>
                <c:ptCount val="4"/>
                <c:pt idx="0">
                  <c:v># of HH</c:v>
                </c:pt>
                <c:pt idx="1">
                  <c:v>Retail</c:v>
                </c:pt>
                <c:pt idx="2">
                  <c:v>Service</c:v>
                </c:pt>
                <c:pt idx="3">
                  <c:v>Other</c:v>
                </c:pt>
              </c:strCache>
            </c:strRef>
          </c:cat>
          <c:val>
            <c:numRef>
              <c:f>'1.model_summary'!$C$63:$F$63</c:f>
              <c:numCache>
                <c:formatCode>General</c:formatCode>
                <c:ptCount val="4"/>
                <c:pt idx="0">
                  <c:v>0.5</c:v>
                </c:pt>
                <c:pt idx="1">
                  <c:v>4.0999999999999996</c:v>
                </c:pt>
                <c:pt idx="2">
                  <c:v>1.2</c:v>
                </c:pt>
                <c:pt idx="3">
                  <c:v>0.5</c:v>
                </c:pt>
              </c:numCache>
            </c:numRef>
          </c:val>
        </c:ser>
        <c:marker val="1"/>
        <c:axId val="49484544"/>
        <c:axId val="49486080"/>
      </c:lineChart>
      <c:catAx>
        <c:axId val="49484544"/>
        <c:scaling>
          <c:orientation val="minMax"/>
        </c:scaling>
        <c:axPos val="b"/>
        <c:majorTickMark val="none"/>
        <c:tickLblPos val="nextTo"/>
        <c:crossAx val="49486080"/>
        <c:crosses val="autoZero"/>
        <c:auto val="1"/>
        <c:lblAlgn val="ctr"/>
        <c:lblOffset val="100"/>
      </c:catAx>
      <c:valAx>
        <c:axId val="49486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Trip Rate</a:t>
                </a:r>
              </a:p>
            </c:rich>
          </c:tx>
        </c:title>
        <c:numFmt formatCode="General" sourceLinked="1"/>
        <c:majorTickMark val="none"/>
        <c:tickLblPos val="nextTo"/>
        <c:crossAx val="494845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'1.model_summary'!$O$97</c:f>
              <c:strCache>
                <c:ptCount val="1"/>
                <c:pt idx="0">
                  <c:v>HBW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'1.model_summary'!$O$98:$O$104</c:f>
              <c:numCache>
                <c:formatCode>General</c:formatCode>
                <c:ptCount val="7"/>
                <c:pt idx="0">
                  <c:v>25207.704228621322</c:v>
                </c:pt>
                <c:pt idx="1">
                  <c:v>14923.85460429357</c:v>
                </c:pt>
                <c:pt idx="2">
                  <c:v>7957.3654327904278</c:v>
                </c:pt>
                <c:pt idx="3">
                  <c:v>4267.3314005635884</c:v>
                </c:pt>
                <c:pt idx="4">
                  <c:v>2293.8577924046085</c:v>
                </c:pt>
                <c:pt idx="5">
                  <c:v>1234.6310180806258</c:v>
                </c:pt>
                <c:pt idx="6">
                  <c:v>665.06248756229866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'1.model_summary'!$P$97</c:f>
              <c:strCache>
                <c:ptCount val="1"/>
                <c:pt idx="0">
                  <c:v>HBO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'1.model_summary'!$P$98:$P$104</c:f>
              <c:numCache>
                <c:formatCode>General</c:formatCode>
                <c:ptCount val="7"/>
                <c:pt idx="0">
                  <c:v>126686.78286933426</c:v>
                </c:pt>
                <c:pt idx="1">
                  <c:v>10996.64301857085</c:v>
                </c:pt>
                <c:pt idx="2">
                  <c:v>2820.4485118873376</c:v>
                </c:pt>
                <c:pt idx="3">
                  <c:v>1046.9417080807978</c:v>
                </c:pt>
                <c:pt idx="4">
                  <c:v>452.12426790276174</c:v>
                </c:pt>
                <c:pt idx="5">
                  <c:v>212.13388483835641</c:v>
                </c:pt>
                <c:pt idx="6">
                  <c:v>104.89233122105956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'1.model_summary'!$Q$97</c:f>
              <c:strCache>
                <c:ptCount val="1"/>
                <c:pt idx="0">
                  <c:v>NHB</c:v>
                </c:pt>
              </c:strCache>
            </c:strRef>
          </c:tx>
          <c:marker>
            <c:symbol val="none"/>
          </c:marker>
          <c:xVal>
            <c:numRef>
              <c:f>'1.model_summary'!$N$98:$N$104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'1.model_summary'!$Q$98:$Q$104</c:f>
              <c:numCache>
                <c:formatCode>General</c:formatCode>
                <c:ptCount val="7"/>
                <c:pt idx="0">
                  <c:v>198261.6411781132</c:v>
                </c:pt>
                <c:pt idx="1">
                  <c:v>15577.324188348515</c:v>
                </c:pt>
                <c:pt idx="2">
                  <c:v>3752.957645599517</c:v>
                </c:pt>
                <c:pt idx="3">
                  <c:v>1326.3949666025098</c:v>
                </c:pt>
                <c:pt idx="4">
                  <c:v>548.41235087424684</c:v>
                </c:pt>
                <c:pt idx="5">
                  <c:v>247.10176571915389</c:v>
                </c:pt>
                <c:pt idx="6">
                  <c:v>117.55989461177319</c:v>
                </c:pt>
              </c:numCache>
            </c:numRef>
          </c:yVal>
          <c:smooth val="1"/>
        </c:ser>
        <c:axId val="49516544"/>
        <c:axId val="49518464"/>
      </c:scatterChart>
      <c:valAx>
        <c:axId val="49516544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Travel Time (min)</a:t>
                </a:r>
              </a:p>
            </c:rich>
          </c:tx>
        </c:title>
        <c:numFmt formatCode="General" sourceLinked="1"/>
        <c:tickLblPos val="nextTo"/>
        <c:crossAx val="49518464"/>
        <c:crosses val="autoZero"/>
        <c:crossBetween val="midCat"/>
      </c:valAx>
      <c:valAx>
        <c:axId val="49518464"/>
        <c:scaling>
          <c:orientation val="minMax"/>
          <c:min val="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Friction</a:t>
                </a:r>
                <a:r>
                  <a:rPr lang="en-US" baseline="0"/>
                  <a:t> Factor</a:t>
                </a:r>
                <a:endParaRPr lang="en-US"/>
              </a:p>
            </c:rich>
          </c:tx>
        </c:title>
        <c:numFmt formatCode="General" sourceLinked="1"/>
        <c:tickLblPos val="nextTo"/>
        <c:crossAx val="4951654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Simplified</a:t>
            </a:r>
            <a:r>
              <a:rPr lang="en-US" baseline="0"/>
              <a:t> Production Rate Table</a:t>
            </a:r>
            <a:endParaRPr lang="en-US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'2.trip_production'!$A$4</c:f>
              <c:strCache>
                <c:ptCount val="1"/>
                <c:pt idx="0">
                  <c:v>HBW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'2.trip_production'!$B$4:$D$4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1.5</c:v>
                </c:pt>
                <c:pt idx="2">
                  <c:v>2.1</c:v>
                </c:pt>
              </c:numCache>
            </c:numRef>
          </c:val>
        </c:ser>
        <c:ser>
          <c:idx val="1"/>
          <c:order val="1"/>
          <c:tx>
            <c:strRef>
              <c:f>'2.trip_production'!$A$5</c:f>
              <c:strCache>
                <c:ptCount val="1"/>
                <c:pt idx="0">
                  <c:v>HBO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'2.trip_production'!$B$5:$D$5</c:f>
              <c:numCache>
                <c:formatCode>General</c:formatCode>
                <c:ptCount val="3"/>
                <c:pt idx="0">
                  <c:v>3</c:v>
                </c:pt>
                <c:pt idx="1">
                  <c:v>3.9</c:v>
                </c:pt>
                <c:pt idx="2">
                  <c:v>5.7</c:v>
                </c:pt>
              </c:numCache>
            </c:numRef>
          </c:val>
        </c:ser>
        <c:ser>
          <c:idx val="2"/>
          <c:order val="2"/>
          <c:tx>
            <c:strRef>
              <c:f>'2.trip_production'!$A$6</c:f>
              <c:strCache>
                <c:ptCount val="1"/>
                <c:pt idx="0">
                  <c:v>NHB</c:v>
                </c:pt>
              </c:strCache>
            </c:strRef>
          </c:tx>
          <c:cat>
            <c:strRef>
              <c:f>'2.trip_production'!$B$2:$D$3</c:f>
              <c:strCache>
                <c:ptCount val="3"/>
                <c:pt idx="0">
                  <c:v>auto_ownership_0</c:v>
                </c:pt>
                <c:pt idx="1">
                  <c:v>auto_ownership_1</c:v>
                </c:pt>
                <c:pt idx="2">
                  <c:v>auto_ownership_2+</c:v>
                </c:pt>
              </c:strCache>
            </c:strRef>
          </c:cat>
          <c:val>
            <c:numRef>
              <c:f>'2.trip_production'!$B$6:$D$6</c:f>
              <c:numCache>
                <c:formatCode>General</c:formatCode>
                <c:ptCount val="3"/>
                <c:pt idx="0">
                  <c:v>1.2</c:v>
                </c:pt>
                <c:pt idx="1">
                  <c:v>1.6</c:v>
                </c:pt>
                <c:pt idx="2">
                  <c:v>2.2999999999999998</c:v>
                </c:pt>
              </c:numCache>
            </c:numRef>
          </c:val>
        </c:ser>
        <c:marker val="1"/>
        <c:axId val="51099904"/>
        <c:axId val="51110272"/>
      </c:lineChart>
      <c:catAx>
        <c:axId val="51099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 Owner</a:t>
                </a:r>
                <a:r>
                  <a:rPr lang="en-US" baseline="0"/>
                  <a:t>ship</a:t>
                </a:r>
                <a:endParaRPr lang="en-US"/>
              </a:p>
            </c:rich>
          </c:tx>
        </c:title>
        <c:majorTickMark val="none"/>
        <c:tickLblPos val="nextTo"/>
        <c:crossAx val="51110272"/>
        <c:crosses val="autoZero"/>
        <c:auto val="1"/>
        <c:lblAlgn val="ctr"/>
        <c:lblOffset val="100"/>
      </c:catAx>
      <c:valAx>
        <c:axId val="511102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Trip Production Rate</a:t>
                </a:r>
              </a:p>
            </c:rich>
          </c:tx>
        </c:title>
        <c:numFmt formatCode="General" sourceLinked="1"/>
        <c:tickLblPos val="nextTo"/>
        <c:crossAx val="51099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'5.References'!$C$46</c:f>
              <c:strCache>
                <c:ptCount val="1"/>
                <c:pt idx="0">
                  <c:v>HBW_SOV_AP</c:v>
                </c:pt>
              </c:strCache>
            </c:strRef>
          </c:tx>
          <c:dLbls>
            <c:dLbl>
              <c:idx val="47"/>
              <c:layout>
                <c:manualLayout>
                  <c:x val="-3.3591728987925902E-2"/>
                  <c:y val="-6.8201193520886928E-3"/>
                </c:manualLayout>
              </c:layout>
              <c:showCatName val="1"/>
            </c:dLbl>
            <c:dLbl>
              <c:idx val="50"/>
              <c:layout>
                <c:manualLayout>
                  <c:x val="-1.4642548533198537E-2"/>
                  <c:y val="3.4100596760443309E-2"/>
                </c:manualLayout>
              </c:layout>
              <c:showCatName val="1"/>
            </c:dLbl>
            <c:dLbl>
              <c:idx val="52"/>
              <c:layout>
                <c:manualLayout>
                  <c:x val="3.4453055372232352E-3"/>
                  <c:y val="-3.0690537084399019E-2"/>
                </c:manualLayout>
              </c:layout>
              <c:showCatName val="1"/>
            </c:dLbl>
            <c:showCatName val="1"/>
          </c:dLbls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'5.References'!$D$46:$CU$46</c:f>
              <c:numCache>
                <c:formatCode>0.000000</c:formatCode>
                <c:ptCount val="96"/>
                <c:pt idx="0">
                  <c:v>1E-4</c:v>
                </c:pt>
                <c:pt idx="1">
                  <c:v>4.8999999999999998E-5</c:v>
                </c:pt>
                <c:pt idx="2">
                  <c:v>9.5000000000000005E-5</c:v>
                </c:pt>
                <c:pt idx="3">
                  <c:v>3.21E-4</c:v>
                </c:pt>
                <c:pt idx="4">
                  <c:v>6.6100000000000002E-4</c:v>
                </c:pt>
                <c:pt idx="5">
                  <c:v>8.0800000000000002E-4</c:v>
                </c:pt>
                <c:pt idx="6">
                  <c:v>9.1E-4</c:v>
                </c:pt>
                <c:pt idx="7">
                  <c:v>1.2719999999999999E-3</c:v>
                </c:pt>
                <c:pt idx="8">
                  <c:v>1.7160000000000001E-3</c:v>
                </c:pt>
                <c:pt idx="9">
                  <c:v>1.7240000000000001E-3</c:v>
                </c:pt>
                <c:pt idx="10">
                  <c:v>1.369E-3</c:v>
                </c:pt>
                <c:pt idx="11">
                  <c:v>1.142E-3</c:v>
                </c:pt>
                <c:pt idx="12">
                  <c:v>1.178E-3</c:v>
                </c:pt>
                <c:pt idx="13">
                  <c:v>1.4809999999999999E-3</c:v>
                </c:pt>
                <c:pt idx="14">
                  <c:v>1.8079999999999999E-3</c:v>
                </c:pt>
                <c:pt idx="15">
                  <c:v>1.7080000000000001E-3</c:v>
                </c:pt>
                <c:pt idx="16">
                  <c:v>1.2960000000000001E-3</c:v>
                </c:pt>
                <c:pt idx="17">
                  <c:v>1.0430000000000001E-3</c:v>
                </c:pt>
                <c:pt idx="18">
                  <c:v>9.7099999999999997E-4</c:v>
                </c:pt>
                <c:pt idx="19">
                  <c:v>9.2599999999999996E-4</c:v>
                </c:pt>
                <c:pt idx="20">
                  <c:v>9.3300000000000002E-4</c:v>
                </c:pt>
                <c:pt idx="21">
                  <c:v>1.242E-3</c:v>
                </c:pt>
                <c:pt idx="22">
                  <c:v>1.8439999999999999E-3</c:v>
                </c:pt>
                <c:pt idx="23">
                  <c:v>2.6830000000000001E-3</c:v>
                </c:pt>
                <c:pt idx="24">
                  <c:v>3.5260000000000001E-3</c:v>
                </c:pt>
                <c:pt idx="25">
                  <c:v>4.0159999999999996E-3</c:v>
                </c:pt>
                <c:pt idx="26">
                  <c:v>4.5059999999999996E-3</c:v>
                </c:pt>
                <c:pt idx="27">
                  <c:v>5.9090000000000002E-3</c:v>
                </c:pt>
                <c:pt idx="28">
                  <c:v>7.6530000000000001E-3</c:v>
                </c:pt>
                <c:pt idx="29">
                  <c:v>7.9889999999999996E-3</c:v>
                </c:pt>
                <c:pt idx="30">
                  <c:v>7.0359999999999997E-3</c:v>
                </c:pt>
                <c:pt idx="31">
                  <c:v>5.8040000000000001E-3</c:v>
                </c:pt>
                <c:pt idx="32">
                  <c:v>4.7559999999999998E-3</c:v>
                </c:pt>
                <c:pt idx="33">
                  <c:v>4.0569999999999998E-3</c:v>
                </c:pt>
                <c:pt idx="34">
                  <c:v>4.0020000000000003E-3</c:v>
                </c:pt>
                <c:pt idx="35">
                  <c:v>5.365E-3</c:v>
                </c:pt>
                <c:pt idx="36">
                  <c:v>7.4869999999999997E-3</c:v>
                </c:pt>
                <c:pt idx="37">
                  <c:v>8.6079999999999993E-3</c:v>
                </c:pt>
                <c:pt idx="38">
                  <c:v>9.6659999999999992E-3</c:v>
                </c:pt>
                <c:pt idx="39">
                  <c:v>1.3232000000000001E-2</c:v>
                </c:pt>
                <c:pt idx="40">
                  <c:v>1.8867999999999999E-2</c:v>
                </c:pt>
                <c:pt idx="41">
                  <c:v>2.4417999999999999E-2</c:v>
                </c:pt>
                <c:pt idx="42">
                  <c:v>2.9815999999999999E-2</c:v>
                </c:pt>
                <c:pt idx="43">
                  <c:v>3.6296000000000002E-2</c:v>
                </c:pt>
                <c:pt idx="44">
                  <c:v>4.3503E-2</c:v>
                </c:pt>
                <c:pt idx="45">
                  <c:v>4.9168000000000003E-2</c:v>
                </c:pt>
                <c:pt idx="46">
                  <c:v>5.3799E-2</c:v>
                </c:pt>
                <c:pt idx="47">
                  <c:v>5.9047000000000002E-2</c:v>
                </c:pt>
                <c:pt idx="48">
                  <c:v>6.2940999999999997E-2</c:v>
                </c:pt>
                <c:pt idx="49">
                  <c:v>5.9437999999999998E-2</c:v>
                </c:pt>
                <c:pt idx="50">
                  <c:v>5.2304000000000003E-2</c:v>
                </c:pt>
                <c:pt idx="51">
                  <c:v>5.1208999999999998E-2</c:v>
                </c:pt>
                <c:pt idx="52">
                  <c:v>5.2673999999999999E-2</c:v>
                </c:pt>
                <c:pt idx="53">
                  <c:v>4.3309E-2</c:v>
                </c:pt>
                <c:pt idx="54">
                  <c:v>2.6981999999999999E-2</c:v>
                </c:pt>
                <c:pt idx="55">
                  <c:v>1.9040999999999999E-2</c:v>
                </c:pt>
                <c:pt idx="56">
                  <c:v>1.8745999999999999E-2</c:v>
                </c:pt>
                <c:pt idx="57">
                  <c:v>1.6147999999999999E-2</c:v>
                </c:pt>
                <c:pt idx="58">
                  <c:v>1.0976E-2</c:v>
                </c:pt>
                <c:pt idx="59">
                  <c:v>9.5829999999999995E-3</c:v>
                </c:pt>
                <c:pt idx="60">
                  <c:v>1.1195E-2</c:v>
                </c:pt>
                <c:pt idx="61">
                  <c:v>1.0345E-2</c:v>
                </c:pt>
                <c:pt idx="62">
                  <c:v>7.698E-3</c:v>
                </c:pt>
                <c:pt idx="63">
                  <c:v>8.1890000000000001E-3</c:v>
                </c:pt>
                <c:pt idx="64">
                  <c:v>1.0664E-2</c:v>
                </c:pt>
                <c:pt idx="65">
                  <c:v>1.0207000000000001E-2</c:v>
                </c:pt>
                <c:pt idx="66">
                  <c:v>7.3889999999999997E-3</c:v>
                </c:pt>
                <c:pt idx="67">
                  <c:v>6.5760000000000002E-3</c:v>
                </c:pt>
                <c:pt idx="68">
                  <c:v>7.3870000000000003E-3</c:v>
                </c:pt>
                <c:pt idx="69">
                  <c:v>6.3169999999999997E-3</c:v>
                </c:pt>
                <c:pt idx="70">
                  <c:v>3.9410000000000001E-3</c:v>
                </c:pt>
                <c:pt idx="71">
                  <c:v>3.6549999999999998E-3</c:v>
                </c:pt>
                <c:pt idx="72">
                  <c:v>4.8809999999999999E-3</c:v>
                </c:pt>
                <c:pt idx="73">
                  <c:v>4.4479999999999997E-3</c:v>
                </c:pt>
                <c:pt idx="74">
                  <c:v>2.4610000000000001E-3</c:v>
                </c:pt>
                <c:pt idx="75">
                  <c:v>1.119E-3</c:v>
                </c:pt>
                <c:pt idx="76">
                  <c:v>1.279E-3</c:v>
                </c:pt>
                <c:pt idx="77">
                  <c:v>1.598E-3</c:v>
                </c:pt>
                <c:pt idx="78">
                  <c:v>1.702E-3</c:v>
                </c:pt>
                <c:pt idx="79">
                  <c:v>1.7309999999999999E-3</c:v>
                </c:pt>
                <c:pt idx="80">
                  <c:v>1.8029999999999999E-3</c:v>
                </c:pt>
                <c:pt idx="81">
                  <c:v>1.9659999999999999E-3</c:v>
                </c:pt>
                <c:pt idx="82">
                  <c:v>2.1120000000000002E-3</c:v>
                </c:pt>
                <c:pt idx="83">
                  <c:v>2.0560000000000001E-3</c:v>
                </c:pt>
                <c:pt idx="84">
                  <c:v>1.833E-3</c:v>
                </c:pt>
                <c:pt idx="85">
                  <c:v>1.5460000000000001E-3</c:v>
                </c:pt>
                <c:pt idx="86">
                  <c:v>1.268E-3</c:v>
                </c:pt>
                <c:pt idx="87">
                  <c:v>1.0480000000000001E-3</c:v>
                </c:pt>
                <c:pt idx="88">
                  <c:v>9.0600000000000001E-4</c:v>
                </c:pt>
                <c:pt idx="89">
                  <c:v>8.5599999999999999E-4</c:v>
                </c:pt>
                <c:pt idx="90">
                  <c:v>8.2600000000000002E-4</c:v>
                </c:pt>
                <c:pt idx="91">
                  <c:v>6.78E-4</c:v>
                </c:pt>
                <c:pt idx="92">
                  <c:v>4.28E-4</c:v>
                </c:pt>
                <c:pt idx="93">
                  <c:v>2.72E-4</c:v>
                </c:pt>
                <c:pt idx="94">
                  <c:v>2.5300000000000002E-4</c:v>
                </c:pt>
                <c:pt idx="95">
                  <c:v>2.0599999999999999E-4</c:v>
                </c:pt>
              </c:numCache>
            </c:numRef>
          </c:val>
        </c:ser>
        <c:ser>
          <c:idx val="1"/>
          <c:order val="1"/>
          <c:tx>
            <c:strRef>
              <c:f>'5.References'!$C$45</c:f>
              <c:strCache>
                <c:ptCount val="1"/>
                <c:pt idx="0">
                  <c:v>HBW_SOV_PA</c:v>
                </c:pt>
              </c:strCache>
            </c:strRef>
          </c:tx>
          <c:dLbls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6h45</a:t>
                    </a:r>
                  </a:p>
                </c:rich>
              </c:tx>
              <c:showVal val="1"/>
              <c:showCatName val="1"/>
            </c:dLbl>
            <c:showCatName val="1"/>
          </c:dLbls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'5.References'!$D$45:$CU$45</c:f>
              <c:numCache>
                <c:formatCode>0.000000</c:formatCode>
                <c:ptCount val="96"/>
                <c:pt idx="0">
                  <c:v>7.3299999999999997E-3</c:v>
                </c:pt>
                <c:pt idx="1">
                  <c:v>1.1439E-2</c:v>
                </c:pt>
                <c:pt idx="2">
                  <c:v>1.6005999999999999E-2</c:v>
                </c:pt>
                <c:pt idx="3">
                  <c:v>2.1058E-2</c:v>
                </c:pt>
                <c:pt idx="4">
                  <c:v>2.7439999999999999E-2</c:v>
                </c:pt>
                <c:pt idx="5">
                  <c:v>3.5902999999999997E-2</c:v>
                </c:pt>
                <c:pt idx="6">
                  <c:v>4.5670000000000002E-2</c:v>
                </c:pt>
                <c:pt idx="7">
                  <c:v>5.5485E-2</c:v>
                </c:pt>
                <c:pt idx="8">
                  <c:v>6.2331999999999999E-2</c:v>
                </c:pt>
                <c:pt idx="9">
                  <c:v>6.5525E-2</c:v>
                </c:pt>
                <c:pt idx="10">
                  <c:v>6.7900000000000002E-2</c:v>
                </c:pt>
                <c:pt idx="11">
                  <c:v>6.9226999999999997E-2</c:v>
                </c:pt>
                <c:pt idx="12">
                  <c:v>6.6223000000000004E-2</c:v>
                </c:pt>
                <c:pt idx="13">
                  <c:v>5.7935E-2</c:v>
                </c:pt>
                <c:pt idx="14">
                  <c:v>4.9456E-2</c:v>
                </c:pt>
                <c:pt idx="15">
                  <c:v>4.2396000000000003E-2</c:v>
                </c:pt>
                <c:pt idx="16">
                  <c:v>3.4874000000000002E-2</c:v>
                </c:pt>
                <c:pt idx="17">
                  <c:v>2.6468999999999999E-2</c:v>
                </c:pt>
                <c:pt idx="18">
                  <c:v>1.8842999999999999E-2</c:v>
                </c:pt>
                <c:pt idx="19">
                  <c:v>1.2977000000000001E-2</c:v>
                </c:pt>
                <c:pt idx="20">
                  <c:v>9.1669999999999998E-3</c:v>
                </c:pt>
                <c:pt idx="21">
                  <c:v>7.2870000000000001E-3</c:v>
                </c:pt>
                <c:pt idx="22">
                  <c:v>6.5919999999999998E-3</c:v>
                </c:pt>
                <c:pt idx="23">
                  <c:v>6.3740000000000003E-3</c:v>
                </c:pt>
                <c:pt idx="24">
                  <c:v>5.6829999999999997E-3</c:v>
                </c:pt>
                <c:pt idx="25">
                  <c:v>4.5019999999999999E-3</c:v>
                </c:pt>
                <c:pt idx="26">
                  <c:v>4.1180000000000001E-3</c:v>
                </c:pt>
                <c:pt idx="27">
                  <c:v>4.9639999999999997E-3</c:v>
                </c:pt>
                <c:pt idx="28">
                  <c:v>6.0400000000000002E-3</c:v>
                </c:pt>
                <c:pt idx="29">
                  <c:v>6.9049999999999997E-3</c:v>
                </c:pt>
                <c:pt idx="30">
                  <c:v>7.3109999999999998E-3</c:v>
                </c:pt>
                <c:pt idx="31">
                  <c:v>7.3600000000000002E-3</c:v>
                </c:pt>
                <c:pt idx="32">
                  <c:v>6.8719999999999996E-3</c:v>
                </c:pt>
                <c:pt idx="33">
                  <c:v>5.9199999999999999E-3</c:v>
                </c:pt>
                <c:pt idx="34">
                  <c:v>4.9750000000000003E-3</c:v>
                </c:pt>
                <c:pt idx="35">
                  <c:v>4.372E-3</c:v>
                </c:pt>
                <c:pt idx="36">
                  <c:v>4.3569999999999998E-3</c:v>
                </c:pt>
                <c:pt idx="37">
                  <c:v>4.7619999999999997E-3</c:v>
                </c:pt>
                <c:pt idx="38">
                  <c:v>5.0619999999999997E-3</c:v>
                </c:pt>
                <c:pt idx="39">
                  <c:v>4.9069999999999999E-3</c:v>
                </c:pt>
                <c:pt idx="40">
                  <c:v>4.6600000000000001E-3</c:v>
                </c:pt>
                <c:pt idx="41">
                  <c:v>4.2919999999999998E-3</c:v>
                </c:pt>
                <c:pt idx="42">
                  <c:v>3.852E-3</c:v>
                </c:pt>
                <c:pt idx="43">
                  <c:v>3.3040000000000001E-3</c:v>
                </c:pt>
                <c:pt idx="44">
                  <c:v>3.1519999999999999E-3</c:v>
                </c:pt>
                <c:pt idx="45">
                  <c:v>3.4770000000000001E-3</c:v>
                </c:pt>
                <c:pt idx="46">
                  <c:v>3.5309999999999999E-3</c:v>
                </c:pt>
                <c:pt idx="47">
                  <c:v>3.0980000000000001E-3</c:v>
                </c:pt>
                <c:pt idx="48">
                  <c:v>2.6580000000000002E-3</c:v>
                </c:pt>
                <c:pt idx="49">
                  <c:v>2.4329999999999998E-3</c:v>
                </c:pt>
                <c:pt idx="50">
                  <c:v>2.3749999999999999E-3</c:v>
                </c:pt>
                <c:pt idx="51">
                  <c:v>2.3969999999999998E-3</c:v>
                </c:pt>
                <c:pt idx="52">
                  <c:v>2.1879999999999998E-3</c:v>
                </c:pt>
                <c:pt idx="53">
                  <c:v>1.7639999999999999E-3</c:v>
                </c:pt>
                <c:pt idx="54">
                  <c:v>1.534E-3</c:v>
                </c:pt>
                <c:pt idx="55">
                  <c:v>1.585E-3</c:v>
                </c:pt>
                <c:pt idx="56">
                  <c:v>1.5009999999999999E-3</c:v>
                </c:pt>
                <c:pt idx="57">
                  <c:v>1.2019999999999999E-3</c:v>
                </c:pt>
                <c:pt idx="58">
                  <c:v>1.1199999999999999E-3</c:v>
                </c:pt>
                <c:pt idx="59">
                  <c:v>1.3450000000000001E-3</c:v>
                </c:pt>
                <c:pt idx="60">
                  <c:v>1.459E-3</c:v>
                </c:pt>
                <c:pt idx="61">
                  <c:v>1.299E-3</c:v>
                </c:pt>
                <c:pt idx="62">
                  <c:v>1.132E-3</c:v>
                </c:pt>
                <c:pt idx="63">
                  <c:v>1.047E-3</c:v>
                </c:pt>
                <c:pt idx="64">
                  <c:v>1.0280000000000001E-3</c:v>
                </c:pt>
                <c:pt idx="65">
                  <c:v>1.0740000000000001E-3</c:v>
                </c:pt>
                <c:pt idx="66">
                  <c:v>1.2650000000000001E-3</c:v>
                </c:pt>
                <c:pt idx="67">
                  <c:v>1.5920000000000001E-3</c:v>
                </c:pt>
                <c:pt idx="68">
                  <c:v>1.867E-3</c:v>
                </c:pt>
                <c:pt idx="69">
                  <c:v>1.9580000000000001E-3</c:v>
                </c:pt>
                <c:pt idx="70">
                  <c:v>1.774E-3</c:v>
                </c:pt>
                <c:pt idx="71">
                  <c:v>1.32E-3</c:v>
                </c:pt>
                <c:pt idx="72">
                  <c:v>8.9300000000000002E-4</c:v>
                </c:pt>
                <c:pt idx="73">
                  <c:v>5.8100000000000003E-4</c:v>
                </c:pt>
                <c:pt idx="74">
                  <c:v>2.92E-4</c:v>
                </c:pt>
                <c:pt idx="75">
                  <c:v>1.1900000000000001E-4</c:v>
                </c:pt>
                <c:pt idx="76">
                  <c:v>2.5000000000000001E-5</c:v>
                </c:pt>
                <c:pt idx="77">
                  <c:v>9.0000000000000006E-5</c:v>
                </c:pt>
                <c:pt idx="78">
                  <c:v>1.3899999999999999E-4</c:v>
                </c:pt>
                <c:pt idx="79">
                  <c:v>9.7E-5</c:v>
                </c:pt>
                <c:pt idx="80">
                  <c:v>7.6000000000000004E-5</c:v>
                </c:pt>
                <c:pt idx="81">
                  <c:v>3.4E-5</c:v>
                </c:pt>
                <c:pt idx="82">
                  <c:v>5.3999999999999998E-5</c:v>
                </c:pt>
                <c:pt idx="83">
                  <c:v>1.26E-4</c:v>
                </c:pt>
                <c:pt idx="84">
                  <c:v>2.5900000000000001E-4</c:v>
                </c:pt>
                <c:pt idx="85">
                  <c:v>4.0700000000000003E-4</c:v>
                </c:pt>
                <c:pt idx="86">
                  <c:v>5.0000000000000001E-4</c:v>
                </c:pt>
                <c:pt idx="87">
                  <c:v>5.44E-4</c:v>
                </c:pt>
                <c:pt idx="88">
                  <c:v>6.3000000000000003E-4</c:v>
                </c:pt>
                <c:pt idx="89">
                  <c:v>7.7099999999999998E-4</c:v>
                </c:pt>
                <c:pt idx="90">
                  <c:v>9.1E-4</c:v>
                </c:pt>
                <c:pt idx="91">
                  <c:v>1.083E-3</c:v>
                </c:pt>
                <c:pt idx="92">
                  <c:v>1.5449999999999999E-3</c:v>
                </c:pt>
                <c:pt idx="93">
                  <c:v>2.3800000000000002E-3</c:v>
                </c:pt>
                <c:pt idx="94">
                  <c:v>3.3660000000000001E-3</c:v>
                </c:pt>
                <c:pt idx="95">
                  <c:v>4.7739999999999996E-3</c:v>
                </c:pt>
              </c:numCache>
            </c:numRef>
          </c:val>
        </c:ser>
        <c:ser>
          <c:idx val="2"/>
          <c:order val="2"/>
          <c:tx>
            <c:strRef>
              <c:f>'5.References'!$C$47</c:f>
              <c:strCache>
                <c:ptCount val="1"/>
                <c:pt idx="0">
                  <c:v>HBO_SOV_AP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'5.References'!$D$47:$CU$47</c:f>
              <c:numCache>
                <c:formatCode>0.000000</c:formatCode>
                <c:ptCount val="96"/>
                <c:pt idx="0">
                  <c:v>6.9499999999999998E-4</c:v>
                </c:pt>
                <c:pt idx="1">
                  <c:v>8.6700000000000004E-4</c:v>
                </c:pt>
                <c:pt idx="2">
                  <c:v>1.196E-3</c:v>
                </c:pt>
                <c:pt idx="3">
                  <c:v>1.5349999999999999E-3</c:v>
                </c:pt>
                <c:pt idx="4">
                  <c:v>2.0539999999999998E-3</c:v>
                </c:pt>
                <c:pt idx="5">
                  <c:v>2.5360000000000001E-3</c:v>
                </c:pt>
                <c:pt idx="6">
                  <c:v>3.225E-3</c:v>
                </c:pt>
                <c:pt idx="7">
                  <c:v>3.7950000000000002E-3</c:v>
                </c:pt>
                <c:pt idx="8">
                  <c:v>4.5580000000000004E-3</c:v>
                </c:pt>
                <c:pt idx="9">
                  <c:v>5.0410000000000003E-3</c:v>
                </c:pt>
                <c:pt idx="10">
                  <c:v>5.7140000000000003E-3</c:v>
                </c:pt>
                <c:pt idx="11">
                  <c:v>6.1240000000000001E-3</c:v>
                </c:pt>
                <c:pt idx="12">
                  <c:v>6.7229999999999998E-3</c:v>
                </c:pt>
                <c:pt idx="13">
                  <c:v>7.1599999999999997E-3</c:v>
                </c:pt>
                <c:pt idx="14">
                  <c:v>7.6860000000000001E-3</c:v>
                </c:pt>
                <c:pt idx="15">
                  <c:v>8.0000000000000002E-3</c:v>
                </c:pt>
                <c:pt idx="16">
                  <c:v>8.3029999999999996E-3</c:v>
                </c:pt>
                <c:pt idx="17">
                  <c:v>8.3440000000000007E-3</c:v>
                </c:pt>
                <c:pt idx="18">
                  <c:v>8.4349999999999998E-3</c:v>
                </c:pt>
                <c:pt idx="19">
                  <c:v>8.4880000000000008E-3</c:v>
                </c:pt>
                <c:pt idx="20">
                  <c:v>8.5839999999999996E-3</c:v>
                </c:pt>
                <c:pt idx="21">
                  <c:v>8.7410000000000005E-3</c:v>
                </c:pt>
                <c:pt idx="22">
                  <c:v>9.0360000000000006E-3</c:v>
                </c:pt>
                <c:pt idx="23">
                  <c:v>9.3690000000000006E-3</c:v>
                </c:pt>
                <c:pt idx="24">
                  <c:v>9.9019999999999993E-3</c:v>
                </c:pt>
                <c:pt idx="25">
                  <c:v>1.0305E-2</c:v>
                </c:pt>
                <c:pt idx="26">
                  <c:v>1.0767000000000001E-2</c:v>
                </c:pt>
                <c:pt idx="27">
                  <c:v>1.0989000000000001E-2</c:v>
                </c:pt>
                <c:pt idx="28">
                  <c:v>1.0938E-2</c:v>
                </c:pt>
                <c:pt idx="29">
                  <c:v>1.0977000000000001E-2</c:v>
                </c:pt>
                <c:pt idx="30">
                  <c:v>1.0999E-2</c:v>
                </c:pt>
                <c:pt idx="31">
                  <c:v>1.1179E-2</c:v>
                </c:pt>
                <c:pt idx="32">
                  <c:v>1.1605000000000001E-2</c:v>
                </c:pt>
                <c:pt idx="33">
                  <c:v>1.1984E-2</c:v>
                </c:pt>
                <c:pt idx="34">
                  <c:v>1.2489999999999999E-2</c:v>
                </c:pt>
                <c:pt idx="35">
                  <c:v>1.2843E-2</c:v>
                </c:pt>
                <c:pt idx="36">
                  <c:v>1.3251000000000001E-2</c:v>
                </c:pt>
                <c:pt idx="37">
                  <c:v>1.3603000000000001E-2</c:v>
                </c:pt>
                <c:pt idx="38">
                  <c:v>1.4160000000000001E-2</c:v>
                </c:pt>
                <c:pt idx="39">
                  <c:v>1.4782999999999999E-2</c:v>
                </c:pt>
                <c:pt idx="40">
                  <c:v>1.5821000000000002E-2</c:v>
                </c:pt>
                <c:pt idx="41">
                  <c:v>1.6768000000000002E-2</c:v>
                </c:pt>
                <c:pt idx="42">
                  <c:v>1.7985999999999999E-2</c:v>
                </c:pt>
                <c:pt idx="43">
                  <c:v>1.9030999999999999E-2</c:v>
                </c:pt>
                <c:pt idx="44">
                  <c:v>2.0315E-2</c:v>
                </c:pt>
                <c:pt idx="45">
                  <c:v>2.1086000000000001E-2</c:v>
                </c:pt>
                <c:pt idx="46">
                  <c:v>2.1838E-2</c:v>
                </c:pt>
                <c:pt idx="47">
                  <c:v>2.2186999999999998E-2</c:v>
                </c:pt>
                <c:pt idx="48">
                  <c:v>2.2447000000000002E-2</c:v>
                </c:pt>
                <c:pt idx="49">
                  <c:v>2.2543000000000001E-2</c:v>
                </c:pt>
                <c:pt idx="50">
                  <c:v>2.257E-2</c:v>
                </c:pt>
                <c:pt idx="51">
                  <c:v>2.2601E-2</c:v>
                </c:pt>
                <c:pt idx="52">
                  <c:v>2.2533000000000001E-2</c:v>
                </c:pt>
                <c:pt idx="53">
                  <c:v>2.2416999999999999E-2</c:v>
                </c:pt>
                <c:pt idx="54">
                  <c:v>2.2134999999999998E-2</c:v>
                </c:pt>
                <c:pt idx="55">
                  <c:v>2.1826999999999999E-2</c:v>
                </c:pt>
                <c:pt idx="56">
                  <c:v>2.1108999999999999E-2</c:v>
                </c:pt>
                <c:pt idx="57">
                  <c:v>2.0648E-2</c:v>
                </c:pt>
                <c:pt idx="58">
                  <c:v>1.9932999999999999E-2</c:v>
                </c:pt>
                <c:pt idx="59">
                  <c:v>1.9668000000000001E-2</c:v>
                </c:pt>
                <c:pt idx="60">
                  <c:v>1.9556E-2</c:v>
                </c:pt>
                <c:pt idx="61">
                  <c:v>1.9588999999999999E-2</c:v>
                </c:pt>
                <c:pt idx="62">
                  <c:v>1.9629000000000001E-2</c:v>
                </c:pt>
                <c:pt idx="63">
                  <c:v>1.9727999999999999E-2</c:v>
                </c:pt>
                <c:pt idx="64">
                  <c:v>1.9800000000000002E-2</c:v>
                </c:pt>
                <c:pt idx="65">
                  <c:v>1.9488999999999999E-2</c:v>
                </c:pt>
                <c:pt idx="66">
                  <c:v>1.8790999999999999E-2</c:v>
                </c:pt>
                <c:pt idx="67">
                  <c:v>1.7853999999999998E-2</c:v>
                </c:pt>
                <c:pt idx="68">
                  <c:v>1.6271000000000001E-2</c:v>
                </c:pt>
                <c:pt idx="69">
                  <c:v>1.4659E-2</c:v>
                </c:pt>
                <c:pt idx="70">
                  <c:v>1.2347E-2</c:v>
                </c:pt>
                <c:pt idx="71">
                  <c:v>1.0437999999999999E-2</c:v>
                </c:pt>
                <c:pt idx="72">
                  <c:v>8.1340000000000006E-3</c:v>
                </c:pt>
                <c:pt idx="73">
                  <c:v>6.4770000000000001E-3</c:v>
                </c:pt>
                <c:pt idx="74">
                  <c:v>4.7089999999999996E-3</c:v>
                </c:pt>
                <c:pt idx="75">
                  <c:v>4.0229999999999997E-3</c:v>
                </c:pt>
                <c:pt idx="76">
                  <c:v>1.5169999999999999E-3</c:v>
                </c:pt>
                <c:pt idx="77">
                  <c:v>2.0379999999999999E-3</c:v>
                </c:pt>
                <c:pt idx="78">
                  <c:v>1.918E-3</c:v>
                </c:pt>
                <c:pt idx="79">
                  <c:v>1.8469999999999999E-3</c:v>
                </c:pt>
                <c:pt idx="80">
                  <c:v>1.8259999999999999E-3</c:v>
                </c:pt>
                <c:pt idx="81">
                  <c:v>1.7780000000000001E-3</c:v>
                </c:pt>
                <c:pt idx="82">
                  <c:v>1.665E-3</c:v>
                </c:pt>
                <c:pt idx="83">
                  <c:v>1.5640000000000001E-3</c:v>
                </c:pt>
                <c:pt idx="84">
                  <c:v>1.4270000000000001E-3</c:v>
                </c:pt>
                <c:pt idx="85">
                  <c:v>1.3370000000000001E-3</c:v>
                </c:pt>
                <c:pt idx="86">
                  <c:v>1.2489999999999999E-3</c:v>
                </c:pt>
                <c:pt idx="87">
                  <c:v>1.194E-3</c:v>
                </c:pt>
                <c:pt idx="88">
                  <c:v>1.14E-3</c:v>
                </c:pt>
                <c:pt idx="89">
                  <c:v>1.0820000000000001E-3</c:v>
                </c:pt>
                <c:pt idx="90">
                  <c:v>9.8700000000000003E-4</c:v>
                </c:pt>
                <c:pt idx="91">
                  <c:v>8.9300000000000002E-4</c:v>
                </c:pt>
                <c:pt idx="92">
                  <c:v>7.54E-4</c:v>
                </c:pt>
                <c:pt idx="93">
                  <c:v>6.6500000000000001E-4</c:v>
                </c:pt>
                <c:pt idx="94">
                  <c:v>5.8600000000000004E-4</c:v>
                </c:pt>
                <c:pt idx="95">
                  <c:v>5.9299999999999999E-4</c:v>
                </c:pt>
              </c:numCache>
            </c:numRef>
          </c:val>
        </c:ser>
        <c:ser>
          <c:idx val="3"/>
          <c:order val="3"/>
          <c:tx>
            <c:strRef>
              <c:f>'5.References'!$C$48</c:f>
              <c:strCache>
                <c:ptCount val="1"/>
                <c:pt idx="0">
                  <c:v>HBO_SOV_PA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'5.References'!$D$48:$CU$48</c:f>
              <c:numCache>
                <c:formatCode>0.000000</c:formatCode>
                <c:ptCount val="96"/>
                <c:pt idx="0">
                  <c:v>2.2780000000000001E-3</c:v>
                </c:pt>
                <c:pt idx="1">
                  <c:v>3.2230000000000002E-3</c:v>
                </c:pt>
                <c:pt idx="2">
                  <c:v>4.7349999999999996E-3</c:v>
                </c:pt>
                <c:pt idx="3">
                  <c:v>6.2370000000000004E-3</c:v>
                </c:pt>
                <c:pt idx="4">
                  <c:v>8.4799999999999997E-3</c:v>
                </c:pt>
                <c:pt idx="5">
                  <c:v>1.0564E-2</c:v>
                </c:pt>
                <c:pt idx="6">
                  <c:v>1.3532000000000001E-2</c:v>
                </c:pt>
                <c:pt idx="7">
                  <c:v>1.5951E-2</c:v>
                </c:pt>
                <c:pt idx="8">
                  <c:v>1.908E-2</c:v>
                </c:pt>
                <c:pt idx="9">
                  <c:v>2.1156999999999999E-2</c:v>
                </c:pt>
                <c:pt idx="10">
                  <c:v>2.3446000000000002E-2</c:v>
                </c:pt>
                <c:pt idx="11">
                  <c:v>2.4884E-2</c:v>
                </c:pt>
                <c:pt idx="12">
                  <c:v>2.6121999999999999E-2</c:v>
                </c:pt>
                <c:pt idx="13">
                  <c:v>2.6849000000000001E-2</c:v>
                </c:pt>
                <c:pt idx="14">
                  <c:v>2.7307999999999999E-2</c:v>
                </c:pt>
                <c:pt idx="15">
                  <c:v>2.7220999999999999E-2</c:v>
                </c:pt>
                <c:pt idx="16">
                  <c:v>2.6797999999999999E-2</c:v>
                </c:pt>
                <c:pt idx="17">
                  <c:v>2.6159000000000002E-2</c:v>
                </c:pt>
                <c:pt idx="18">
                  <c:v>2.5191999999999999E-2</c:v>
                </c:pt>
                <c:pt idx="19">
                  <c:v>2.4409E-2</c:v>
                </c:pt>
                <c:pt idx="20">
                  <c:v>2.3335000000000002E-2</c:v>
                </c:pt>
                <c:pt idx="21">
                  <c:v>2.2439000000000001E-2</c:v>
                </c:pt>
                <c:pt idx="22">
                  <c:v>2.1218999999999998E-2</c:v>
                </c:pt>
                <c:pt idx="23">
                  <c:v>2.0230999999999999E-2</c:v>
                </c:pt>
                <c:pt idx="24">
                  <c:v>1.8747E-2</c:v>
                </c:pt>
                <c:pt idx="25">
                  <c:v>1.7520999999999998E-2</c:v>
                </c:pt>
                <c:pt idx="26">
                  <c:v>1.5973999999999999E-2</c:v>
                </c:pt>
                <c:pt idx="27">
                  <c:v>1.4862E-2</c:v>
                </c:pt>
                <c:pt idx="28">
                  <c:v>1.3657000000000001E-2</c:v>
                </c:pt>
                <c:pt idx="29">
                  <c:v>1.2965000000000001E-2</c:v>
                </c:pt>
                <c:pt idx="30">
                  <c:v>1.2441000000000001E-2</c:v>
                </c:pt>
                <c:pt idx="31">
                  <c:v>1.2265E-2</c:v>
                </c:pt>
                <c:pt idx="32">
                  <c:v>1.2383E-2</c:v>
                </c:pt>
                <c:pt idx="33">
                  <c:v>1.2458E-2</c:v>
                </c:pt>
                <c:pt idx="34">
                  <c:v>1.2737999999999999E-2</c:v>
                </c:pt>
                <c:pt idx="35">
                  <c:v>1.2822E-2</c:v>
                </c:pt>
                <c:pt idx="36">
                  <c:v>1.277E-2</c:v>
                </c:pt>
                <c:pt idx="37">
                  <c:v>1.2602E-2</c:v>
                </c:pt>
                <c:pt idx="38">
                  <c:v>1.2232E-2</c:v>
                </c:pt>
                <c:pt idx="39">
                  <c:v>1.1998E-2</c:v>
                </c:pt>
                <c:pt idx="40">
                  <c:v>1.1771999999999999E-2</c:v>
                </c:pt>
                <c:pt idx="41">
                  <c:v>1.1624000000000001E-2</c:v>
                </c:pt>
                <c:pt idx="42">
                  <c:v>1.1691999999999999E-2</c:v>
                </c:pt>
                <c:pt idx="43">
                  <c:v>1.1690000000000001E-2</c:v>
                </c:pt>
                <c:pt idx="44">
                  <c:v>1.1894E-2</c:v>
                </c:pt>
                <c:pt idx="45">
                  <c:v>1.1941E-2</c:v>
                </c:pt>
                <c:pt idx="46">
                  <c:v>1.2081E-2</c:v>
                </c:pt>
                <c:pt idx="47">
                  <c:v>1.2137999999999999E-2</c:v>
                </c:pt>
                <c:pt idx="48">
                  <c:v>1.2182E-2</c:v>
                </c:pt>
                <c:pt idx="49">
                  <c:v>1.2234999999999999E-2</c:v>
                </c:pt>
                <c:pt idx="50">
                  <c:v>1.2177E-2</c:v>
                </c:pt>
                <c:pt idx="51">
                  <c:v>1.2217E-2</c:v>
                </c:pt>
                <c:pt idx="52">
                  <c:v>1.2243E-2</c:v>
                </c:pt>
                <c:pt idx="53">
                  <c:v>1.2297000000000001E-2</c:v>
                </c:pt>
                <c:pt idx="54">
                  <c:v>1.2452E-2</c:v>
                </c:pt>
                <c:pt idx="55">
                  <c:v>1.2652E-2</c:v>
                </c:pt>
                <c:pt idx="56">
                  <c:v>1.3028E-2</c:v>
                </c:pt>
                <c:pt idx="57">
                  <c:v>1.3141E-2</c:v>
                </c:pt>
                <c:pt idx="58">
                  <c:v>1.3233E-2</c:v>
                </c:pt>
                <c:pt idx="59">
                  <c:v>1.2900999999999999E-2</c:v>
                </c:pt>
                <c:pt idx="60">
                  <c:v>1.1878E-2</c:v>
                </c:pt>
                <c:pt idx="61">
                  <c:v>1.0886E-2</c:v>
                </c:pt>
                <c:pt idx="62">
                  <c:v>9.3410000000000003E-3</c:v>
                </c:pt>
                <c:pt idx="63">
                  <c:v>8.2039999999999995E-3</c:v>
                </c:pt>
                <c:pt idx="64">
                  <c:v>6.9290000000000003E-3</c:v>
                </c:pt>
                <c:pt idx="65">
                  <c:v>6.025E-3</c:v>
                </c:pt>
                <c:pt idx="66">
                  <c:v>5.0689999999999997E-3</c:v>
                </c:pt>
                <c:pt idx="67">
                  <c:v>4.3769999999999998E-3</c:v>
                </c:pt>
                <c:pt idx="68">
                  <c:v>3.764E-3</c:v>
                </c:pt>
                <c:pt idx="69">
                  <c:v>3.3400000000000001E-3</c:v>
                </c:pt>
                <c:pt idx="70">
                  <c:v>2.9139999999999999E-3</c:v>
                </c:pt>
                <c:pt idx="71">
                  <c:v>2.5469999999999998E-3</c:v>
                </c:pt>
                <c:pt idx="72">
                  <c:v>2.0760000000000002E-3</c:v>
                </c:pt>
                <c:pt idx="73">
                  <c:v>1.604E-3</c:v>
                </c:pt>
                <c:pt idx="74">
                  <c:v>1.1039999999999999E-3</c:v>
                </c:pt>
                <c:pt idx="75">
                  <c:v>9.0899999999999998E-4</c:v>
                </c:pt>
                <c:pt idx="76">
                  <c:v>1.6200000000000001E-4</c:v>
                </c:pt>
                <c:pt idx="77">
                  <c:v>2.0599999999999999E-4</c:v>
                </c:pt>
                <c:pt idx="78">
                  <c:v>1.54E-4</c:v>
                </c:pt>
                <c:pt idx="79">
                  <c:v>1.25E-4</c:v>
                </c:pt>
                <c:pt idx="80">
                  <c:v>9.3999999999999994E-5</c:v>
                </c:pt>
                <c:pt idx="81">
                  <c:v>7.7000000000000001E-5</c:v>
                </c:pt>
                <c:pt idx="82">
                  <c:v>6.6000000000000005E-5</c:v>
                </c:pt>
                <c:pt idx="83">
                  <c:v>5.8E-5</c:v>
                </c:pt>
                <c:pt idx="84">
                  <c:v>2.9E-5</c:v>
                </c:pt>
                <c:pt idx="85">
                  <c:v>3.4E-5</c:v>
                </c:pt>
                <c:pt idx="86">
                  <c:v>2.3E-5</c:v>
                </c:pt>
                <c:pt idx="87">
                  <c:v>2.5999999999999998E-5</c:v>
                </c:pt>
                <c:pt idx="88">
                  <c:v>1.4E-5</c:v>
                </c:pt>
                <c:pt idx="89">
                  <c:v>3.4999999999999997E-5</c:v>
                </c:pt>
                <c:pt idx="90">
                  <c:v>4.6E-5</c:v>
                </c:pt>
                <c:pt idx="91">
                  <c:v>6.3999999999999997E-5</c:v>
                </c:pt>
                <c:pt idx="92">
                  <c:v>1.84E-4</c:v>
                </c:pt>
                <c:pt idx="93">
                  <c:v>4.6500000000000003E-4</c:v>
                </c:pt>
                <c:pt idx="94">
                  <c:v>8.92E-4</c:v>
                </c:pt>
                <c:pt idx="95">
                  <c:v>1.397E-3</c:v>
                </c:pt>
              </c:numCache>
            </c:numRef>
          </c:val>
        </c:ser>
        <c:ser>
          <c:idx val="4"/>
          <c:order val="4"/>
          <c:tx>
            <c:strRef>
              <c:f>'5.References'!$C$49</c:f>
              <c:strCache>
                <c:ptCount val="1"/>
                <c:pt idx="0">
                  <c:v>NHB_SOV_AP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'5.References'!$D$49:$CU$49</c:f>
              <c:numCache>
                <c:formatCode>0.000000</c:formatCode>
                <c:ptCount val="96"/>
                <c:pt idx="0">
                  <c:v>5.5900000000000004E-4</c:v>
                </c:pt>
                <c:pt idx="1">
                  <c:v>7.1199999999999996E-4</c:v>
                </c:pt>
                <c:pt idx="2">
                  <c:v>9.9700000000000006E-4</c:v>
                </c:pt>
                <c:pt idx="3">
                  <c:v>1.3619999999999999E-3</c:v>
                </c:pt>
                <c:pt idx="4">
                  <c:v>2.0079999999999998E-3</c:v>
                </c:pt>
                <c:pt idx="5">
                  <c:v>2.7360000000000002E-3</c:v>
                </c:pt>
                <c:pt idx="6">
                  <c:v>3.9100000000000003E-3</c:v>
                </c:pt>
                <c:pt idx="7">
                  <c:v>4.9630000000000004E-3</c:v>
                </c:pt>
                <c:pt idx="8">
                  <c:v>6.4130000000000003E-3</c:v>
                </c:pt>
                <c:pt idx="9">
                  <c:v>7.4840000000000002E-3</c:v>
                </c:pt>
                <c:pt idx="10">
                  <c:v>8.7060000000000002E-3</c:v>
                </c:pt>
                <c:pt idx="11">
                  <c:v>9.5610000000000001E-3</c:v>
                </c:pt>
                <c:pt idx="12">
                  <c:v>1.0474000000000001E-2</c:v>
                </c:pt>
                <c:pt idx="13">
                  <c:v>1.1165E-2</c:v>
                </c:pt>
                <c:pt idx="14">
                  <c:v>1.1965999999999999E-2</c:v>
                </c:pt>
                <c:pt idx="15">
                  <c:v>1.2529E-2</c:v>
                </c:pt>
                <c:pt idx="16">
                  <c:v>1.3127E-2</c:v>
                </c:pt>
                <c:pt idx="17">
                  <c:v>1.3520000000000001E-2</c:v>
                </c:pt>
                <c:pt idx="18">
                  <c:v>1.3913999999999999E-2</c:v>
                </c:pt>
                <c:pt idx="19">
                  <c:v>1.4323000000000001E-2</c:v>
                </c:pt>
                <c:pt idx="20">
                  <c:v>1.4940999999999999E-2</c:v>
                </c:pt>
                <c:pt idx="21">
                  <c:v>1.5606E-2</c:v>
                </c:pt>
                <c:pt idx="22">
                  <c:v>1.6657999999999999E-2</c:v>
                </c:pt>
                <c:pt idx="23">
                  <c:v>1.7680999999999999E-2</c:v>
                </c:pt>
                <c:pt idx="24">
                  <c:v>1.9205E-2</c:v>
                </c:pt>
                <c:pt idx="25">
                  <c:v>2.0507999999999998E-2</c:v>
                </c:pt>
                <c:pt idx="26">
                  <c:v>2.2235999999999999E-2</c:v>
                </c:pt>
                <c:pt idx="27">
                  <c:v>2.3283000000000002E-2</c:v>
                </c:pt>
                <c:pt idx="28">
                  <c:v>2.4213999999999999E-2</c:v>
                </c:pt>
                <c:pt idx="29">
                  <c:v>2.4424000000000001E-2</c:v>
                </c:pt>
                <c:pt idx="30">
                  <c:v>2.3968E-2</c:v>
                </c:pt>
                <c:pt idx="31">
                  <c:v>2.3435000000000001E-2</c:v>
                </c:pt>
                <c:pt idx="32">
                  <c:v>2.2332000000000001E-2</c:v>
                </c:pt>
                <c:pt idx="33">
                  <c:v>2.1611999999999999E-2</c:v>
                </c:pt>
                <c:pt idx="34">
                  <c:v>2.069E-2</c:v>
                </c:pt>
                <c:pt idx="35">
                  <c:v>2.0185999999999999E-2</c:v>
                </c:pt>
                <c:pt idx="36">
                  <c:v>1.9753E-2</c:v>
                </c:pt>
                <c:pt idx="37">
                  <c:v>1.9488999999999999E-2</c:v>
                </c:pt>
                <c:pt idx="38">
                  <c:v>1.9505999999999999E-2</c:v>
                </c:pt>
                <c:pt idx="39">
                  <c:v>1.9564999999999999E-2</c:v>
                </c:pt>
                <c:pt idx="40">
                  <c:v>1.9952000000000001E-2</c:v>
                </c:pt>
                <c:pt idx="41">
                  <c:v>2.0212999999999998E-2</c:v>
                </c:pt>
                <c:pt idx="42">
                  <c:v>2.0677000000000001E-2</c:v>
                </c:pt>
                <c:pt idx="43">
                  <c:v>2.0981E-2</c:v>
                </c:pt>
                <c:pt idx="44">
                  <c:v>2.1281000000000001E-2</c:v>
                </c:pt>
                <c:pt idx="45">
                  <c:v>2.1477E-2</c:v>
                </c:pt>
                <c:pt idx="46">
                  <c:v>2.1555000000000001E-2</c:v>
                </c:pt>
                <c:pt idx="47">
                  <c:v>2.1647E-2</c:v>
                </c:pt>
                <c:pt idx="48">
                  <c:v>2.1679E-2</c:v>
                </c:pt>
                <c:pt idx="49">
                  <c:v>2.1693E-2</c:v>
                </c:pt>
                <c:pt idx="50">
                  <c:v>2.1718999999999999E-2</c:v>
                </c:pt>
                <c:pt idx="51">
                  <c:v>2.1641000000000001E-2</c:v>
                </c:pt>
                <c:pt idx="52">
                  <c:v>2.1617999999999998E-2</c:v>
                </c:pt>
                <c:pt idx="53">
                  <c:v>2.1264000000000002E-2</c:v>
                </c:pt>
                <c:pt idx="54">
                  <c:v>2.0648E-2</c:v>
                </c:pt>
                <c:pt idx="55">
                  <c:v>1.9574000000000001E-2</c:v>
                </c:pt>
                <c:pt idx="56">
                  <c:v>1.7554E-2</c:v>
                </c:pt>
                <c:pt idx="57">
                  <c:v>1.5448E-2</c:v>
                </c:pt>
                <c:pt idx="58">
                  <c:v>1.2389000000000001E-2</c:v>
                </c:pt>
                <c:pt idx="59">
                  <c:v>1.0248E-2</c:v>
                </c:pt>
                <c:pt idx="60">
                  <c:v>7.9489999999999995E-3</c:v>
                </c:pt>
                <c:pt idx="61">
                  <c:v>6.5339999999999999E-3</c:v>
                </c:pt>
                <c:pt idx="62">
                  <c:v>5.2459999999999998E-3</c:v>
                </c:pt>
                <c:pt idx="63">
                  <c:v>4.4279999999999996E-3</c:v>
                </c:pt>
                <c:pt idx="64">
                  <c:v>3.637E-3</c:v>
                </c:pt>
                <c:pt idx="65">
                  <c:v>3.091E-3</c:v>
                </c:pt>
                <c:pt idx="66">
                  <c:v>2.5379999999999999E-3</c:v>
                </c:pt>
                <c:pt idx="67">
                  <c:v>2.16E-3</c:v>
                </c:pt>
                <c:pt idx="68">
                  <c:v>1.787E-3</c:v>
                </c:pt>
                <c:pt idx="69">
                  <c:v>1.5319999999999999E-3</c:v>
                </c:pt>
                <c:pt idx="70">
                  <c:v>1.2719999999999999E-3</c:v>
                </c:pt>
                <c:pt idx="71">
                  <c:v>1.109E-3</c:v>
                </c:pt>
                <c:pt idx="72">
                  <c:v>9.3599999999999998E-4</c:v>
                </c:pt>
                <c:pt idx="73">
                  <c:v>8.2100000000000001E-4</c:v>
                </c:pt>
                <c:pt idx="74">
                  <c:v>6.8999999999999997E-4</c:v>
                </c:pt>
                <c:pt idx="75">
                  <c:v>6.4300000000000002E-4</c:v>
                </c:pt>
                <c:pt idx="76">
                  <c:v>1.44E-4</c:v>
                </c:pt>
                <c:pt idx="77">
                  <c:v>2.1599999999999999E-4</c:v>
                </c:pt>
                <c:pt idx="78">
                  <c:v>1.56E-4</c:v>
                </c:pt>
                <c:pt idx="79">
                  <c:v>1.2799999999999999E-4</c:v>
                </c:pt>
                <c:pt idx="80">
                  <c:v>8.8999999999999995E-5</c:v>
                </c:pt>
                <c:pt idx="81">
                  <c:v>9.7E-5</c:v>
                </c:pt>
                <c:pt idx="82">
                  <c:v>8.3999999999999995E-5</c:v>
                </c:pt>
                <c:pt idx="83">
                  <c:v>1.07E-4</c:v>
                </c:pt>
                <c:pt idx="84">
                  <c:v>5.8E-5</c:v>
                </c:pt>
                <c:pt idx="85">
                  <c:v>6.0000000000000002E-5</c:v>
                </c:pt>
                <c:pt idx="86">
                  <c:v>5.3999999999999998E-5</c:v>
                </c:pt>
                <c:pt idx="87">
                  <c:v>6.6000000000000005E-5</c:v>
                </c:pt>
                <c:pt idx="88">
                  <c:v>5.8999999999999998E-5</c:v>
                </c:pt>
                <c:pt idx="89">
                  <c:v>1.0399999999999999E-4</c:v>
                </c:pt>
                <c:pt idx="90">
                  <c:v>1.07E-4</c:v>
                </c:pt>
                <c:pt idx="91">
                  <c:v>1.22E-4</c:v>
                </c:pt>
                <c:pt idx="92">
                  <c:v>1.54E-4</c:v>
                </c:pt>
                <c:pt idx="93">
                  <c:v>2.05E-4</c:v>
                </c:pt>
                <c:pt idx="94">
                  <c:v>2.3800000000000001E-4</c:v>
                </c:pt>
                <c:pt idx="95">
                  <c:v>3.9599999999999998E-4</c:v>
                </c:pt>
              </c:numCache>
            </c:numRef>
          </c:val>
        </c:ser>
        <c:ser>
          <c:idx val="5"/>
          <c:order val="5"/>
          <c:tx>
            <c:strRef>
              <c:f>'5.References'!$C$50</c:f>
              <c:strCache>
                <c:ptCount val="1"/>
                <c:pt idx="0">
                  <c:v>NHB_SOV_PA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'5.References'!$D$50:$CU$50</c:f>
              <c:numCache>
                <c:formatCode>0.000000</c:formatCode>
                <c:ptCount val="96"/>
                <c:pt idx="0">
                  <c:v>5.5900000000000004E-4</c:v>
                </c:pt>
                <c:pt idx="1">
                  <c:v>7.1199999999999996E-4</c:v>
                </c:pt>
                <c:pt idx="2">
                  <c:v>9.9700000000000006E-4</c:v>
                </c:pt>
                <c:pt idx="3">
                  <c:v>1.3619999999999999E-3</c:v>
                </c:pt>
                <c:pt idx="4">
                  <c:v>2.0079999999999998E-3</c:v>
                </c:pt>
                <c:pt idx="5">
                  <c:v>2.7360000000000002E-3</c:v>
                </c:pt>
                <c:pt idx="6">
                  <c:v>3.9100000000000003E-3</c:v>
                </c:pt>
                <c:pt idx="7">
                  <c:v>4.9630000000000004E-3</c:v>
                </c:pt>
                <c:pt idx="8">
                  <c:v>6.4130000000000003E-3</c:v>
                </c:pt>
                <c:pt idx="9">
                  <c:v>7.4840000000000002E-3</c:v>
                </c:pt>
                <c:pt idx="10">
                  <c:v>8.7060000000000002E-3</c:v>
                </c:pt>
                <c:pt idx="11">
                  <c:v>9.5610000000000001E-3</c:v>
                </c:pt>
                <c:pt idx="12">
                  <c:v>1.0474000000000001E-2</c:v>
                </c:pt>
                <c:pt idx="13">
                  <c:v>1.1165E-2</c:v>
                </c:pt>
                <c:pt idx="14">
                  <c:v>1.1965999999999999E-2</c:v>
                </c:pt>
                <c:pt idx="15">
                  <c:v>1.2529E-2</c:v>
                </c:pt>
                <c:pt idx="16">
                  <c:v>1.3127E-2</c:v>
                </c:pt>
                <c:pt idx="17">
                  <c:v>1.3520000000000001E-2</c:v>
                </c:pt>
                <c:pt idx="18">
                  <c:v>1.3913999999999999E-2</c:v>
                </c:pt>
                <c:pt idx="19">
                  <c:v>1.4323000000000001E-2</c:v>
                </c:pt>
                <c:pt idx="20">
                  <c:v>1.4940999999999999E-2</c:v>
                </c:pt>
                <c:pt idx="21">
                  <c:v>1.5606E-2</c:v>
                </c:pt>
                <c:pt idx="22">
                  <c:v>1.6657999999999999E-2</c:v>
                </c:pt>
                <c:pt idx="23">
                  <c:v>1.7680999999999999E-2</c:v>
                </c:pt>
                <c:pt idx="24">
                  <c:v>1.9205E-2</c:v>
                </c:pt>
                <c:pt idx="25">
                  <c:v>2.0507999999999998E-2</c:v>
                </c:pt>
                <c:pt idx="26">
                  <c:v>2.2235999999999999E-2</c:v>
                </c:pt>
                <c:pt idx="27">
                  <c:v>2.3283000000000002E-2</c:v>
                </c:pt>
                <c:pt idx="28">
                  <c:v>2.4213999999999999E-2</c:v>
                </c:pt>
                <c:pt idx="29">
                  <c:v>2.4424000000000001E-2</c:v>
                </c:pt>
                <c:pt idx="30">
                  <c:v>2.3968E-2</c:v>
                </c:pt>
                <c:pt idx="31">
                  <c:v>2.3435000000000001E-2</c:v>
                </c:pt>
                <c:pt idx="32">
                  <c:v>2.2332000000000001E-2</c:v>
                </c:pt>
                <c:pt idx="33">
                  <c:v>2.1611999999999999E-2</c:v>
                </c:pt>
                <c:pt idx="34">
                  <c:v>2.069E-2</c:v>
                </c:pt>
                <c:pt idx="35">
                  <c:v>2.0185999999999999E-2</c:v>
                </c:pt>
                <c:pt idx="36">
                  <c:v>1.9753E-2</c:v>
                </c:pt>
                <c:pt idx="37">
                  <c:v>1.9488999999999999E-2</c:v>
                </c:pt>
                <c:pt idx="38">
                  <c:v>1.9505999999999999E-2</c:v>
                </c:pt>
                <c:pt idx="39">
                  <c:v>1.9564999999999999E-2</c:v>
                </c:pt>
                <c:pt idx="40">
                  <c:v>1.9952000000000001E-2</c:v>
                </c:pt>
                <c:pt idx="41">
                  <c:v>2.0212999999999998E-2</c:v>
                </c:pt>
                <c:pt idx="42">
                  <c:v>2.0677000000000001E-2</c:v>
                </c:pt>
                <c:pt idx="43">
                  <c:v>2.0981E-2</c:v>
                </c:pt>
                <c:pt idx="44">
                  <c:v>2.1281000000000001E-2</c:v>
                </c:pt>
                <c:pt idx="45">
                  <c:v>2.1477E-2</c:v>
                </c:pt>
                <c:pt idx="46">
                  <c:v>2.1555000000000001E-2</c:v>
                </c:pt>
                <c:pt idx="47">
                  <c:v>2.1647E-2</c:v>
                </c:pt>
                <c:pt idx="48">
                  <c:v>2.1679E-2</c:v>
                </c:pt>
                <c:pt idx="49">
                  <c:v>2.1693E-2</c:v>
                </c:pt>
                <c:pt idx="50">
                  <c:v>2.1718999999999999E-2</c:v>
                </c:pt>
                <c:pt idx="51">
                  <c:v>2.1641000000000001E-2</c:v>
                </c:pt>
                <c:pt idx="52">
                  <c:v>2.1617999999999998E-2</c:v>
                </c:pt>
                <c:pt idx="53">
                  <c:v>2.1264000000000002E-2</c:v>
                </c:pt>
                <c:pt idx="54">
                  <c:v>2.0648E-2</c:v>
                </c:pt>
                <c:pt idx="55">
                  <c:v>1.9574000000000001E-2</c:v>
                </c:pt>
                <c:pt idx="56">
                  <c:v>1.7554E-2</c:v>
                </c:pt>
                <c:pt idx="57">
                  <c:v>1.5448E-2</c:v>
                </c:pt>
                <c:pt idx="58">
                  <c:v>1.2389000000000001E-2</c:v>
                </c:pt>
                <c:pt idx="59">
                  <c:v>1.0248E-2</c:v>
                </c:pt>
                <c:pt idx="60">
                  <c:v>7.9489999999999995E-3</c:v>
                </c:pt>
                <c:pt idx="61">
                  <c:v>6.5339999999999999E-3</c:v>
                </c:pt>
                <c:pt idx="62">
                  <c:v>5.2459999999999998E-3</c:v>
                </c:pt>
                <c:pt idx="63">
                  <c:v>4.4279999999999996E-3</c:v>
                </c:pt>
                <c:pt idx="64">
                  <c:v>3.637E-3</c:v>
                </c:pt>
                <c:pt idx="65">
                  <c:v>3.091E-3</c:v>
                </c:pt>
                <c:pt idx="66">
                  <c:v>2.5379999999999999E-3</c:v>
                </c:pt>
                <c:pt idx="67">
                  <c:v>2.16E-3</c:v>
                </c:pt>
                <c:pt idx="68">
                  <c:v>1.787E-3</c:v>
                </c:pt>
                <c:pt idx="69">
                  <c:v>1.5319999999999999E-3</c:v>
                </c:pt>
                <c:pt idx="70">
                  <c:v>1.2719999999999999E-3</c:v>
                </c:pt>
                <c:pt idx="71">
                  <c:v>1.109E-3</c:v>
                </c:pt>
                <c:pt idx="72">
                  <c:v>9.3599999999999998E-4</c:v>
                </c:pt>
                <c:pt idx="73">
                  <c:v>8.2100000000000001E-4</c:v>
                </c:pt>
                <c:pt idx="74">
                  <c:v>6.8999999999999997E-4</c:v>
                </c:pt>
                <c:pt idx="75">
                  <c:v>6.4300000000000002E-4</c:v>
                </c:pt>
                <c:pt idx="76">
                  <c:v>1.44E-4</c:v>
                </c:pt>
                <c:pt idx="77">
                  <c:v>2.1599999999999999E-4</c:v>
                </c:pt>
                <c:pt idx="78">
                  <c:v>1.56E-4</c:v>
                </c:pt>
                <c:pt idx="79">
                  <c:v>1.2799999999999999E-4</c:v>
                </c:pt>
                <c:pt idx="80">
                  <c:v>8.8999999999999995E-5</c:v>
                </c:pt>
                <c:pt idx="81">
                  <c:v>9.7E-5</c:v>
                </c:pt>
                <c:pt idx="82">
                  <c:v>8.3999999999999995E-5</c:v>
                </c:pt>
                <c:pt idx="83">
                  <c:v>1.07E-4</c:v>
                </c:pt>
                <c:pt idx="84">
                  <c:v>5.8E-5</c:v>
                </c:pt>
                <c:pt idx="85">
                  <c:v>6.0000000000000002E-5</c:v>
                </c:pt>
                <c:pt idx="86">
                  <c:v>5.3999999999999998E-5</c:v>
                </c:pt>
                <c:pt idx="87">
                  <c:v>6.6000000000000005E-5</c:v>
                </c:pt>
                <c:pt idx="88">
                  <c:v>5.8999999999999998E-5</c:v>
                </c:pt>
                <c:pt idx="89">
                  <c:v>1.0399999999999999E-4</c:v>
                </c:pt>
                <c:pt idx="90">
                  <c:v>1.07E-4</c:v>
                </c:pt>
                <c:pt idx="91">
                  <c:v>1.22E-4</c:v>
                </c:pt>
                <c:pt idx="92">
                  <c:v>1.54E-4</c:v>
                </c:pt>
                <c:pt idx="93">
                  <c:v>2.05E-4</c:v>
                </c:pt>
                <c:pt idx="94">
                  <c:v>2.3800000000000001E-4</c:v>
                </c:pt>
                <c:pt idx="95">
                  <c:v>3.9599999999999998E-4</c:v>
                </c:pt>
              </c:numCache>
            </c:numRef>
          </c:val>
        </c:ser>
        <c:ser>
          <c:idx val="6"/>
          <c:order val="6"/>
          <c:tx>
            <c:strRef>
              <c:f>'5.References'!$C$51</c:f>
              <c:strCache>
                <c:ptCount val="1"/>
                <c:pt idx="0">
                  <c:v>Trucks</c:v>
                </c:pt>
              </c:strCache>
            </c:strRef>
          </c:tx>
          <c:cat>
            <c:strRef>
              <c:f>'5.References'!$D$44:$CU$44</c:f>
              <c:strCache>
                <c:ptCount val="96"/>
                <c:pt idx="0">
                  <c:v>5h00</c:v>
                </c:pt>
                <c:pt idx="1">
                  <c:v>5h15</c:v>
                </c:pt>
                <c:pt idx="2">
                  <c:v>5h30</c:v>
                </c:pt>
                <c:pt idx="3">
                  <c:v>5h45</c:v>
                </c:pt>
                <c:pt idx="4">
                  <c:v>6h00</c:v>
                </c:pt>
                <c:pt idx="5">
                  <c:v>6h15</c:v>
                </c:pt>
                <c:pt idx="6">
                  <c:v>6h30</c:v>
                </c:pt>
                <c:pt idx="7">
                  <c:v>6h45</c:v>
                </c:pt>
                <c:pt idx="8">
                  <c:v>7h00</c:v>
                </c:pt>
                <c:pt idx="9">
                  <c:v>7h15</c:v>
                </c:pt>
                <c:pt idx="10">
                  <c:v>7h30</c:v>
                </c:pt>
                <c:pt idx="11">
                  <c:v>7h45</c:v>
                </c:pt>
                <c:pt idx="12">
                  <c:v>8h00</c:v>
                </c:pt>
                <c:pt idx="13">
                  <c:v>8h15</c:v>
                </c:pt>
                <c:pt idx="14">
                  <c:v>8h30</c:v>
                </c:pt>
                <c:pt idx="15">
                  <c:v>8h45</c:v>
                </c:pt>
                <c:pt idx="16">
                  <c:v>9h00</c:v>
                </c:pt>
                <c:pt idx="17">
                  <c:v>9h15</c:v>
                </c:pt>
                <c:pt idx="18">
                  <c:v>9h30</c:v>
                </c:pt>
                <c:pt idx="19">
                  <c:v>9h45</c:v>
                </c:pt>
                <c:pt idx="20">
                  <c:v>10h00</c:v>
                </c:pt>
                <c:pt idx="21">
                  <c:v>10h15</c:v>
                </c:pt>
                <c:pt idx="22">
                  <c:v>10h30</c:v>
                </c:pt>
                <c:pt idx="23">
                  <c:v>10h45</c:v>
                </c:pt>
                <c:pt idx="24">
                  <c:v>11h00</c:v>
                </c:pt>
                <c:pt idx="25">
                  <c:v>11h15</c:v>
                </c:pt>
                <c:pt idx="26">
                  <c:v>11h30</c:v>
                </c:pt>
                <c:pt idx="27">
                  <c:v>11h45</c:v>
                </c:pt>
                <c:pt idx="28">
                  <c:v>12h00</c:v>
                </c:pt>
                <c:pt idx="29">
                  <c:v>12h15</c:v>
                </c:pt>
                <c:pt idx="30">
                  <c:v>12h30</c:v>
                </c:pt>
                <c:pt idx="31">
                  <c:v>12h45</c:v>
                </c:pt>
                <c:pt idx="32">
                  <c:v>13h00</c:v>
                </c:pt>
                <c:pt idx="33">
                  <c:v>13h15</c:v>
                </c:pt>
                <c:pt idx="34">
                  <c:v>13h30</c:v>
                </c:pt>
                <c:pt idx="35">
                  <c:v>13h45</c:v>
                </c:pt>
                <c:pt idx="36">
                  <c:v>14h00</c:v>
                </c:pt>
                <c:pt idx="37">
                  <c:v>14h15</c:v>
                </c:pt>
                <c:pt idx="38">
                  <c:v>14h30</c:v>
                </c:pt>
                <c:pt idx="39">
                  <c:v>14h45</c:v>
                </c:pt>
                <c:pt idx="40">
                  <c:v>15h00</c:v>
                </c:pt>
                <c:pt idx="41">
                  <c:v>15h15</c:v>
                </c:pt>
                <c:pt idx="42">
                  <c:v>15h30</c:v>
                </c:pt>
                <c:pt idx="43">
                  <c:v>15h45</c:v>
                </c:pt>
                <c:pt idx="44">
                  <c:v>16h00</c:v>
                </c:pt>
                <c:pt idx="45">
                  <c:v>16h15</c:v>
                </c:pt>
                <c:pt idx="46">
                  <c:v>16h30</c:v>
                </c:pt>
                <c:pt idx="47">
                  <c:v>16h45</c:v>
                </c:pt>
                <c:pt idx="48">
                  <c:v>17h00</c:v>
                </c:pt>
                <c:pt idx="49">
                  <c:v>17h15</c:v>
                </c:pt>
                <c:pt idx="50">
                  <c:v>17h30</c:v>
                </c:pt>
                <c:pt idx="51">
                  <c:v>17h45</c:v>
                </c:pt>
                <c:pt idx="52">
                  <c:v>18h00</c:v>
                </c:pt>
                <c:pt idx="53">
                  <c:v>18h15</c:v>
                </c:pt>
                <c:pt idx="54">
                  <c:v>18h30</c:v>
                </c:pt>
                <c:pt idx="55">
                  <c:v>18h45</c:v>
                </c:pt>
                <c:pt idx="56">
                  <c:v>19h00</c:v>
                </c:pt>
                <c:pt idx="57">
                  <c:v>19h15</c:v>
                </c:pt>
                <c:pt idx="58">
                  <c:v>19h30</c:v>
                </c:pt>
                <c:pt idx="59">
                  <c:v>19h45</c:v>
                </c:pt>
                <c:pt idx="60">
                  <c:v>20h00</c:v>
                </c:pt>
                <c:pt idx="61">
                  <c:v>20h15</c:v>
                </c:pt>
                <c:pt idx="62">
                  <c:v>20h30</c:v>
                </c:pt>
                <c:pt idx="63">
                  <c:v>20h45</c:v>
                </c:pt>
                <c:pt idx="64">
                  <c:v>21h00</c:v>
                </c:pt>
                <c:pt idx="65">
                  <c:v>21h15</c:v>
                </c:pt>
                <c:pt idx="66">
                  <c:v>21h30</c:v>
                </c:pt>
                <c:pt idx="67">
                  <c:v>21h45</c:v>
                </c:pt>
                <c:pt idx="68">
                  <c:v>22h00</c:v>
                </c:pt>
                <c:pt idx="69">
                  <c:v>22h15</c:v>
                </c:pt>
                <c:pt idx="70">
                  <c:v>22h30</c:v>
                </c:pt>
                <c:pt idx="71">
                  <c:v>22h45</c:v>
                </c:pt>
                <c:pt idx="72">
                  <c:v>23h00</c:v>
                </c:pt>
                <c:pt idx="73">
                  <c:v>23h15</c:v>
                </c:pt>
                <c:pt idx="74">
                  <c:v>23h30</c:v>
                </c:pt>
                <c:pt idx="75">
                  <c:v>23h45</c:v>
                </c:pt>
                <c:pt idx="76">
                  <c:v>0h00</c:v>
                </c:pt>
                <c:pt idx="77">
                  <c:v>0h15</c:v>
                </c:pt>
                <c:pt idx="78">
                  <c:v>0h30</c:v>
                </c:pt>
                <c:pt idx="79">
                  <c:v>0h45</c:v>
                </c:pt>
                <c:pt idx="80">
                  <c:v>1h00</c:v>
                </c:pt>
                <c:pt idx="81">
                  <c:v>1h15</c:v>
                </c:pt>
                <c:pt idx="82">
                  <c:v>1h30</c:v>
                </c:pt>
                <c:pt idx="83">
                  <c:v>1h45</c:v>
                </c:pt>
                <c:pt idx="84">
                  <c:v>2h00</c:v>
                </c:pt>
                <c:pt idx="85">
                  <c:v>2h15</c:v>
                </c:pt>
                <c:pt idx="86">
                  <c:v>2h30</c:v>
                </c:pt>
                <c:pt idx="87">
                  <c:v>2h45</c:v>
                </c:pt>
                <c:pt idx="88">
                  <c:v>3h00</c:v>
                </c:pt>
                <c:pt idx="89">
                  <c:v>3h15</c:v>
                </c:pt>
                <c:pt idx="90">
                  <c:v>3h30</c:v>
                </c:pt>
                <c:pt idx="91">
                  <c:v>3h45</c:v>
                </c:pt>
                <c:pt idx="92">
                  <c:v>4h00</c:v>
                </c:pt>
                <c:pt idx="93">
                  <c:v>4h15</c:v>
                </c:pt>
                <c:pt idx="94">
                  <c:v>4h30</c:v>
                </c:pt>
                <c:pt idx="95">
                  <c:v>4h45</c:v>
                </c:pt>
              </c:strCache>
            </c:strRef>
          </c:cat>
          <c:val>
            <c:numRef>
              <c:f>'5.References'!$D$51:$CU$51</c:f>
              <c:numCache>
                <c:formatCode>0.000000</c:formatCode>
                <c:ptCount val="96"/>
                <c:pt idx="0">
                  <c:v>1.8000000000000001E-4</c:v>
                </c:pt>
                <c:pt idx="1">
                  <c:v>2.5000000000000001E-4</c:v>
                </c:pt>
                <c:pt idx="2">
                  <c:v>3.6999999999999999E-4</c:v>
                </c:pt>
                <c:pt idx="3">
                  <c:v>5.8E-4</c:v>
                </c:pt>
                <c:pt idx="4">
                  <c:v>9.3000000000000005E-4</c:v>
                </c:pt>
                <c:pt idx="5">
                  <c:v>1.49E-3</c:v>
                </c:pt>
                <c:pt idx="6">
                  <c:v>2.32E-3</c:v>
                </c:pt>
                <c:pt idx="7">
                  <c:v>3.4499999999999999E-3</c:v>
                </c:pt>
                <c:pt idx="8">
                  <c:v>4.81E-3</c:v>
                </c:pt>
                <c:pt idx="9">
                  <c:v>6.3200000000000001E-3</c:v>
                </c:pt>
                <c:pt idx="10">
                  <c:v>7.8799999999999999E-3</c:v>
                </c:pt>
                <c:pt idx="11">
                  <c:v>9.4199999999999996E-3</c:v>
                </c:pt>
                <c:pt idx="12">
                  <c:v>1.0840000000000001E-2</c:v>
                </c:pt>
                <c:pt idx="13">
                  <c:v>1.2E-2</c:v>
                </c:pt>
                <c:pt idx="14">
                  <c:v>1.278E-2</c:v>
                </c:pt>
                <c:pt idx="15">
                  <c:v>1.312E-2</c:v>
                </c:pt>
                <c:pt idx="16">
                  <c:v>1.315E-2</c:v>
                </c:pt>
                <c:pt idx="17">
                  <c:v>1.3140000000000001E-2</c:v>
                </c:pt>
                <c:pt idx="18">
                  <c:v>1.3429999999999999E-2</c:v>
                </c:pt>
                <c:pt idx="19">
                  <c:v>1.4239999999999999E-2</c:v>
                </c:pt>
                <c:pt idx="20">
                  <c:v>1.5610000000000001E-2</c:v>
                </c:pt>
                <c:pt idx="21">
                  <c:v>1.7479999999999999E-2</c:v>
                </c:pt>
                <c:pt idx="22">
                  <c:v>1.9619999999999999E-2</c:v>
                </c:pt>
                <c:pt idx="23">
                  <c:v>2.1680000000000001E-2</c:v>
                </c:pt>
                <c:pt idx="24">
                  <c:v>2.3290000000000002E-2</c:v>
                </c:pt>
                <c:pt idx="25">
                  <c:v>2.4170000000000001E-2</c:v>
                </c:pt>
                <c:pt idx="26">
                  <c:v>2.4250000000000001E-2</c:v>
                </c:pt>
                <c:pt idx="27">
                  <c:v>2.3730000000000001E-2</c:v>
                </c:pt>
                <c:pt idx="28">
                  <c:v>2.2950000000000002E-2</c:v>
                </c:pt>
                <c:pt idx="29">
                  <c:v>2.2270000000000002E-2</c:v>
                </c:pt>
                <c:pt idx="30">
                  <c:v>2.1940000000000001E-2</c:v>
                </c:pt>
                <c:pt idx="31">
                  <c:v>2.1989999999999999E-2</c:v>
                </c:pt>
                <c:pt idx="32">
                  <c:v>2.2280000000000001E-2</c:v>
                </c:pt>
                <c:pt idx="33">
                  <c:v>2.2620000000000001E-2</c:v>
                </c:pt>
                <c:pt idx="34">
                  <c:v>2.291E-2</c:v>
                </c:pt>
                <c:pt idx="35">
                  <c:v>2.316E-2</c:v>
                </c:pt>
                <c:pt idx="36">
                  <c:v>2.3429999999999999E-2</c:v>
                </c:pt>
                <c:pt idx="37">
                  <c:v>2.3740000000000001E-2</c:v>
                </c:pt>
                <c:pt idx="38">
                  <c:v>2.4080000000000001E-2</c:v>
                </c:pt>
                <c:pt idx="39">
                  <c:v>2.4299999999999999E-2</c:v>
                </c:pt>
                <c:pt idx="40">
                  <c:v>2.4199999999999999E-2</c:v>
                </c:pt>
                <c:pt idx="41">
                  <c:v>2.3650000000000001E-2</c:v>
                </c:pt>
                <c:pt idx="42">
                  <c:v>2.281E-2</c:v>
                </c:pt>
                <c:pt idx="43">
                  <c:v>2.198E-2</c:v>
                </c:pt>
                <c:pt idx="44">
                  <c:v>2.137E-2</c:v>
                </c:pt>
                <c:pt idx="45">
                  <c:v>2.0930000000000001E-2</c:v>
                </c:pt>
                <c:pt idx="46">
                  <c:v>2.0539999999999999E-2</c:v>
                </c:pt>
                <c:pt idx="47">
                  <c:v>2.01E-2</c:v>
                </c:pt>
                <c:pt idx="48">
                  <c:v>1.9570000000000001E-2</c:v>
                </c:pt>
                <c:pt idx="49">
                  <c:v>1.8839999999999999E-2</c:v>
                </c:pt>
                <c:pt idx="50">
                  <c:v>1.7809999999999999E-2</c:v>
                </c:pt>
                <c:pt idx="51">
                  <c:v>1.6480000000000002E-2</c:v>
                </c:pt>
                <c:pt idx="52">
                  <c:v>1.504E-2</c:v>
                </c:pt>
                <c:pt idx="53">
                  <c:v>1.375E-2</c:v>
                </c:pt>
                <c:pt idx="54">
                  <c:v>1.2699999999999999E-2</c:v>
                </c:pt>
                <c:pt idx="55">
                  <c:v>1.188E-2</c:v>
                </c:pt>
                <c:pt idx="56">
                  <c:v>1.119E-2</c:v>
                </c:pt>
                <c:pt idx="57">
                  <c:v>1.056E-2</c:v>
                </c:pt>
                <c:pt idx="58">
                  <c:v>9.9500000000000005E-3</c:v>
                </c:pt>
                <c:pt idx="59">
                  <c:v>9.3399999999999993E-3</c:v>
                </c:pt>
                <c:pt idx="60">
                  <c:v>8.7100000000000007E-3</c:v>
                </c:pt>
                <c:pt idx="61">
                  <c:v>8.0000000000000002E-3</c:v>
                </c:pt>
                <c:pt idx="62">
                  <c:v>7.2199999999999999E-3</c:v>
                </c:pt>
                <c:pt idx="63">
                  <c:v>6.4400000000000004E-3</c:v>
                </c:pt>
                <c:pt idx="64">
                  <c:v>5.7800000000000004E-3</c:v>
                </c:pt>
                <c:pt idx="65">
                  <c:v>5.3E-3</c:v>
                </c:pt>
                <c:pt idx="66">
                  <c:v>4.9199999999999999E-3</c:v>
                </c:pt>
                <c:pt idx="67">
                  <c:v>4.4999999999999997E-3</c:v>
                </c:pt>
                <c:pt idx="68">
                  <c:v>3.9199999999999999E-3</c:v>
                </c:pt>
                <c:pt idx="69">
                  <c:v>3.2200000000000002E-3</c:v>
                </c:pt>
                <c:pt idx="70">
                  <c:v>2.5100000000000001E-3</c:v>
                </c:pt>
                <c:pt idx="71">
                  <c:v>1.9400000000000001E-3</c:v>
                </c:pt>
                <c:pt idx="72">
                  <c:v>1.5499999999999999E-3</c:v>
                </c:pt>
                <c:pt idx="73">
                  <c:v>1.2899999999999999E-3</c:v>
                </c:pt>
                <c:pt idx="74">
                  <c:v>1.1000000000000001E-3</c:v>
                </c:pt>
                <c:pt idx="75">
                  <c:v>8.9999999999999998E-4</c:v>
                </c:pt>
                <c:pt idx="76">
                  <c:v>6.9999999999999999E-4</c:v>
                </c:pt>
                <c:pt idx="77">
                  <c:v>5.1000000000000004E-4</c:v>
                </c:pt>
                <c:pt idx="78">
                  <c:v>3.5E-4</c:v>
                </c:pt>
                <c:pt idx="79">
                  <c:v>2.3000000000000001E-4</c:v>
                </c:pt>
                <c:pt idx="80">
                  <c:v>1.4999999999999999E-4</c:v>
                </c:pt>
                <c:pt idx="81">
                  <c:v>1E-4</c:v>
                </c:pt>
                <c:pt idx="82">
                  <c:v>9.0000000000000006E-5</c:v>
                </c:pt>
                <c:pt idx="83">
                  <c:v>1.1E-4</c:v>
                </c:pt>
                <c:pt idx="84">
                  <c:v>1.2999999999999999E-4</c:v>
                </c:pt>
                <c:pt idx="85">
                  <c:v>1.4999999999999999E-4</c:v>
                </c:pt>
                <c:pt idx="86">
                  <c:v>1.7000000000000001E-4</c:v>
                </c:pt>
                <c:pt idx="87">
                  <c:v>1.7000000000000001E-4</c:v>
                </c:pt>
                <c:pt idx="88">
                  <c:v>1.6000000000000001E-4</c:v>
                </c:pt>
                <c:pt idx="89">
                  <c:v>1.3999999999999999E-4</c:v>
                </c:pt>
                <c:pt idx="90">
                  <c:v>1E-4</c:v>
                </c:pt>
                <c:pt idx="91">
                  <c:v>6.9999999999999994E-5</c:v>
                </c:pt>
                <c:pt idx="92">
                  <c:v>6.0000000000000002E-5</c:v>
                </c:pt>
                <c:pt idx="93">
                  <c:v>6.9999999999999994E-5</c:v>
                </c:pt>
                <c:pt idx="94">
                  <c:v>1E-4</c:v>
                </c:pt>
                <c:pt idx="95">
                  <c:v>1.3999999999999999E-4</c:v>
                </c:pt>
              </c:numCache>
            </c:numRef>
          </c:val>
        </c:ser>
        <c:marker val="1"/>
        <c:axId val="51972352"/>
        <c:axId val="51986432"/>
      </c:lineChart>
      <c:catAx>
        <c:axId val="51972352"/>
        <c:scaling>
          <c:orientation val="minMax"/>
        </c:scaling>
        <c:axPos val="b"/>
        <c:tickLblPos val="nextTo"/>
        <c:crossAx val="51986432"/>
        <c:crosses val="autoZero"/>
        <c:auto val="1"/>
        <c:lblAlgn val="ctr"/>
        <c:lblOffset val="100"/>
      </c:catAx>
      <c:valAx>
        <c:axId val="51986432"/>
        <c:scaling>
          <c:orientation val="minMax"/>
        </c:scaling>
        <c:axPos val="l"/>
        <c:majorGridlines/>
        <c:numFmt formatCode="0.00%" sourceLinked="0"/>
        <c:tickLblPos val="nextTo"/>
        <c:crossAx val="51972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8722826974777853"/>
          <c:y val="0.19210504057836786"/>
          <c:w val="7.6111139859668914E-2"/>
          <c:h val="0.43164669633687164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'6.Sampling process illustration'!$E$107</c:f>
              <c:strCache>
                <c:ptCount val="1"/>
                <c:pt idx="0">
                  <c:v>frequence</c:v>
                </c:pt>
              </c:strCache>
            </c:strRef>
          </c:tx>
          <c:xVal>
            <c:numRef>
              <c:f>'6.Sampling process illustration'!$D$108:$D$128</c:f>
              <c:numCache>
                <c:formatCode>General</c:formatCode>
                <c:ptCount val="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</c:numCache>
            </c:numRef>
          </c:xVal>
          <c:yVal>
            <c:numRef>
              <c:f>'6.Sampling process illustration'!$E$108:$E$128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1"/>
        </c:ser>
        <c:axId val="52229248"/>
        <c:axId val="52231168"/>
      </c:scatterChart>
      <c:valAx>
        <c:axId val="52229248"/>
        <c:scaling>
          <c:orientation val="minMax"/>
          <c:max val="70"/>
          <c:min val="3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Mean distribution: household</a:t>
                </a:r>
                <a:r>
                  <a:rPr lang="en-US" baseline="0"/>
                  <a:t> i</a:t>
                </a:r>
                <a:r>
                  <a:rPr lang="en-US"/>
                  <a:t>ncome, unit: $1,000</a:t>
                </a:r>
              </a:p>
            </c:rich>
          </c:tx>
        </c:title>
        <c:numFmt formatCode="General" sourceLinked="1"/>
        <c:tickLblPos val="nextTo"/>
        <c:crossAx val="52231168"/>
        <c:crosses val="autoZero"/>
        <c:crossBetween val="midCat"/>
      </c:valAx>
      <c:valAx>
        <c:axId val="52231168"/>
        <c:scaling>
          <c:orientation val="minMax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  <a:p>
                <a:pPr>
                  <a:defRPr/>
                </a:pPr>
                <a:endParaRPr lang="en-US"/>
              </a:p>
            </c:rich>
          </c:tx>
        </c:title>
        <c:numFmt formatCode="General" sourceLinked="1"/>
        <c:tickLblPos val="nextTo"/>
        <c:crossAx val="52229248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3.png"/><Relationship Id="rId2" Type="http://schemas.openxmlformats.org/officeDocument/2006/relationships/image" Target="../media/image9.png"/><Relationship Id="rId1" Type="http://schemas.openxmlformats.org/officeDocument/2006/relationships/image" Target="../media/image4.png"/><Relationship Id="rId6" Type="http://schemas.openxmlformats.org/officeDocument/2006/relationships/image" Target="../media/image12.png"/><Relationship Id="rId5" Type="http://schemas.openxmlformats.org/officeDocument/2006/relationships/image" Target="../media/image5.png"/><Relationship Id="rId4" Type="http://schemas.openxmlformats.org/officeDocument/2006/relationships/image" Target="../media/image1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97</xdr:row>
      <xdr:rowOff>85725</xdr:rowOff>
    </xdr:from>
    <xdr:to>
      <xdr:col>10</xdr:col>
      <xdr:colOff>476250</xdr:colOff>
      <xdr:row>101</xdr:row>
      <xdr:rowOff>106004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305425" y="18316575"/>
          <a:ext cx="2857500" cy="782279"/>
        </a:xfrm>
        <a:prstGeom prst="rect">
          <a:avLst/>
        </a:prstGeom>
        <a:noFill/>
      </xdr:spPr>
    </xdr:pic>
    <xdr:clientData/>
  </xdr:twoCellAnchor>
  <xdr:twoCellAnchor>
    <xdr:from>
      <xdr:col>10</xdr:col>
      <xdr:colOff>9525</xdr:colOff>
      <xdr:row>84</xdr:row>
      <xdr:rowOff>95250</xdr:rowOff>
    </xdr:from>
    <xdr:to>
      <xdr:col>15</xdr:col>
      <xdr:colOff>314325</xdr:colOff>
      <xdr:row>90</xdr:row>
      <xdr:rowOff>57150</xdr:rowOff>
    </xdr:to>
    <xdr:pic>
      <xdr:nvPicPr>
        <xdr:cNvPr id="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15125" y="2000250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1</xdr:col>
      <xdr:colOff>495301</xdr:colOff>
      <xdr:row>165</xdr:row>
      <xdr:rowOff>142875</xdr:rowOff>
    </xdr:from>
    <xdr:to>
      <xdr:col>5</xdr:col>
      <xdr:colOff>447676</xdr:colOff>
      <xdr:row>169</xdr:row>
      <xdr:rowOff>57150</xdr:rowOff>
    </xdr:to>
    <xdr:pic>
      <xdr:nvPicPr>
        <xdr:cNvPr id="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04901" y="29746575"/>
          <a:ext cx="3981450" cy="676275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192</xdr:row>
      <xdr:rowOff>161925</xdr:rowOff>
    </xdr:from>
    <xdr:to>
      <xdr:col>14</xdr:col>
      <xdr:colOff>304800</xdr:colOff>
      <xdr:row>198</xdr:row>
      <xdr:rowOff>123825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29250" y="6448425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192</xdr:row>
      <xdr:rowOff>161925</xdr:rowOff>
    </xdr:from>
    <xdr:to>
      <xdr:col>14</xdr:col>
      <xdr:colOff>304800</xdr:colOff>
      <xdr:row>198</xdr:row>
      <xdr:rowOff>123825</xdr:rowOff>
    </xdr:to>
    <xdr:pic>
      <xdr:nvPicPr>
        <xdr:cNvPr id="1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429250" y="6448425"/>
          <a:ext cx="3590925" cy="11049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357020</xdr:colOff>
      <xdr:row>2</xdr:row>
      <xdr:rowOff>171451</xdr:rowOff>
    </xdr:from>
    <xdr:to>
      <xdr:col>2</xdr:col>
      <xdr:colOff>504825</xdr:colOff>
      <xdr:row>15</xdr:row>
      <xdr:rowOff>17495</xdr:rowOff>
    </xdr:to>
    <xdr:pic>
      <xdr:nvPicPr>
        <xdr:cNvPr id="1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66620" y="552451"/>
          <a:ext cx="1328905" cy="2322544"/>
        </a:xfrm>
        <a:prstGeom prst="rect">
          <a:avLst/>
        </a:prstGeom>
        <a:noFill/>
      </xdr:spPr>
    </xdr:pic>
    <xdr:clientData/>
  </xdr:twoCellAnchor>
  <xdr:twoCellAnchor>
    <xdr:from>
      <xdr:col>8</xdr:col>
      <xdr:colOff>342900</xdr:colOff>
      <xdr:row>40</xdr:row>
      <xdr:rowOff>95250</xdr:rowOff>
    </xdr:from>
    <xdr:to>
      <xdr:col>15</xdr:col>
      <xdr:colOff>495300</xdr:colOff>
      <xdr:row>54</xdr:row>
      <xdr:rowOff>9525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600074</xdr:colOff>
      <xdr:row>54</xdr:row>
      <xdr:rowOff>171448</xdr:rowOff>
    </xdr:from>
    <xdr:to>
      <xdr:col>15</xdr:col>
      <xdr:colOff>504825</xdr:colOff>
      <xdr:row>70</xdr:row>
      <xdr:rowOff>190499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504825</xdr:colOff>
      <xdr:row>94</xdr:row>
      <xdr:rowOff>190499</xdr:rowOff>
    </xdr:from>
    <xdr:to>
      <xdr:col>19</xdr:col>
      <xdr:colOff>85725</xdr:colOff>
      <xdr:row>105</xdr:row>
      <xdr:rowOff>9524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171450</xdr:colOff>
      <xdr:row>115</xdr:row>
      <xdr:rowOff>171450</xdr:rowOff>
    </xdr:from>
    <xdr:to>
      <xdr:col>10</xdr:col>
      <xdr:colOff>76200</xdr:colOff>
      <xdr:row>120</xdr:row>
      <xdr:rowOff>180975</xdr:rowOff>
    </xdr:to>
    <xdr:cxnSp macro="">
      <xdr:nvCxnSpPr>
        <xdr:cNvPr id="21" name="Straight Arrow Connector 20"/>
        <xdr:cNvCxnSpPr/>
      </xdr:nvCxnSpPr>
      <xdr:spPr>
        <a:xfrm>
          <a:off x="6029325" y="19659600"/>
          <a:ext cx="1733550" cy="962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144</xdr:row>
      <xdr:rowOff>180975</xdr:rowOff>
    </xdr:from>
    <xdr:to>
      <xdr:col>9</xdr:col>
      <xdr:colOff>514350</xdr:colOff>
      <xdr:row>147</xdr:row>
      <xdr:rowOff>114300</xdr:rowOff>
    </xdr:to>
    <xdr:cxnSp macro="">
      <xdr:nvCxnSpPr>
        <xdr:cNvPr id="22" name="Straight Arrow Connector 21"/>
        <xdr:cNvCxnSpPr/>
      </xdr:nvCxnSpPr>
      <xdr:spPr>
        <a:xfrm>
          <a:off x="6086475" y="25193625"/>
          <a:ext cx="1504950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121</xdr:row>
      <xdr:rowOff>180975</xdr:rowOff>
    </xdr:from>
    <xdr:to>
      <xdr:col>10</xdr:col>
      <xdr:colOff>180975</xdr:colOff>
      <xdr:row>130</xdr:row>
      <xdr:rowOff>123825</xdr:rowOff>
    </xdr:to>
    <xdr:cxnSp macro="">
      <xdr:nvCxnSpPr>
        <xdr:cNvPr id="25" name="Straight Arrow Connector 24"/>
        <xdr:cNvCxnSpPr/>
      </xdr:nvCxnSpPr>
      <xdr:spPr>
        <a:xfrm flipV="1">
          <a:off x="6734175" y="20812125"/>
          <a:ext cx="1133475" cy="1657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209550</xdr:colOff>
      <xdr:row>148</xdr:row>
      <xdr:rowOff>0</xdr:rowOff>
    </xdr:from>
    <xdr:to>
      <xdr:col>9</xdr:col>
      <xdr:colOff>438150</xdr:colOff>
      <xdr:row>152</xdr:row>
      <xdr:rowOff>142875</xdr:rowOff>
    </xdr:to>
    <xdr:cxnSp macro="">
      <xdr:nvCxnSpPr>
        <xdr:cNvPr id="27" name="Straight Arrow Connector 26"/>
        <xdr:cNvCxnSpPr/>
      </xdr:nvCxnSpPr>
      <xdr:spPr>
        <a:xfrm flipV="1">
          <a:off x="6067425" y="25774650"/>
          <a:ext cx="1447800" cy="9048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361950</xdr:colOff>
      <xdr:row>169</xdr:row>
      <xdr:rowOff>114300</xdr:rowOff>
    </xdr:from>
    <xdr:to>
      <xdr:col>8</xdr:col>
      <xdr:colOff>209550</xdr:colOff>
      <xdr:row>175</xdr:row>
      <xdr:rowOff>152400</xdr:rowOff>
    </xdr:to>
    <xdr:cxnSp macro="">
      <xdr:nvCxnSpPr>
        <xdr:cNvPr id="31" name="Straight Arrow Connector 30"/>
        <xdr:cNvCxnSpPr/>
      </xdr:nvCxnSpPr>
      <xdr:spPr>
        <a:xfrm flipH="1">
          <a:off x="5000625" y="29889450"/>
          <a:ext cx="16764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169</xdr:row>
      <xdr:rowOff>123825</xdr:rowOff>
    </xdr:from>
    <xdr:to>
      <xdr:col>10</xdr:col>
      <xdr:colOff>257175</xdr:colOff>
      <xdr:row>174</xdr:row>
      <xdr:rowOff>180975</xdr:rowOff>
    </xdr:to>
    <xdr:cxnSp macro="">
      <xdr:nvCxnSpPr>
        <xdr:cNvPr id="32" name="Straight Arrow Connector 31"/>
        <xdr:cNvCxnSpPr/>
      </xdr:nvCxnSpPr>
      <xdr:spPr>
        <a:xfrm>
          <a:off x="6877050" y="29898975"/>
          <a:ext cx="1066800" cy="1009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169</xdr:row>
      <xdr:rowOff>114300</xdr:rowOff>
    </xdr:from>
    <xdr:to>
      <xdr:col>15</xdr:col>
      <xdr:colOff>133350</xdr:colOff>
      <xdr:row>174</xdr:row>
      <xdr:rowOff>76200</xdr:rowOff>
    </xdr:to>
    <xdr:cxnSp macro="">
      <xdr:nvCxnSpPr>
        <xdr:cNvPr id="35" name="Straight Arrow Connector 34"/>
        <xdr:cNvCxnSpPr/>
      </xdr:nvCxnSpPr>
      <xdr:spPr>
        <a:xfrm>
          <a:off x="7229475" y="29889450"/>
          <a:ext cx="3638550" cy="9144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438150</xdr:colOff>
      <xdr:row>176</xdr:row>
      <xdr:rowOff>47625</xdr:rowOff>
    </xdr:from>
    <xdr:to>
      <xdr:col>5</xdr:col>
      <xdr:colOff>276225</xdr:colOff>
      <xdr:row>184</xdr:row>
      <xdr:rowOff>152400</xdr:rowOff>
    </xdr:to>
    <xdr:cxnSp macro="">
      <xdr:nvCxnSpPr>
        <xdr:cNvPr id="37" name="Straight Arrow Connector 36"/>
        <xdr:cNvCxnSpPr/>
      </xdr:nvCxnSpPr>
      <xdr:spPr>
        <a:xfrm flipH="1">
          <a:off x="4467225" y="31156275"/>
          <a:ext cx="447675" cy="1628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409576</xdr:colOff>
      <xdr:row>177</xdr:row>
      <xdr:rowOff>133350</xdr:rowOff>
    </xdr:from>
    <xdr:to>
      <xdr:col>10</xdr:col>
      <xdr:colOff>238125</xdr:colOff>
      <xdr:row>185</xdr:row>
      <xdr:rowOff>95250</xdr:rowOff>
    </xdr:to>
    <xdr:cxnSp macro="">
      <xdr:nvCxnSpPr>
        <xdr:cNvPr id="39" name="Straight Arrow Connector 38"/>
        <xdr:cNvCxnSpPr/>
      </xdr:nvCxnSpPr>
      <xdr:spPr>
        <a:xfrm flipH="1">
          <a:off x="7486651" y="34023300"/>
          <a:ext cx="438149" cy="14859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219076</xdr:colOff>
      <xdr:row>176</xdr:row>
      <xdr:rowOff>171450</xdr:rowOff>
    </xdr:from>
    <xdr:to>
      <xdr:col>14</xdr:col>
      <xdr:colOff>552450</xdr:colOff>
      <xdr:row>186</xdr:row>
      <xdr:rowOff>0</xdr:rowOff>
    </xdr:to>
    <xdr:cxnSp macro="">
      <xdr:nvCxnSpPr>
        <xdr:cNvPr id="40" name="Straight Arrow Connector 39"/>
        <xdr:cNvCxnSpPr/>
      </xdr:nvCxnSpPr>
      <xdr:spPr>
        <a:xfrm flipH="1">
          <a:off x="10467976" y="33870900"/>
          <a:ext cx="333374" cy="1733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276225</xdr:colOff>
      <xdr:row>198</xdr:row>
      <xdr:rowOff>76200</xdr:rowOff>
    </xdr:from>
    <xdr:to>
      <xdr:col>4</xdr:col>
      <xdr:colOff>314325</xdr:colOff>
      <xdr:row>204</xdr:row>
      <xdr:rowOff>114300</xdr:rowOff>
    </xdr:to>
    <xdr:cxnSp macro="">
      <xdr:nvCxnSpPr>
        <xdr:cNvPr id="42" name="Straight Arrow Connector 41"/>
        <xdr:cNvCxnSpPr/>
      </xdr:nvCxnSpPr>
      <xdr:spPr>
        <a:xfrm>
          <a:off x="4305300" y="37966650"/>
          <a:ext cx="38100" cy="11811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447675</xdr:colOff>
      <xdr:row>209</xdr:row>
      <xdr:rowOff>9525</xdr:rowOff>
    </xdr:from>
    <xdr:to>
      <xdr:col>5</xdr:col>
      <xdr:colOff>266700</xdr:colOff>
      <xdr:row>214</xdr:row>
      <xdr:rowOff>142875</xdr:rowOff>
    </xdr:to>
    <xdr:cxnSp macro="">
      <xdr:nvCxnSpPr>
        <xdr:cNvPr id="44" name="Straight Arrow Connector 43"/>
        <xdr:cNvCxnSpPr/>
      </xdr:nvCxnSpPr>
      <xdr:spPr>
        <a:xfrm>
          <a:off x="3419475" y="37404675"/>
          <a:ext cx="1485900" cy="10858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476250</xdr:colOff>
      <xdr:row>210</xdr:row>
      <xdr:rowOff>9525</xdr:rowOff>
    </xdr:from>
    <xdr:to>
      <xdr:col>9</xdr:col>
      <xdr:colOff>542925</xdr:colOff>
      <xdr:row>215</xdr:row>
      <xdr:rowOff>76200</xdr:rowOff>
    </xdr:to>
    <xdr:cxnSp macro="">
      <xdr:nvCxnSpPr>
        <xdr:cNvPr id="46" name="Straight Arrow Connector 45"/>
        <xdr:cNvCxnSpPr/>
      </xdr:nvCxnSpPr>
      <xdr:spPr>
        <a:xfrm flipH="1">
          <a:off x="5114925" y="37595175"/>
          <a:ext cx="2505075" cy="1019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142876</xdr:colOff>
      <xdr:row>210</xdr:row>
      <xdr:rowOff>161925</xdr:rowOff>
    </xdr:from>
    <xdr:to>
      <xdr:col>14</xdr:col>
      <xdr:colOff>228600</xdr:colOff>
      <xdr:row>215</xdr:row>
      <xdr:rowOff>180975</xdr:rowOff>
    </xdr:to>
    <xdr:cxnSp macro="">
      <xdr:nvCxnSpPr>
        <xdr:cNvPr id="51" name="Straight Arrow Connector 50"/>
        <xdr:cNvCxnSpPr/>
      </xdr:nvCxnSpPr>
      <xdr:spPr>
        <a:xfrm flipH="1">
          <a:off x="6610351" y="37747575"/>
          <a:ext cx="3743324" cy="971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15</xdr:row>
      <xdr:rowOff>142875</xdr:rowOff>
    </xdr:from>
    <xdr:to>
      <xdr:col>10</xdr:col>
      <xdr:colOff>447674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</xdr:rowOff>
    </xdr:from>
    <xdr:to>
      <xdr:col>4</xdr:col>
      <xdr:colOff>1</xdr:colOff>
      <xdr:row>3</xdr:row>
      <xdr:rowOff>19051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" y="1"/>
          <a:ext cx="2438400" cy="4000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9525</xdr:colOff>
      <xdr:row>17</xdr:row>
      <xdr:rowOff>95250</xdr:rowOff>
    </xdr:from>
    <xdr:to>
      <xdr:col>5</xdr:col>
      <xdr:colOff>314325</xdr:colOff>
      <xdr:row>23</xdr:row>
      <xdr:rowOff>57150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715125" y="2000250"/>
          <a:ext cx="3590925" cy="1104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36</xdr:row>
      <xdr:rowOff>57150</xdr:rowOff>
    </xdr:from>
    <xdr:to>
      <xdr:col>5</xdr:col>
      <xdr:colOff>428625</xdr:colOff>
      <xdr:row>40</xdr:row>
      <xdr:rowOff>161925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7934325"/>
          <a:ext cx="3848100" cy="9048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41</xdr:row>
      <xdr:rowOff>76200</xdr:rowOff>
    </xdr:from>
    <xdr:to>
      <xdr:col>3</xdr:col>
      <xdr:colOff>85725</xdr:colOff>
      <xdr:row>42</xdr:row>
      <xdr:rowOff>187676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0" y="8943975"/>
          <a:ext cx="2286000" cy="301976"/>
        </a:xfrm>
        <a:prstGeom prst="rect">
          <a:avLst/>
        </a:prstGeom>
        <a:noFill/>
      </xdr:spPr>
    </xdr:pic>
    <xdr:clientData/>
  </xdr:twoCellAnchor>
  <xdr:twoCellAnchor>
    <xdr:from>
      <xdr:col>16</xdr:col>
      <xdr:colOff>514351</xdr:colOff>
      <xdr:row>1</xdr:row>
      <xdr:rowOff>9525</xdr:rowOff>
    </xdr:from>
    <xdr:to>
      <xdr:col>16</xdr:col>
      <xdr:colOff>1610179</xdr:colOff>
      <xdr:row>2</xdr:row>
      <xdr:rowOff>38100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22762" t="50781"/>
        <a:stretch>
          <a:fillRect/>
        </a:stretch>
      </xdr:blipFill>
      <xdr:spPr bwMode="auto">
        <a:xfrm>
          <a:off x="18564226" y="314325"/>
          <a:ext cx="1095828" cy="2286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11</xdr:row>
      <xdr:rowOff>9525</xdr:rowOff>
    </xdr:from>
    <xdr:to>
      <xdr:col>6</xdr:col>
      <xdr:colOff>714375</xdr:colOff>
      <xdr:row>33</xdr:row>
      <xdr:rowOff>104775</xdr:rowOff>
    </xdr:to>
    <xdr:pic>
      <xdr:nvPicPr>
        <xdr:cNvPr id="1062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" y="2295525"/>
          <a:ext cx="5286375" cy="4286250"/>
        </a:xfrm>
        <a:prstGeom prst="rect">
          <a:avLst/>
        </a:prstGeom>
        <a:noFill/>
        <a:ln>
          <a:solidFill>
            <a:srgbClr val="00B050"/>
          </a:solidFill>
        </a:ln>
      </xdr:spPr>
    </xdr:pic>
    <xdr:clientData/>
  </xdr:twoCellAnchor>
  <xdr:twoCellAnchor editAs="oneCell">
    <xdr:from>
      <xdr:col>13</xdr:col>
      <xdr:colOff>123825</xdr:colOff>
      <xdr:row>17</xdr:row>
      <xdr:rowOff>18819</xdr:rowOff>
    </xdr:from>
    <xdr:to>
      <xdr:col>13</xdr:col>
      <xdr:colOff>1800225</xdr:colOff>
      <xdr:row>33</xdr:row>
      <xdr:rowOff>28574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0458450" y="3447819"/>
          <a:ext cx="1676400" cy="3057755"/>
        </a:xfrm>
        <a:prstGeom prst="rect">
          <a:avLst/>
        </a:prstGeom>
        <a:noFill/>
      </xdr:spPr>
    </xdr:pic>
    <xdr:clientData/>
  </xdr:twoCellAnchor>
  <xdr:twoCellAnchor>
    <xdr:from>
      <xdr:col>28</xdr:col>
      <xdr:colOff>323849</xdr:colOff>
      <xdr:row>22</xdr:row>
      <xdr:rowOff>47625</xdr:rowOff>
    </xdr:from>
    <xdr:to>
      <xdr:col>30</xdr:col>
      <xdr:colOff>295274</xdr:colOff>
      <xdr:row>26</xdr:row>
      <xdr:rowOff>76200</xdr:rowOff>
    </xdr:to>
    <xdr:sp macro="" textlink="">
      <xdr:nvSpPr>
        <xdr:cNvPr id="8" name="TextBox 7"/>
        <xdr:cNvSpPr txBox="1"/>
      </xdr:nvSpPr>
      <xdr:spPr>
        <a:xfrm>
          <a:off x="23879174" y="4429125"/>
          <a:ext cx="1190625" cy="790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 building the incidence matrices, assign</a:t>
          </a:r>
          <a:r>
            <a:rPr lang="en-US" sz="1100" b="1" baseline="0"/>
            <a:t> flow to links</a:t>
          </a:r>
          <a:endParaRPr lang="en-US" sz="1100" b="1"/>
        </a:p>
      </xdr:txBody>
    </xdr:sp>
    <xdr:clientData/>
  </xdr:twoCellAnchor>
  <xdr:twoCellAnchor>
    <xdr:from>
      <xdr:col>28</xdr:col>
      <xdr:colOff>504825</xdr:colOff>
      <xdr:row>26</xdr:row>
      <xdr:rowOff>152400</xdr:rowOff>
    </xdr:from>
    <xdr:to>
      <xdr:col>29</xdr:col>
      <xdr:colOff>595313</xdr:colOff>
      <xdr:row>36</xdr:row>
      <xdr:rowOff>114304</xdr:rowOff>
    </xdr:to>
    <xdr:sp macro="" textlink="">
      <xdr:nvSpPr>
        <xdr:cNvPr id="12" name="Bent-Up Arrow 11"/>
        <xdr:cNvSpPr/>
      </xdr:nvSpPr>
      <xdr:spPr>
        <a:xfrm rot="16200000" flipH="1">
          <a:off x="22914767" y="5879308"/>
          <a:ext cx="1866904" cy="700088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238125</xdr:colOff>
      <xdr:row>41</xdr:row>
      <xdr:rowOff>152400</xdr:rowOff>
    </xdr:from>
    <xdr:to>
      <xdr:col>23</xdr:col>
      <xdr:colOff>381000</xdr:colOff>
      <xdr:row>43</xdr:row>
      <xdr:rowOff>57150</xdr:rowOff>
    </xdr:to>
    <xdr:sp macro="" textlink="">
      <xdr:nvSpPr>
        <xdr:cNvPr id="13" name="Left Arrow 12"/>
        <xdr:cNvSpPr/>
      </xdr:nvSpPr>
      <xdr:spPr>
        <a:xfrm>
          <a:off x="17897475" y="8153400"/>
          <a:ext cx="1971675" cy="2857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542924</xdr:colOff>
      <xdr:row>43</xdr:row>
      <xdr:rowOff>76200</xdr:rowOff>
    </xdr:from>
    <xdr:to>
      <xdr:col>23</xdr:col>
      <xdr:colOff>180975</xdr:colOff>
      <xdr:row>47</xdr:row>
      <xdr:rowOff>171450</xdr:rowOff>
    </xdr:to>
    <xdr:sp macro="" textlink="">
      <xdr:nvSpPr>
        <xdr:cNvPr id="14" name="TextBox 13"/>
        <xdr:cNvSpPr txBox="1"/>
      </xdr:nvSpPr>
      <xdr:spPr>
        <a:xfrm>
          <a:off x="18764249" y="8458200"/>
          <a:ext cx="1466851" cy="8572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calculating link flow, </a:t>
          </a:r>
          <a:r>
            <a:rPr lang="en-US" sz="1100" b="1"/>
            <a:t>find travel times from the link flows (far left of table)</a:t>
          </a:r>
        </a:p>
      </xdr:txBody>
    </xdr:sp>
    <xdr:clientData/>
  </xdr:twoCellAnchor>
  <xdr:twoCellAnchor>
    <xdr:from>
      <xdr:col>13</xdr:col>
      <xdr:colOff>1924050</xdr:colOff>
      <xdr:row>55</xdr:row>
      <xdr:rowOff>0</xdr:rowOff>
    </xdr:from>
    <xdr:to>
      <xdr:col>14</xdr:col>
      <xdr:colOff>361950</xdr:colOff>
      <xdr:row>65</xdr:row>
      <xdr:rowOff>19050</xdr:rowOff>
    </xdr:to>
    <xdr:sp macro="" textlink="">
      <xdr:nvSpPr>
        <xdr:cNvPr id="15" name="Bent-Up Arrow 14"/>
        <xdr:cNvSpPr/>
      </xdr:nvSpPr>
      <xdr:spPr>
        <a:xfrm rot="5400000">
          <a:off x="12296775" y="11353800"/>
          <a:ext cx="1924050" cy="552450"/>
        </a:xfrm>
        <a:prstGeom prst="bent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13</xdr:col>
      <xdr:colOff>266700</xdr:colOff>
      <xdr:row>55</xdr:row>
      <xdr:rowOff>1</xdr:rowOff>
    </xdr:from>
    <xdr:to>
      <xdr:col>13</xdr:col>
      <xdr:colOff>1733551</xdr:colOff>
      <xdr:row>59</xdr:row>
      <xdr:rowOff>57151</xdr:rowOff>
    </xdr:to>
    <xdr:sp macro="" textlink="">
      <xdr:nvSpPr>
        <xdr:cNvPr id="16" name="TextBox 15"/>
        <xdr:cNvSpPr txBox="1"/>
      </xdr:nvSpPr>
      <xdr:spPr>
        <a:xfrm>
          <a:off x="11325225" y="10668001"/>
          <a:ext cx="1466851" cy="8191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After</a:t>
          </a:r>
          <a:r>
            <a:rPr lang="en-US" sz="1100" b="1" baseline="0"/>
            <a:t> finding link travel times</a:t>
          </a:r>
          <a:r>
            <a:rPr lang="en-US" sz="1100" b="1"/>
            <a:t>, calculate</a:t>
          </a:r>
          <a:r>
            <a:rPr lang="en-US" sz="1100" b="1" baseline="0"/>
            <a:t> path travel times for each path</a:t>
          </a:r>
          <a:endParaRPr lang="en-US" sz="1100" b="1"/>
        </a:p>
      </xdr:txBody>
    </xdr:sp>
    <xdr:clientData/>
  </xdr:twoCellAnchor>
  <xdr:twoCellAnchor>
    <xdr:from>
      <xdr:col>19</xdr:col>
      <xdr:colOff>571500</xdr:colOff>
      <xdr:row>56</xdr:row>
      <xdr:rowOff>85725</xdr:rowOff>
    </xdr:from>
    <xdr:to>
      <xdr:col>20</xdr:col>
      <xdr:colOff>295275</xdr:colOff>
      <xdr:row>65</xdr:row>
      <xdr:rowOff>123825</xdr:rowOff>
    </xdr:to>
    <xdr:sp macro="" textlink="">
      <xdr:nvSpPr>
        <xdr:cNvPr id="17" name="Up Arrow 16"/>
        <xdr:cNvSpPr/>
      </xdr:nvSpPr>
      <xdr:spPr>
        <a:xfrm>
          <a:off x="18183225" y="10944225"/>
          <a:ext cx="333375" cy="17526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361950</xdr:colOff>
      <xdr:row>59</xdr:row>
      <xdr:rowOff>152400</xdr:rowOff>
    </xdr:from>
    <xdr:to>
      <xdr:col>23</xdr:col>
      <xdr:colOff>1</xdr:colOff>
      <xdr:row>63</xdr:row>
      <xdr:rowOff>19051</xdr:rowOff>
    </xdr:to>
    <xdr:sp macro="" textlink="">
      <xdr:nvSpPr>
        <xdr:cNvPr id="18" name="TextBox 17"/>
        <xdr:cNvSpPr txBox="1"/>
      </xdr:nvSpPr>
      <xdr:spPr>
        <a:xfrm>
          <a:off x="18583275" y="11582400"/>
          <a:ext cx="1466851" cy="62865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Go back to the top</a:t>
          </a:r>
          <a:r>
            <a:rPr lang="en-US" sz="1100" b="1" baseline="0"/>
            <a:t> to see the path travel time results</a:t>
          </a:r>
          <a:endParaRPr lang="en-US" sz="11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419100</xdr:colOff>
      <xdr:row>18</xdr:row>
      <xdr:rowOff>104775</xdr:rowOff>
    </xdr:from>
    <xdr:to>
      <xdr:col>12</xdr:col>
      <xdr:colOff>505057</xdr:colOff>
      <xdr:row>33</xdr:row>
      <xdr:rowOff>161925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38300" y="3533775"/>
          <a:ext cx="6753457" cy="2914650"/>
        </a:xfrm>
        <a:prstGeom prst="rect">
          <a:avLst/>
        </a:prstGeom>
        <a:noFill/>
      </xdr:spPr>
    </xdr:pic>
    <xdr:clientData/>
  </xdr:twoCellAnchor>
  <xdr:twoCellAnchor>
    <xdr:from>
      <xdr:col>3</xdr:col>
      <xdr:colOff>9523</xdr:colOff>
      <xdr:row>54</xdr:row>
      <xdr:rowOff>180974</xdr:rowOff>
    </xdr:from>
    <xdr:to>
      <xdr:col>27</xdr:col>
      <xdr:colOff>123824</xdr:colOff>
      <xdr:row>74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123826</xdr:colOff>
      <xdr:row>38</xdr:row>
      <xdr:rowOff>47625</xdr:rowOff>
    </xdr:from>
    <xdr:to>
      <xdr:col>15</xdr:col>
      <xdr:colOff>323850</xdr:colOff>
      <xdr:row>42</xdr:row>
      <xdr:rowOff>161925</xdr:rowOff>
    </xdr:to>
    <xdr:cxnSp macro="">
      <xdr:nvCxnSpPr>
        <xdr:cNvPr id="5" name="Straight Arrow Connector 4"/>
        <xdr:cNvCxnSpPr/>
      </xdr:nvCxnSpPr>
      <xdr:spPr>
        <a:xfrm flipH="1">
          <a:off x="9229726" y="7286625"/>
          <a:ext cx="809624" cy="8763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800099</xdr:colOff>
      <xdr:row>5</xdr:row>
      <xdr:rowOff>142875</xdr:rowOff>
    </xdr:from>
    <xdr:to>
      <xdr:col>10</xdr:col>
      <xdr:colOff>466724</xdr:colOff>
      <xdr:row>23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66676</xdr:rowOff>
    </xdr:from>
    <xdr:to>
      <xdr:col>12</xdr:col>
      <xdr:colOff>333374</xdr:colOff>
      <xdr:row>5</xdr:row>
      <xdr:rowOff>72391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62775" y="485776"/>
          <a:ext cx="3219449" cy="577215"/>
        </a:xfrm>
        <a:prstGeom prst="rect">
          <a:avLst/>
        </a:prstGeom>
        <a:noFill/>
      </xdr:spPr>
    </xdr:pic>
    <xdr:clientData/>
  </xdr:twoCellAnchor>
  <xdr:twoCellAnchor>
    <xdr:from>
      <xdr:col>1</xdr:col>
      <xdr:colOff>333375</xdr:colOff>
      <xdr:row>8</xdr:row>
      <xdr:rowOff>95250</xdr:rowOff>
    </xdr:from>
    <xdr:to>
      <xdr:col>3</xdr:col>
      <xdr:colOff>695325</xdr:colOff>
      <xdr:row>12</xdr:row>
      <xdr:rowOff>79248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942975" y="1657350"/>
          <a:ext cx="1695450" cy="822198"/>
        </a:xfrm>
        <a:prstGeom prst="rect">
          <a:avLst/>
        </a:prstGeom>
        <a:noFill/>
      </xdr:spPr>
    </xdr:pic>
    <xdr:clientData/>
  </xdr:twoCellAnchor>
  <xdr:twoCellAnchor>
    <xdr:from>
      <xdr:col>8</xdr:col>
      <xdr:colOff>28575</xdr:colOff>
      <xdr:row>5</xdr:row>
      <xdr:rowOff>180975</xdr:rowOff>
    </xdr:from>
    <xdr:to>
      <xdr:col>12</xdr:col>
      <xdr:colOff>251044</xdr:colOff>
      <xdr:row>8</xdr:row>
      <xdr:rowOff>190500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53250" y="1171575"/>
          <a:ext cx="3146644" cy="581025"/>
        </a:xfrm>
        <a:prstGeom prst="rect">
          <a:avLst/>
        </a:prstGeom>
        <a:noFill/>
      </xdr:spPr>
    </xdr:pic>
    <xdr:clientData/>
  </xdr:twoCellAnchor>
  <xdr:twoCellAnchor>
    <xdr:from>
      <xdr:col>8</xdr:col>
      <xdr:colOff>180975</xdr:colOff>
      <xdr:row>25</xdr:row>
      <xdr:rowOff>123825</xdr:rowOff>
    </xdr:from>
    <xdr:to>
      <xdr:col>10</xdr:col>
      <xdr:colOff>266700</xdr:colOff>
      <xdr:row>28</xdr:row>
      <xdr:rowOff>142340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105650" y="5000625"/>
          <a:ext cx="1419225" cy="666215"/>
        </a:xfrm>
        <a:prstGeom prst="rect">
          <a:avLst/>
        </a:prstGeom>
        <a:noFill/>
      </xdr:spPr>
    </xdr:pic>
    <xdr:clientData/>
  </xdr:twoCellAnchor>
  <xdr:twoCellAnchor>
    <xdr:from>
      <xdr:col>8</xdr:col>
      <xdr:colOff>95250</xdr:colOff>
      <xdr:row>11</xdr:row>
      <xdr:rowOff>66675</xdr:rowOff>
    </xdr:from>
    <xdr:to>
      <xdr:col>10</xdr:col>
      <xdr:colOff>676275</xdr:colOff>
      <xdr:row>12</xdr:row>
      <xdr:rowOff>178151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019925" y="2276475"/>
          <a:ext cx="1914525" cy="301976"/>
        </a:xfrm>
        <a:prstGeom prst="rect">
          <a:avLst/>
        </a:prstGeom>
        <a:noFill/>
      </xdr:spPr>
    </xdr:pic>
    <xdr:clientData/>
  </xdr:twoCellAnchor>
  <xdr:twoCellAnchor>
    <xdr:from>
      <xdr:col>8</xdr:col>
      <xdr:colOff>69722</xdr:colOff>
      <xdr:row>30</xdr:row>
      <xdr:rowOff>85726</xdr:rowOff>
    </xdr:from>
    <xdr:to>
      <xdr:col>12</xdr:col>
      <xdr:colOff>552449</xdr:colOff>
      <xdr:row>32</xdr:row>
      <xdr:rowOff>28576</xdr:rowOff>
    </xdr:to>
    <xdr:pic>
      <xdr:nvPicPr>
        <xdr:cNvPr id="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94397" y="5991226"/>
          <a:ext cx="3406902" cy="323850"/>
        </a:xfrm>
        <a:prstGeom prst="rect">
          <a:avLst/>
        </a:prstGeom>
        <a:noFill/>
      </xdr:spPr>
    </xdr:pic>
    <xdr:clientData/>
  </xdr:twoCellAnchor>
  <xdr:twoCellAnchor>
    <xdr:from>
      <xdr:col>8</xdr:col>
      <xdr:colOff>47625</xdr:colOff>
      <xdr:row>32</xdr:row>
      <xdr:rowOff>104775</xdr:rowOff>
    </xdr:from>
    <xdr:to>
      <xdr:col>11</xdr:col>
      <xdr:colOff>266700</xdr:colOff>
      <xdr:row>34</xdr:row>
      <xdr:rowOff>53487</xdr:rowOff>
    </xdr:to>
    <xdr:pic>
      <xdr:nvPicPr>
        <xdr:cNvPr id="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972300" y="6391275"/>
          <a:ext cx="2400300" cy="329712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4.xml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://escholarship.org/uc/item/0r75311t" TargetMode="External"/><Relationship Id="rId1" Type="http://schemas.openxmlformats.org/officeDocument/2006/relationships/hyperlink" Target="http://www.mygistics.com/docs/MYG_Response_Strategy_Planning_WhitePaper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customProperty" Target="../customProperty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229"/>
  <sheetViews>
    <sheetView topLeftCell="A240" workbookViewId="0">
      <selection activeCell="H270" sqref="H270"/>
    </sheetView>
  </sheetViews>
  <sheetFormatPr defaultRowHeight="15"/>
  <cols>
    <col min="2" max="3" width="17.7109375" bestFit="1" customWidth="1"/>
    <col min="4" max="4" width="15.85546875" customWidth="1"/>
    <col min="11" max="11" width="11" customWidth="1"/>
    <col min="18" max="18" width="12.140625" customWidth="1"/>
  </cols>
  <sheetData>
    <row r="2" spans="1:10">
      <c r="B2" s="10" t="s">
        <v>402</v>
      </c>
      <c r="D2" s="156" t="s">
        <v>96</v>
      </c>
      <c r="E2" s="156" t="s">
        <v>97</v>
      </c>
      <c r="F2" s="156" t="s">
        <v>101</v>
      </c>
      <c r="G2" s="156" t="s">
        <v>102</v>
      </c>
      <c r="H2" s="156" t="s">
        <v>103</v>
      </c>
      <c r="I2" s="156" t="s">
        <v>104</v>
      </c>
      <c r="J2" s="156" t="s">
        <v>105</v>
      </c>
    </row>
    <row r="3" spans="1:10">
      <c r="B3" s="10"/>
      <c r="D3" s="155">
        <v>1</v>
      </c>
      <c r="E3" s="155">
        <v>2</v>
      </c>
      <c r="F3" s="155">
        <v>10</v>
      </c>
      <c r="G3" s="155">
        <v>4</v>
      </c>
      <c r="H3" s="155">
        <v>35</v>
      </c>
      <c r="I3" s="155">
        <v>900</v>
      </c>
      <c r="J3" s="155">
        <v>4</v>
      </c>
    </row>
    <row r="4" spans="1:10">
      <c r="B4" s="10"/>
      <c r="D4" s="155">
        <v>1</v>
      </c>
      <c r="E4" s="155">
        <v>3</v>
      </c>
      <c r="F4" s="155">
        <v>20</v>
      </c>
      <c r="G4" s="155">
        <v>4</v>
      </c>
      <c r="H4" s="155">
        <v>45</v>
      </c>
      <c r="I4" s="155">
        <v>1450</v>
      </c>
      <c r="J4" s="155">
        <v>2</v>
      </c>
    </row>
    <row r="5" spans="1:10">
      <c r="B5" s="10"/>
      <c r="D5" s="155">
        <v>1</v>
      </c>
      <c r="E5" s="155">
        <v>5</v>
      </c>
      <c r="F5" s="155">
        <v>5</v>
      </c>
      <c r="G5" s="155">
        <v>4</v>
      </c>
      <c r="H5" s="155">
        <v>35</v>
      </c>
      <c r="I5" s="155">
        <v>900</v>
      </c>
      <c r="J5" s="155">
        <v>4</v>
      </c>
    </row>
    <row r="6" spans="1:10">
      <c r="B6" s="10"/>
      <c r="D6" s="155">
        <v>2</v>
      </c>
      <c r="E6" s="155">
        <v>1</v>
      </c>
      <c r="F6" s="155">
        <v>10</v>
      </c>
      <c r="G6" s="155">
        <v>4</v>
      </c>
      <c r="H6" s="155">
        <v>35</v>
      </c>
      <c r="I6" s="155">
        <v>900</v>
      </c>
      <c r="J6" s="155">
        <v>4</v>
      </c>
    </row>
    <row r="7" spans="1:10">
      <c r="D7" s="155">
        <v>2</v>
      </c>
      <c r="E7" s="155">
        <v>4</v>
      </c>
      <c r="F7" s="155">
        <v>20</v>
      </c>
      <c r="G7" s="155">
        <v>4</v>
      </c>
      <c r="H7" s="155">
        <v>45</v>
      </c>
      <c r="I7" s="155">
        <v>1450</v>
      </c>
      <c r="J7" s="155">
        <v>2</v>
      </c>
    </row>
    <row r="8" spans="1:10">
      <c r="D8" s="155">
        <v>2</v>
      </c>
      <c r="E8" s="155">
        <v>5</v>
      </c>
      <c r="F8" s="155">
        <v>5</v>
      </c>
      <c r="G8" s="155">
        <v>4</v>
      </c>
      <c r="H8" s="155">
        <v>35</v>
      </c>
      <c r="I8" s="155">
        <v>900</v>
      </c>
      <c r="J8" s="155">
        <v>4</v>
      </c>
    </row>
    <row r="9" spans="1:10">
      <c r="D9" s="155">
        <v>3</v>
      </c>
      <c r="E9" s="155">
        <v>1</v>
      </c>
      <c r="F9" s="155">
        <v>20</v>
      </c>
      <c r="G9" s="155">
        <v>4</v>
      </c>
      <c r="H9" s="155">
        <v>45</v>
      </c>
      <c r="I9" s="155">
        <v>1450</v>
      </c>
      <c r="J9" s="155">
        <v>2</v>
      </c>
    </row>
    <row r="10" spans="1:10">
      <c r="D10" s="155">
        <v>3</v>
      </c>
      <c r="E10" s="155">
        <v>4</v>
      </c>
      <c r="F10" s="155">
        <v>10</v>
      </c>
      <c r="G10" s="155">
        <v>4</v>
      </c>
      <c r="H10" s="155">
        <v>35</v>
      </c>
      <c r="I10" s="155">
        <v>900</v>
      </c>
      <c r="J10" s="155">
        <v>4</v>
      </c>
    </row>
    <row r="11" spans="1:10">
      <c r="A11" s="4"/>
      <c r="D11" s="155">
        <v>3</v>
      </c>
      <c r="E11" s="155">
        <v>6</v>
      </c>
      <c r="F11" s="155">
        <v>5</v>
      </c>
      <c r="G11" s="155">
        <v>4</v>
      </c>
      <c r="H11" s="155">
        <v>35</v>
      </c>
      <c r="I11" s="155">
        <v>900</v>
      </c>
      <c r="J11" s="155">
        <v>4</v>
      </c>
    </row>
    <row r="12" spans="1:10">
      <c r="A12" s="153"/>
      <c r="D12" s="155">
        <v>4</v>
      </c>
      <c r="E12" s="155">
        <v>2</v>
      </c>
      <c r="F12" s="155">
        <v>20</v>
      </c>
      <c r="G12" s="155">
        <v>4</v>
      </c>
      <c r="H12" s="155">
        <v>45</v>
      </c>
      <c r="I12" s="155">
        <v>1450</v>
      </c>
      <c r="J12" s="155">
        <v>2</v>
      </c>
    </row>
    <row r="13" spans="1:10">
      <c r="A13" s="154"/>
      <c r="D13" s="155">
        <v>4</v>
      </c>
      <c r="E13" s="155">
        <v>3</v>
      </c>
      <c r="F13" s="155">
        <v>10</v>
      </c>
      <c r="G13" s="155">
        <v>4</v>
      </c>
      <c r="H13" s="155">
        <v>35</v>
      </c>
      <c r="I13" s="155">
        <v>900</v>
      </c>
      <c r="J13" s="155">
        <v>4</v>
      </c>
    </row>
    <row r="14" spans="1:10">
      <c r="A14" s="154"/>
      <c r="B14" s="154"/>
      <c r="C14" s="154"/>
      <c r="D14" s="155">
        <v>4</v>
      </c>
      <c r="E14" s="155">
        <v>6</v>
      </c>
      <c r="F14" s="155">
        <v>5</v>
      </c>
      <c r="G14" s="155">
        <v>4</v>
      </c>
      <c r="H14" s="155">
        <v>35</v>
      </c>
      <c r="I14" s="155">
        <v>900</v>
      </c>
      <c r="J14" s="155">
        <v>4</v>
      </c>
    </row>
    <row r="15" spans="1:10">
      <c r="A15" s="154"/>
      <c r="B15" s="154"/>
      <c r="C15" s="154"/>
      <c r="D15" s="155">
        <v>5</v>
      </c>
      <c r="E15" s="155">
        <v>1</v>
      </c>
      <c r="F15" s="155">
        <v>5</v>
      </c>
      <c r="G15" s="155">
        <v>4</v>
      </c>
      <c r="H15" s="155">
        <v>35</v>
      </c>
      <c r="I15" s="155">
        <v>900</v>
      </c>
      <c r="J15" s="155">
        <v>4</v>
      </c>
    </row>
    <row r="16" spans="1:10">
      <c r="A16" s="154"/>
      <c r="B16" s="154"/>
      <c r="C16" s="154"/>
      <c r="D16" s="155">
        <v>5</v>
      </c>
      <c r="E16" s="155">
        <v>2</v>
      </c>
      <c r="F16" s="155">
        <v>5</v>
      </c>
      <c r="G16" s="155">
        <v>4</v>
      </c>
      <c r="H16" s="155">
        <v>35</v>
      </c>
      <c r="I16" s="155">
        <v>900</v>
      </c>
      <c r="J16" s="155">
        <v>4</v>
      </c>
    </row>
    <row r="17" spans="1:15">
      <c r="A17" s="154"/>
      <c r="B17" s="154"/>
      <c r="C17" s="154"/>
      <c r="D17" s="155">
        <v>5</v>
      </c>
      <c r="E17" s="155">
        <v>6</v>
      </c>
      <c r="F17" s="155">
        <v>10</v>
      </c>
      <c r="G17" s="155">
        <v>5</v>
      </c>
      <c r="H17" s="155">
        <v>65</v>
      </c>
      <c r="I17" s="155">
        <v>1900</v>
      </c>
      <c r="J17" s="155">
        <v>1</v>
      </c>
    </row>
    <row r="18" spans="1:15">
      <c r="A18" s="154"/>
      <c r="B18" s="154"/>
      <c r="C18" s="154"/>
      <c r="D18" s="155">
        <v>6</v>
      </c>
      <c r="E18" s="155">
        <v>3</v>
      </c>
      <c r="F18" s="155">
        <v>5</v>
      </c>
      <c r="G18" s="155">
        <v>4</v>
      </c>
      <c r="H18" s="155">
        <v>35</v>
      </c>
      <c r="I18" s="155">
        <v>900</v>
      </c>
      <c r="J18" s="155">
        <v>4</v>
      </c>
    </row>
    <row r="19" spans="1:15">
      <c r="A19" s="154"/>
      <c r="B19" s="154"/>
      <c r="C19" s="154"/>
      <c r="D19" s="155">
        <v>6</v>
      </c>
      <c r="E19" s="155">
        <v>4</v>
      </c>
      <c r="F19" s="155">
        <v>5</v>
      </c>
      <c r="G19" s="155">
        <v>4</v>
      </c>
      <c r="H19" s="155">
        <v>35</v>
      </c>
      <c r="I19" s="155">
        <v>900</v>
      </c>
      <c r="J19" s="155">
        <v>4</v>
      </c>
    </row>
    <row r="20" spans="1:15">
      <c r="A20" s="154"/>
      <c r="B20" s="154"/>
      <c r="C20" s="154"/>
      <c r="D20" s="155">
        <v>6</v>
      </c>
      <c r="E20" s="155">
        <v>5</v>
      </c>
      <c r="F20" s="155">
        <v>10</v>
      </c>
      <c r="G20" s="155">
        <v>5</v>
      </c>
      <c r="H20" s="155">
        <v>65</v>
      </c>
      <c r="I20" s="155">
        <v>1900</v>
      </c>
      <c r="J20" s="155">
        <v>2</v>
      </c>
    </row>
    <row r="21" spans="1:15">
      <c r="A21" s="154"/>
      <c r="B21" s="154"/>
      <c r="C21" s="154"/>
    </row>
    <row r="23" spans="1:15">
      <c r="B23" s="10" t="s">
        <v>135</v>
      </c>
    </row>
    <row r="24" spans="1:15">
      <c r="B24" t="s">
        <v>134</v>
      </c>
    </row>
    <row r="25" spans="1:15">
      <c r="B25" t="s">
        <v>133</v>
      </c>
    </row>
    <row r="26" spans="1:15">
      <c r="B26" t="s">
        <v>132</v>
      </c>
    </row>
    <row r="28" spans="1:15">
      <c r="B28" s="10" t="s">
        <v>401</v>
      </c>
    </row>
    <row r="29" spans="1:15">
      <c r="B29" s="10" t="s">
        <v>130</v>
      </c>
    </row>
    <row r="30" spans="1:15" ht="15" customHeight="1">
      <c r="B30" s="279" t="s">
        <v>128</v>
      </c>
      <c r="C30" s="279"/>
      <c r="D30" s="279"/>
      <c r="E30" s="279"/>
      <c r="F30" s="279"/>
      <c r="G30" s="279"/>
      <c r="H30" s="279"/>
      <c r="J30" s="10" t="s">
        <v>403</v>
      </c>
    </row>
    <row r="31" spans="1:15" ht="15" customHeight="1">
      <c r="B31" s="49"/>
      <c r="C31" s="276" t="s">
        <v>125</v>
      </c>
      <c r="D31" s="277"/>
      <c r="E31" s="278"/>
      <c r="F31" s="276" t="s">
        <v>124</v>
      </c>
      <c r="G31" s="277"/>
      <c r="H31" s="278"/>
      <c r="J31" s="10" t="s">
        <v>131</v>
      </c>
    </row>
    <row r="32" spans="1:15">
      <c r="B32" s="48" t="s">
        <v>116</v>
      </c>
      <c r="C32" s="52" t="s">
        <v>115</v>
      </c>
      <c r="D32" s="51" t="s">
        <v>114</v>
      </c>
      <c r="E32" s="50" t="s">
        <v>113</v>
      </c>
      <c r="F32" s="52" t="s">
        <v>115</v>
      </c>
      <c r="G32" s="51" t="s">
        <v>114</v>
      </c>
      <c r="H32" s="50" t="s">
        <v>113</v>
      </c>
      <c r="J32" s="279" t="s">
        <v>129</v>
      </c>
      <c r="K32" s="279"/>
      <c r="L32" s="279"/>
      <c r="M32" s="279"/>
      <c r="N32" s="279"/>
      <c r="O32" s="279"/>
    </row>
    <row r="33" spans="2:15">
      <c r="B33" s="49" t="s">
        <v>112</v>
      </c>
      <c r="C33" s="3">
        <v>4000</v>
      </c>
      <c r="D33" s="4">
        <v>8000</v>
      </c>
      <c r="E33" s="16">
        <v>8000</v>
      </c>
      <c r="F33" s="3">
        <v>2000</v>
      </c>
      <c r="G33" s="4">
        <v>4000</v>
      </c>
      <c r="H33" s="16">
        <v>4000</v>
      </c>
      <c r="J33" s="49"/>
      <c r="K33" s="280" t="s">
        <v>127</v>
      </c>
      <c r="L33" s="276" t="s">
        <v>126</v>
      </c>
      <c r="M33" s="277"/>
      <c r="N33" s="277"/>
      <c r="O33" s="278"/>
    </row>
    <row r="34" spans="2:15">
      <c r="B34" s="48" t="s">
        <v>111</v>
      </c>
      <c r="C34" s="3">
        <v>12000</v>
      </c>
      <c r="D34" s="4">
        <v>32000</v>
      </c>
      <c r="E34" s="16">
        <v>36000</v>
      </c>
      <c r="F34" s="3">
        <v>8000</v>
      </c>
      <c r="G34" s="4">
        <v>26000</v>
      </c>
      <c r="H34" s="16">
        <v>16000</v>
      </c>
      <c r="J34" s="48" t="s">
        <v>123</v>
      </c>
      <c r="K34" s="281"/>
      <c r="L34" s="52" t="s">
        <v>122</v>
      </c>
      <c r="M34" s="51" t="s">
        <v>121</v>
      </c>
      <c r="N34" s="51" t="s">
        <v>120</v>
      </c>
      <c r="O34" s="50" t="s">
        <v>117</v>
      </c>
    </row>
    <row r="35" spans="2:15">
      <c r="B35" s="47" t="s">
        <v>110</v>
      </c>
      <c r="C35" s="5">
        <v>4000</v>
      </c>
      <c r="D35" s="6">
        <v>20000</v>
      </c>
      <c r="E35" s="17">
        <v>16000</v>
      </c>
      <c r="F35" s="5">
        <v>10000</v>
      </c>
      <c r="G35" s="6">
        <v>30000</v>
      </c>
      <c r="H35" s="17">
        <v>20000</v>
      </c>
      <c r="J35" s="49">
        <v>1</v>
      </c>
      <c r="K35" s="49">
        <v>140000</v>
      </c>
      <c r="L35">
        <v>80000</v>
      </c>
      <c r="M35" s="2">
        <v>40000</v>
      </c>
      <c r="N35" s="2">
        <v>80000</v>
      </c>
      <c r="O35" s="15">
        <f>SUM(L35:N35)</f>
        <v>200000</v>
      </c>
    </row>
    <row r="36" spans="2:15">
      <c r="B36" s="49"/>
      <c r="C36" s="276" t="s">
        <v>119</v>
      </c>
      <c r="D36" s="277"/>
      <c r="E36" s="278"/>
      <c r="F36" s="276" t="s">
        <v>118</v>
      </c>
      <c r="G36" s="277"/>
      <c r="H36" s="278"/>
      <c r="J36" s="48">
        <v>2</v>
      </c>
      <c r="K36" s="48">
        <v>120000</v>
      </c>
      <c r="L36">
        <v>80000</v>
      </c>
      <c r="M36" s="4">
        <v>40000</v>
      </c>
      <c r="N36" s="4">
        <v>40000</v>
      </c>
      <c r="O36" s="16">
        <f>SUM(L36:N36)</f>
        <v>160000</v>
      </c>
    </row>
    <row r="37" spans="2:15">
      <c r="B37" s="48" t="s">
        <v>116</v>
      </c>
      <c r="C37" s="52" t="s">
        <v>115</v>
      </c>
      <c r="D37" s="51" t="s">
        <v>114</v>
      </c>
      <c r="E37" s="50" t="s">
        <v>113</v>
      </c>
      <c r="F37" s="52" t="s">
        <v>115</v>
      </c>
      <c r="G37" s="51" t="s">
        <v>114</v>
      </c>
      <c r="H37" s="50" t="s">
        <v>113</v>
      </c>
      <c r="J37" s="48">
        <v>3</v>
      </c>
      <c r="K37" s="48">
        <v>80000</v>
      </c>
      <c r="L37">
        <v>20000</v>
      </c>
      <c r="M37" s="4">
        <v>40000</v>
      </c>
      <c r="N37" s="4">
        <v>20000</v>
      </c>
      <c r="O37" s="16">
        <f>SUM(L37:N37)</f>
        <v>80000</v>
      </c>
    </row>
    <row r="38" spans="2:15">
      <c r="B38" s="49" t="s">
        <v>112</v>
      </c>
      <c r="C38" s="3">
        <v>0</v>
      </c>
      <c r="D38" s="4">
        <v>0</v>
      </c>
      <c r="E38" s="16">
        <v>0</v>
      </c>
      <c r="F38" s="3">
        <v>0</v>
      </c>
      <c r="G38" s="4">
        <v>0</v>
      </c>
      <c r="H38" s="16">
        <v>0</v>
      </c>
      <c r="J38" s="47">
        <v>4</v>
      </c>
      <c r="K38" s="47">
        <v>60000</v>
      </c>
      <c r="L38" s="5">
        <v>2000</v>
      </c>
      <c r="M38" s="6">
        <v>2000</v>
      </c>
      <c r="N38" s="6">
        <v>0</v>
      </c>
      <c r="O38" s="17">
        <f>SUM(L38:N38)</f>
        <v>4000</v>
      </c>
    </row>
    <row r="39" spans="2:15">
      <c r="B39" s="48" t="s">
        <v>111</v>
      </c>
      <c r="C39" s="3">
        <v>2000</v>
      </c>
      <c r="D39" s="4">
        <v>8000</v>
      </c>
      <c r="E39" s="16">
        <v>10000</v>
      </c>
      <c r="F39" s="3">
        <v>0</v>
      </c>
      <c r="G39" s="4">
        <v>4000</v>
      </c>
      <c r="H39" s="16">
        <v>6000</v>
      </c>
      <c r="J39" s="47" t="s">
        <v>117</v>
      </c>
      <c r="K39" s="47">
        <f>SUM(K35:K38)</f>
        <v>400000</v>
      </c>
      <c r="L39" s="5">
        <f>SUM(L35:L38)</f>
        <v>182000</v>
      </c>
      <c r="M39" s="6">
        <f>SUM(M35:M38)</f>
        <v>122000</v>
      </c>
      <c r="N39" s="6">
        <f>SUM(N35:N38)</f>
        <v>140000</v>
      </c>
      <c r="O39" s="17">
        <f>SUM(L39:N39)</f>
        <v>444000</v>
      </c>
    </row>
    <row r="40" spans="2:15">
      <c r="B40" s="47" t="s">
        <v>110</v>
      </c>
      <c r="C40" s="5">
        <v>8000</v>
      </c>
      <c r="D40" s="6">
        <v>22000</v>
      </c>
      <c r="E40" s="17">
        <v>30000</v>
      </c>
      <c r="F40" s="5">
        <v>0</v>
      </c>
      <c r="G40" s="6">
        <v>16000</v>
      </c>
      <c r="H40" s="17">
        <v>34000</v>
      </c>
    </row>
    <row r="41" spans="2:15">
      <c r="B41" s="4"/>
      <c r="C41" s="4"/>
      <c r="D41" s="4"/>
      <c r="E41" s="4"/>
      <c r="F41" s="4"/>
      <c r="G41" s="4"/>
      <c r="H41" s="4"/>
    </row>
    <row r="42" spans="2:15">
      <c r="B42" s="57" t="s">
        <v>404</v>
      </c>
      <c r="C42" s="4"/>
      <c r="H42" s="4"/>
    </row>
    <row r="43" spans="2:15">
      <c r="B43" s="1"/>
      <c r="C43" s="49"/>
      <c r="D43" s="285" t="s">
        <v>13</v>
      </c>
      <c r="E43" s="286"/>
      <c r="F43" s="287"/>
      <c r="G43" s="49"/>
      <c r="H43" s="4"/>
    </row>
    <row r="44" spans="2:15">
      <c r="B44" s="61" t="s">
        <v>138</v>
      </c>
      <c r="C44" s="58" t="s">
        <v>137</v>
      </c>
      <c r="D44" s="64" t="s">
        <v>14</v>
      </c>
      <c r="E44" s="9" t="s">
        <v>15</v>
      </c>
      <c r="F44" s="63" t="s">
        <v>16</v>
      </c>
      <c r="G44" s="71" t="s">
        <v>117</v>
      </c>
      <c r="H44" s="4"/>
    </row>
    <row r="45" spans="2:15">
      <c r="B45" s="288">
        <v>0</v>
      </c>
      <c r="C45" s="65" t="s">
        <v>115</v>
      </c>
      <c r="D45" s="68">
        <v>0.5</v>
      </c>
      <c r="E45" s="67">
        <v>2</v>
      </c>
      <c r="F45" s="66">
        <v>0.9</v>
      </c>
      <c r="G45" s="65">
        <f t="shared" ref="G45:G53" si="0">SUM(D45:F45)</f>
        <v>3.4</v>
      </c>
      <c r="H45" s="4"/>
    </row>
    <row r="46" spans="2:15">
      <c r="B46" s="289"/>
      <c r="C46" s="62" t="s">
        <v>114</v>
      </c>
      <c r="D46" s="64">
        <v>1.1000000000000001</v>
      </c>
      <c r="E46" s="9">
        <v>3</v>
      </c>
      <c r="F46" s="63">
        <v>1.2</v>
      </c>
      <c r="G46" s="62">
        <f t="shared" si="0"/>
        <v>5.3</v>
      </c>
    </row>
    <row r="47" spans="2:15">
      <c r="B47" s="290"/>
      <c r="C47" s="58" t="s">
        <v>113</v>
      </c>
      <c r="D47" s="61">
        <v>1.4</v>
      </c>
      <c r="E47" s="69">
        <v>3.9</v>
      </c>
      <c r="F47" s="59">
        <v>1.8</v>
      </c>
      <c r="G47" s="58">
        <f t="shared" si="0"/>
        <v>7.1</v>
      </c>
    </row>
    <row r="48" spans="2:15">
      <c r="B48" s="288">
        <v>1</v>
      </c>
      <c r="C48" s="65" t="s">
        <v>115</v>
      </c>
      <c r="D48" s="68">
        <v>0.8</v>
      </c>
      <c r="E48" s="67">
        <v>3.2</v>
      </c>
      <c r="F48" s="66">
        <v>1.3</v>
      </c>
      <c r="G48" s="65">
        <f t="shared" si="0"/>
        <v>5.3</v>
      </c>
    </row>
    <row r="49" spans="2:26">
      <c r="B49" s="289"/>
      <c r="C49" s="62" t="s">
        <v>114</v>
      </c>
      <c r="D49" s="64">
        <v>1.5</v>
      </c>
      <c r="E49" s="9">
        <v>3.9</v>
      </c>
      <c r="F49" s="63">
        <v>1.6</v>
      </c>
      <c r="G49" s="62">
        <f t="shared" si="0"/>
        <v>7</v>
      </c>
    </row>
    <row r="50" spans="2:26">
      <c r="B50" s="290"/>
      <c r="C50" s="58" t="s">
        <v>113</v>
      </c>
      <c r="D50" s="61">
        <v>1.8</v>
      </c>
      <c r="E50" s="69">
        <v>4.9000000000000004</v>
      </c>
      <c r="F50" s="59">
        <v>2.2000000000000002</v>
      </c>
      <c r="G50" s="58">
        <f t="shared" si="0"/>
        <v>8.9</v>
      </c>
    </row>
    <row r="51" spans="2:26">
      <c r="B51" s="288">
        <v>2</v>
      </c>
      <c r="C51" s="65" t="s">
        <v>115</v>
      </c>
      <c r="D51" s="68">
        <v>1.4</v>
      </c>
      <c r="E51" s="67">
        <v>5.2</v>
      </c>
      <c r="F51" s="66">
        <v>2.1</v>
      </c>
      <c r="G51" s="65">
        <f t="shared" si="0"/>
        <v>8.6999999999999993</v>
      </c>
    </row>
    <row r="52" spans="2:26">
      <c r="B52" s="289"/>
      <c r="C52" s="62" t="s">
        <v>114</v>
      </c>
      <c r="D52" s="64">
        <v>2.1</v>
      </c>
      <c r="E52" s="9">
        <v>5.7</v>
      </c>
      <c r="F52" s="63">
        <v>2.2999999999999998</v>
      </c>
      <c r="G52" s="62">
        <f t="shared" si="0"/>
        <v>10.100000000000001</v>
      </c>
    </row>
    <row r="53" spans="2:26">
      <c r="B53" s="290"/>
      <c r="C53" s="58" t="s">
        <v>113</v>
      </c>
      <c r="D53" s="61">
        <v>2.5</v>
      </c>
      <c r="E53" s="60">
        <v>6.8</v>
      </c>
      <c r="F53" s="59">
        <v>3.1</v>
      </c>
      <c r="G53" s="58">
        <f t="shared" si="0"/>
        <v>12.4</v>
      </c>
    </row>
    <row r="54" spans="2:26">
      <c r="C54" s="9" t="s">
        <v>407</v>
      </c>
      <c r="D54" s="9"/>
      <c r="E54" s="158"/>
      <c r="F54" s="9"/>
      <c r="G54" s="9"/>
      <c r="R54" s="4"/>
      <c r="S54" s="4"/>
      <c r="T54" s="4"/>
      <c r="U54" s="4"/>
      <c r="V54" s="4"/>
      <c r="W54" s="4"/>
    </row>
    <row r="55" spans="2:26">
      <c r="B55" s="157"/>
      <c r="C55" s="9" t="s">
        <v>408</v>
      </c>
      <c r="D55" s="9"/>
      <c r="E55" s="158"/>
      <c r="F55" s="9"/>
      <c r="G55" s="9"/>
      <c r="R55" s="57"/>
      <c r="S55" s="57"/>
      <c r="T55" s="57"/>
      <c r="U55" s="57"/>
      <c r="V55" s="57"/>
      <c r="W55" s="57"/>
    </row>
    <row r="56" spans="2:26" ht="15.75" thickBot="1">
      <c r="B56" s="157"/>
      <c r="C56" s="9" t="s">
        <v>409</v>
      </c>
      <c r="D56" s="9"/>
      <c r="E56" s="158"/>
      <c r="F56" s="9"/>
      <c r="G56" s="9"/>
      <c r="O56" s="11"/>
      <c r="R56" s="72"/>
      <c r="S56" s="72"/>
      <c r="T56" s="308"/>
      <c r="U56" s="308"/>
      <c r="V56" s="308"/>
      <c r="W56" s="308"/>
    </row>
    <row r="57" spans="2:26">
      <c r="B57" s="157"/>
      <c r="C57" s="9"/>
      <c r="D57" s="9"/>
      <c r="E57" s="158"/>
      <c r="F57" s="9"/>
      <c r="G57" s="9"/>
      <c r="O57" s="11"/>
      <c r="R57" s="72"/>
      <c r="S57" s="72"/>
      <c r="T57" s="72"/>
      <c r="U57" s="170"/>
      <c r="V57" s="72"/>
      <c r="W57" s="57"/>
      <c r="X57" s="111"/>
      <c r="Y57" s="111"/>
      <c r="Z57" s="112"/>
    </row>
    <row r="58" spans="2:26">
      <c r="B58" s="57" t="s">
        <v>405</v>
      </c>
      <c r="C58" s="4"/>
      <c r="D58" s="4"/>
      <c r="E58" s="4"/>
      <c r="F58" s="4"/>
      <c r="G58" s="4"/>
      <c r="O58" s="11"/>
      <c r="R58" s="72"/>
      <c r="S58" s="72"/>
      <c r="T58" s="72"/>
      <c r="U58" s="72"/>
      <c r="V58" s="72"/>
      <c r="W58" s="57"/>
      <c r="X58" s="4"/>
      <c r="Y58" s="4"/>
      <c r="Z58" s="127"/>
    </row>
    <row r="59" spans="2:26">
      <c r="B59" s="76" t="s">
        <v>146</v>
      </c>
      <c r="C59" s="77"/>
      <c r="D59" s="282" t="s">
        <v>147</v>
      </c>
      <c r="E59" s="283"/>
      <c r="F59" s="284"/>
      <c r="G59" s="235"/>
      <c r="O59" s="11"/>
      <c r="R59" s="72"/>
      <c r="S59" s="72"/>
      <c r="T59" s="72"/>
      <c r="U59" s="72"/>
      <c r="V59" s="72"/>
      <c r="W59" s="57"/>
      <c r="X59" s="4"/>
      <c r="Y59" s="4"/>
      <c r="Z59" s="127"/>
    </row>
    <row r="60" spans="2:26" ht="15.75" thickBot="1">
      <c r="B60" s="78" t="s">
        <v>148</v>
      </c>
      <c r="C60" s="78" t="s">
        <v>22</v>
      </c>
      <c r="D60" s="78" t="s">
        <v>122</v>
      </c>
      <c r="E60" s="78" t="s">
        <v>121</v>
      </c>
      <c r="F60" s="18" t="s">
        <v>120</v>
      </c>
      <c r="G60" s="9"/>
      <c r="O60" s="11"/>
      <c r="R60" s="72"/>
      <c r="S60" s="72"/>
      <c r="T60" s="72"/>
      <c r="U60" s="72"/>
      <c r="V60" s="72"/>
      <c r="W60" s="57"/>
      <c r="X60" s="130"/>
      <c r="Y60" s="130"/>
      <c r="Z60" s="132"/>
    </row>
    <row r="61" spans="2:26">
      <c r="B61" s="65" t="s">
        <v>14</v>
      </c>
      <c r="C61" s="62">
        <v>0</v>
      </c>
      <c r="D61" s="78">
        <v>1.45</v>
      </c>
      <c r="E61" s="78">
        <v>1.45</v>
      </c>
      <c r="F61" s="78">
        <v>1.45</v>
      </c>
      <c r="G61" s="9"/>
      <c r="O61" s="11"/>
      <c r="R61" s="4"/>
      <c r="S61" s="4"/>
      <c r="T61" s="4"/>
      <c r="U61" s="4"/>
      <c r="V61" s="4"/>
      <c r="W61" s="4"/>
    </row>
    <row r="62" spans="2:26">
      <c r="B62" s="62" t="s">
        <v>15</v>
      </c>
      <c r="C62" s="62">
        <v>0.9</v>
      </c>
      <c r="D62" s="78">
        <v>9</v>
      </c>
      <c r="E62" s="78">
        <v>1.7</v>
      </c>
      <c r="F62" s="78">
        <v>0.5</v>
      </c>
      <c r="G62" s="9"/>
      <c r="O62" s="11"/>
    </row>
    <row r="63" spans="2:26">
      <c r="B63" s="58" t="s">
        <v>16</v>
      </c>
      <c r="C63" s="58">
        <v>0.5</v>
      </c>
      <c r="D63" s="78">
        <v>4.0999999999999996</v>
      </c>
      <c r="E63" s="78">
        <v>1.2</v>
      </c>
      <c r="F63" s="78">
        <v>0.5</v>
      </c>
      <c r="G63" s="9"/>
      <c r="O63" s="11"/>
    </row>
    <row r="64" spans="2:26">
      <c r="B64" t="s">
        <v>300</v>
      </c>
      <c r="C64" t="s">
        <v>18</v>
      </c>
      <c r="O64" s="11"/>
    </row>
    <row r="65" spans="1:15">
      <c r="A65" s="10" t="s">
        <v>427</v>
      </c>
      <c r="B65" t="s">
        <v>19</v>
      </c>
      <c r="G65" s="11"/>
      <c r="O65" s="11"/>
    </row>
    <row r="66" spans="1:15">
      <c r="B66" t="s">
        <v>20</v>
      </c>
      <c r="G66" s="11"/>
      <c r="O66" s="11"/>
    </row>
    <row r="67" spans="1:15">
      <c r="B67" t="s">
        <v>21</v>
      </c>
      <c r="G67" s="11"/>
      <c r="O67" s="11"/>
    </row>
    <row r="68" spans="1:15">
      <c r="B68" s="169" t="s">
        <v>428</v>
      </c>
      <c r="C68" s="18"/>
      <c r="D68" s="276" t="s">
        <v>147</v>
      </c>
      <c r="E68" s="277"/>
      <c r="F68" s="278"/>
      <c r="G68" s="11"/>
      <c r="O68" s="11"/>
    </row>
    <row r="69" spans="1:15">
      <c r="B69" s="78" t="s">
        <v>148</v>
      </c>
      <c r="C69" s="78" t="s">
        <v>22</v>
      </c>
      <c r="D69" s="78" t="s">
        <v>122</v>
      </c>
      <c r="E69" s="18"/>
      <c r="F69" s="168" t="s">
        <v>120</v>
      </c>
      <c r="O69" s="11"/>
    </row>
    <row r="70" spans="1:15">
      <c r="B70" s="169" t="s">
        <v>14</v>
      </c>
      <c r="C70" s="169">
        <v>0</v>
      </c>
      <c r="D70" s="169">
        <v>1.7</v>
      </c>
      <c r="E70" s="18"/>
      <c r="F70" s="169">
        <v>1.7</v>
      </c>
      <c r="O70" s="11"/>
    </row>
    <row r="71" spans="1:15">
      <c r="A71" s="10"/>
      <c r="B71" s="169" t="s">
        <v>15</v>
      </c>
      <c r="C71" s="169">
        <v>1</v>
      </c>
      <c r="D71" s="169">
        <v>10</v>
      </c>
      <c r="E71" s="18"/>
      <c r="F71" s="169">
        <v>0.5</v>
      </c>
    </row>
    <row r="72" spans="1:15">
      <c r="B72" s="169" t="s">
        <v>16</v>
      </c>
      <c r="C72" s="169">
        <v>0.5</v>
      </c>
      <c r="D72" s="169">
        <v>2</v>
      </c>
      <c r="E72" s="18"/>
      <c r="F72" s="169">
        <v>2.5</v>
      </c>
    </row>
    <row r="73" spans="1:15">
      <c r="B73" s="9" t="s">
        <v>426</v>
      </c>
      <c r="C73" s="167" t="s">
        <v>425</v>
      </c>
    </row>
    <row r="76" spans="1:15">
      <c r="B76" s="10" t="s">
        <v>151</v>
      </c>
      <c r="K76" s="10" t="s">
        <v>152</v>
      </c>
    </row>
    <row r="77" spans="1:15">
      <c r="B77" t="s">
        <v>153</v>
      </c>
      <c r="K77" t="s">
        <v>154</v>
      </c>
    </row>
    <row r="78" spans="1:15">
      <c r="B78" t="s">
        <v>155</v>
      </c>
      <c r="K78" t="s">
        <v>156</v>
      </c>
    </row>
    <row r="79" spans="1:15">
      <c r="B79" t="s">
        <v>157</v>
      </c>
      <c r="K79" t="s">
        <v>158</v>
      </c>
    </row>
    <row r="82" spans="2:15">
      <c r="B82" s="10" t="s">
        <v>433</v>
      </c>
      <c r="K82" s="10" t="s">
        <v>60</v>
      </c>
    </row>
    <row r="83" spans="2:15">
      <c r="B83" s="1"/>
      <c r="C83" s="15"/>
      <c r="D83" s="285" t="s">
        <v>160</v>
      </c>
      <c r="E83" s="286"/>
      <c r="F83" s="286"/>
      <c r="G83" s="286"/>
      <c r="H83" s="286"/>
      <c r="I83" s="287"/>
      <c r="K83" t="s">
        <v>61</v>
      </c>
    </row>
    <row r="84" spans="2:15">
      <c r="B84" s="5"/>
      <c r="C84" s="17"/>
      <c r="D84" s="52" t="s">
        <v>161</v>
      </c>
      <c r="E84" s="51" t="s">
        <v>162</v>
      </c>
      <c r="F84" s="51" t="s">
        <v>163</v>
      </c>
      <c r="G84" s="51" t="s">
        <v>164</v>
      </c>
      <c r="H84" s="51">
        <v>5</v>
      </c>
      <c r="I84" s="50">
        <v>6</v>
      </c>
      <c r="K84" t="s">
        <v>62</v>
      </c>
    </row>
    <row r="85" spans="2:15">
      <c r="B85" s="297" t="s">
        <v>165</v>
      </c>
      <c r="C85" s="49" t="s">
        <v>161</v>
      </c>
      <c r="D85" s="1">
        <v>2.5</v>
      </c>
      <c r="E85" s="2">
        <v>10</v>
      </c>
      <c r="F85" s="2">
        <v>20</v>
      </c>
      <c r="G85" s="2">
        <v>20</v>
      </c>
      <c r="H85" s="2">
        <v>5</v>
      </c>
      <c r="I85" s="15">
        <v>15</v>
      </c>
    </row>
    <row r="86" spans="2:15">
      <c r="B86" s="291"/>
      <c r="C86" s="48" t="s">
        <v>162</v>
      </c>
      <c r="D86" s="3">
        <v>10</v>
      </c>
      <c r="E86" s="4">
        <v>2.5</v>
      </c>
      <c r="F86" s="4">
        <v>20</v>
      </c>
      <c r="G86" s="4">
        <v>20</v>
      </c>
      <c r="H86" s="4">
        <v>5</v>
      </c>
      <c r="I86" s="16">
        <v>15</v>
      </c>
    </row>
    <row r="87" spans="2:15">
      <c r="B87" s="291"/>
      <c r="C87" s="48" t="s">
        <v>163</v>
      </c>
      <c r="D87" s="3">
        <v>20</v>
      </c>
      <c r="E87" s="4">
        <v>20</v>
      </c>
      <c r="F87" s="4">
        <v>2.5</v>
      </c>
      <c r="G87" s="4">
        <v>10</v>
      </c>
      <c r="H87" s="4">
        <v>15</v>
      </c>
      <c r="I87" s="16">
        <v>5</v>
      </c>
    </row>
    <row r="88" spans="2:15">
      <c r="B88" s="291"/>
      <c r="C88" s="48" t="s">
        <v>164</v>
      </c>
      <c r="D88" s="3">
        <v>20</v>
      </c>
      <c r="E88" s="4">
        <v>20</v>
      </c>
      <c r="F88" s="4">
        <v>10</v>
      </c>
      <c r="G88" s="4">
        <v>2.5</v>
      </c>
      <c r="H88" s="4">
        <v>15</v>
      </c>
      <c r="I88" s="16">
        <v>5</v>
      </c>
    </row>
    <row r="89" spans="2:15">
      <c r="B89" s="291"/>
      <c r="C89" s="48">
        <v>5</v>
      </c>
      <c r="D89" s="3">
        <v>5</v>
      </c>
      <c r="E89" s="4">
        <v>5</v>
      </c>
      <c r="F89" s="4">
        <v>15</v>
      </c>
      <c r="G89" s="4">
        <v>15</v>
      </c>
      <c r="H89" s="4">
        <v>2.5</v>
      </c>
      <c r="I89" s="16">
        <v>10</v>
      </c>
    </row>
    <row r="90" spans="2:15">
      <c r="B90" s="292"/>
      <c r="C90" s="47">
        <v>6</v>
      </c>
      <c r="D90" s="5">
        <v>15</v>
      </c>
      <c r="E90" s="6">
        <v>15</v>
      </c>
      <c r="F90" s="6">
        <v>5</v>
      </c>
      <c r="G90" s="6">
        <v>5</v>
      </c>
      <c r="H90" s="6">
        <v>10</v>
      </c>
      <c r="I90" s="17">
        <v>2.5</v>
      </c>
    </row>
    <row r="92" spans="2:15" ht="18">
      <c r="K92" t="s">
        <v>63</v>
      </c>
      <c r="N92" t="s">
        <v>64</v>
      </c>
    </row>
    <row r="93" spans="2:15" ht="18">
      <c r="B93" s="10" t="s">
        <v>434</v>
      </c>
      <c r="K93" t="s">
        <v>65</v>
      </c>
      <c r="N93" t="s">
        <v>66</v>
      </c>
    </row>
    <row r="94" spans="2:15" ht="18">
      <c r="B94" s="18" t="s">
        <v>39</v>
      </c>
      <c r="C94" s="2" t="s">
        <v>40</v>
      </c>
      <c r="D94" s="2" t="s">
        <v>41</v>
      </c>
      <c r="E94" s="15" t="s">
        <v>42</v>
      </c>
      <c r="K94" t="s">
        <v>67</v>
      </c>
    </row>
    <row r="95" spans="2:15">
      <c r="B95" s="3" t="s">
        <v>14</v>
      </c>
      <c r="C95" s="1">
        <v>28507</v>
      </c>
      <c r="D95" s="2">
        <v>-0.02</v>
      </c>
      <c r="E95" s="15">
        <v>-0.123</v>
      </c>
    </row>
    <row r="96" spans="2:15">
      <c r="B96" s="3" t="s">
        <v>15</v>
      </c>
      <c r="C96" s="3">
        <v>139173</v>
      </c>
      <c r="D96" s="4">
        <v>-1.2849999999999999</v>
      </c>
      <c r="E96" s="16">
        <v>-9.4E-2</v>
      </c>
      <c r="O96" t="s">
        <v>410</v>
      </c>
    </row>
    <row r="97" spans="1:17">
      <c r="B97" s="5" t="s">
        <v>16</v>
      </c>
      <c r="C97" s="5">
        <v>219113</v>
      </c>
      <c r="D97" s="6">
        <v>-1.3320000000000001</v>
      </c>
      <c r="E97" s="17">
        <v>-0.1</v>
      </c>
      <c r="G97" s="10" t="s">
        <v>33</v>
      </c>
      <c r="N97" t="s">
        <v>411</v>
      </c>
      <c r="O97" t="s">
        <v>14</v>
      </c>
      <c r="P97" t="s">
        <v>15</v>
      </c>
      <c r="Q97" t="s">
        <v>16</v>
      </c>
    </row>
    <row r="98" spans="1:17">
      <c r="N98">
        <v>1</v>
      </c>
      <c r="O98">
        <f>$C$95*POWER(N98,$D$95)*EXP($E$95*N98)</f>
        <v>25207.704228621322</v>
      </c>
      <c r="P98">
        <f>$C$96*POWER(N98,$D$96)*EXP($E$96*N98)</f>
        <v>126686.78286933426</v>
      </c>
      <c r="Q98">
        <f>$C$97*POWER(N98,$D$97)*EXP($E$97*N98)</f>
        <v>198261.6411781132</v>
      </c>
    </row>
    <row r="99" spans="1:17">
      <c r="N99">
        <v>5</v>
      </c>
      <c r="O99">
        <f t="shared" ref="O99:O104" si="1">$C$95*POWER(N99,$D$95)*EXP($E$95*N99)</f>
        <v>14923.85460429357</v>
      </c>
      <c r="P99">
        <f t="shared" ref="P99:P104" si="2">$C$96*POWER(N99,$D$96)*EXP($E$96*N99)</f>
        <v>10996.64301857085</v>
      </c>
      <c r="Q99">
        <f t="shared" ref="Q99:Q104" si="3">$C$97*POWER(N99,$D$97)*EXP($E$97*N99)</f>
        <v>15577.324188348515</v>
      </c>
    </row>
    <row r="100" spans="1:17">
      <c r="N100">
        <v>10</v>
      </c>
      <c r="O100">
        <f t="shared" si="1"/>
        <v>7957.3654327904278</v>
      </c>
      <c r="P100">
        <f t="shared" si="2"/>
        <v>2820.4485118873376</v>
      </c>
      <c r="Q100">
        <f t="shared" si="3"/>
        <v>3752.957645599517</v>
      </c>
    </row>
    <row r="101" spans="1:17">
      <c r="N101">
        <v>15</v>
      </c>
      <c r="O101">
        <f t="shared" si="1"/>
        <v>4267.3314005635884</v>
      </c>
      <c r="P101">
        <f t="shared" si="2"/>
        <v>1046.9417080807978</v>
      </c>
      <c r="Q101">
        <f t="shared" si="3"/>
        <v>1326.3949666025098</v>
      </c>
    </row>
    <row r="102" spans="1:17">
      <c r="N102">
        <v>20</v>
      </c>
      <c r="O102">
        <f t="shared" si="1"/>
        <v>2293.8577924046085</v>
      </c>
      <c r="P102">
        <f t="shared" si="2"/>
        <v>452.12426790276174</v>
      </c>
      <c r="Q102">
        <f t="shared" si="3"/>
        <v>548.41235087424684</v>
      </c>
    </row>
    <row r="103" spans="1:17">
      <c r="G103" t="s">
        <v>34</v>
      </c>
      <c r="J103" t="s">
        <v>35</v>
      </c>
      <c r="N103">
        <v>25</v>
      </c>
      <c r="O103">
        <f t="shared" si="1"/>
        <v>1234.6310180806258</v>
      </c>
      <c r="P103">
        <f t="shared" si="2"/>
        <v>212.13388483835641</v>
      </c>
      <c r="Q103">
        <f t="shared" si="3"/>
        <v>247.10176571915389</v>
      </c>
    </row>
    <row r="104" spans="1:17" ht="18">
      <c r="B104" s="93" t="s">
        <v>177</v>
      </c>
      <c r="G104" t="s">
        <v>36</v>
      </c>
      <c r="J104" t="s">
        <v>37</v>
      </c>
      <c r="N104">
        <v>30</v>
      </c>
      <c r="O104">
        <f t="shared" si="1"/>
        <v>665.06248756229866</v>
      </c>
      <c r="P104">
        <f t="shared" si="2"/>
        <v>104.89233122105956</v>
      </c>
      <c r="Q104">
        <f t="shared" si="3"/>
        <v>117.55989461177319</v>
      </c>
    </row>
    <row r="105" spans="1:17">
      <c r="B105" s="92" t="s">
        <v>144</v>
      </c>
    </row>
    <row r="106" spans="1:17">
      <c r="J106" s="4"/>
      <c r="K106" s="4"/>
      <c r="L106" s="11"/>
      <c r="M106" s="11"/>
      <c r="N106" s="11"/>
      <c r="O106" s="4"/>
    </row>
    <row r="107" spans="1:17">
      <c r="B107" t="s">
        <v>17</v>
      </c>
      <c r="C107" t="s">
        <v>143</v>
      </c>
      <c r="G107" t="s">
        <v>142</v>
      </c>
      <c r="H107" t="s">
        <v>141</v>
      </c>
      <c r="J107" s="9"/>
      <c r="K107" s="9"/>
      <c r="L107" s="9"/>
      <c r="M107" s="9"/>
      <c r="N107" s="9"/>
      <c r="O107" s="75"/>
    </row>
    <row r="108" spans="1:17">
      <c r="J108" s="74"/>
      <c r="K108" s="9"/>
      <c r="L108" s="9"/>
      <c r="M108" s="9"/>
      <c r="N108" s="9"/>
      <c r="O108" s="9"/>
    </row>
    <row r="109" spans="1:17">
      <c r="J109" s="74"/>
      <c r="K109" s="9"/>
      <c r="L109" s="9"/>
      <c r="M109" s="9"/>
      <c r="N109" s="9"/>
      <c r="O109" s="9"/>
    </row>
    <row r="110" spans="1:17">
      <c r="A110" s="1"/>
      <c r="B110" s="2"/>
      <c r="C110" s="2"/>
      <c r="D110" s="2"/>
      <c r="E110" s="2"/>
      <c r="F110" s="2"/>
      <c r="G110" s="2"/>
      <c r="H110" s="2"/>
      <c r="I110" s="15"/>
      <c r="J110" s="73"/>
      <c r="K110" s="67"/>
      <c r="L110" s="67"/>
      <c r="M110" s="67"/>
      <c r="N110" s="67"/>
      <c r="O110" s="67"/>
      <c r="P110" s="2"/>
      <c r="Q110" s="15"/>
    </row>
    <row r="111" spans="1:17">
      <c r="A111" s="3"/>
      <c r="B111" s="57"/>
      <c r="C111" s="4"/>
      <c r="D111" s="4"/>
      <c r="E111" s="4"/>
      <c r="F111" s="4"/>
      <c r="G111" s="4"/>
      <c r="H111" s="4"/>
      <c r="I111" s="16"/>
      <c r="J111" s="70"/>
      <c r="K111" s="72" t="s">
        <v>140</v>
      </c>
      <c r="L111" s="9"/>
      <c r="M111" s="9"/>
      <c r="N111" s="9"/>
      <c r="O111" s="9"/>
      <c r="P111" s="4"/>
      <c r="Q111" s="16"/>
    </row>
    <row r="112" spans="1:17">
      <c r="A112" s="3"/>
      <c r="B112" s="57" t="s">
        <v>139</v>
      </c>
      <c r="C112" s="4"/>
      <c r="D112" s="4"/>
      <c r="E112" s="4"/>
      <c r="F112" s="4"/>
      <c r="G112" s="4"/>
      <c r="H112" s="4"/>
      <c r="I112" s="16"/>
      <c r="J112" s="70"/>
      <c r="K112" s="9"/>
      <c r="L112" s="9"/>
      <c r="M112" s="9"/>
      <c r="N112" s="9"/>
      <c r="O112" s="9"/>
      <c r="P112" s="4"/>
      <c r="Q112" s="16"/>
    </row>
    <row r="113" spans="1:17">
      <c r="A113" s="3"/>
      <c r="B113" s="1"/>
      <c r="C113" s="49"/>
      <c r="D113" s="285" t="s">
        <v>13</v>
      </c>
      <c r="E113" s="286"/>
      <c r="F113" s="287"/>
      <c r="G113" s="49"/>
      <c r="H113" s="4"/>
      <c r="I113" s="16"/>
      <c r="J113" s="70"/>
      <c r="K113" s="4"/>
      <c r="L113" s="285" t="s">
        <v>14</v>
      </c>
      <c r="M113" s="286"/>
      <c r="N113" s="286"/>
      <c r="O113" s="287"/>
      <c r="P113" s="4" t="s">
        <v>32</v>
      </c>
      <c r="Q113" s="16"/>
    </row>
    <row r="114" spans="1:17">
      <c r="A114" s="3"/>
      <c r="B114" s="61" t="s">
        <v>138</v>
      </c>
      <c r="C114" s="58" t="s">
        <v>137</v>
      </c>
      <c r="D114" s="64" t="s">
        <v>14</v>
      </c>
      <c r="E114" s="9" t="s">
        <v>15</v>
      </c>
      <c r="F114" s="63" t="s">
        <v>16</v>
      </c>
      <c r="G114" s="71" t="s">
        <v>117</v>
      </c>
      <c r="H114" s="4"/>
      <c r="I114" s="16"/>
      <c r="J114" s="70"/>
      <c r="K114" s="4" t="s">
        <v>123</v>
      </c>
      <c r="L114" s="52" t="s">
        <v>115</v>
      </c>
      <c r="M114" s="51" t="s">
        <v>114</v>
      </c>
      <c r="N114" s="51" t="s">
        <v>113</v>
      </c>
      <c r="O114" s="56" t="s">
        <v>117</v>
      </c>
      <c r="P114" s="11"/>
      <c r="Q114" s="16"/>
    </row>
    <row r="115" spans="1:17">
      <c r="A115" s="3"/>
      <c r="B115" s="288">
        <v>0</v>
      </c>
      <c r="C115" s="65" t="s">
        <v>115</v>
      </c>
      <c r="D115" s="68">
        <v>0.5</v>
      </c>
      <c r="E115" s="67">
        <v>2</v>
      </c>
      <c r="F115" s="66">
        <v>0.9</v>
      </c>
      <c r="G115" s="65">
        <f t="shared" ref="G115:G123" si="4">SUM(D115:F115)</f>
        <v>3.4</v>
      </c>
      <c r="H115" s="4"/>
      <c r="I115" s="16"/>
      <c r="J115" s="70"/>
      <c r="K115" s="4">
        <v>1</v>
      </c>
      <c r="L115" s="3">
        <f>$D$115*$C$129+$D$118*$C$130+$D$121*$C$131</f>
        <v>17200</v>
      </c>
      <c r="M115" s="4">
        <f>$D$116*$D$129+$D$119*$D$130+$D$122*$D$131</f>
        <v>98800</v>
      </c>
      <c r="N115" s="4">
        <f>$D$117*$E$129+$D$120*$E$130+$D$123*$E$131</f>
        <v>116000</v>
      </c>
      <c r="O115" s="55">
        <f>SUM(L115:N115)</f>
        <v>232000</v>
      </c>
      <c r="P115" s="11"/>
      <c r="Q115" s="16"/>
    </row>
    <row r="116" spans="1:17">
      <c r="A116" s="3"/>
      <c r="B116" s="289"/>
      <c r="C116" s="62" t="s">
        <v>114</v>
      </c>
      <c r="D116" s="64">
        <v>1.1000000000000001</v>
      </c>
      <c r="E116" s="9">
        <v>3</v>
      </c>
      <c r="F116" s="63">
        <v>1.2</v>
      </c>
      <c r="G116" s="62">
        <f t="shared" si="4"/>
        <v>5.3</v>
      </c>
      <c r="H116" s="4"/>
      <c r="I116" s="16"/>
      <c r="J116" s="70"/>
      <c r="K116" s="4">
        <v>2</v>
      </c>
      <c r="L116" s="3">
        <f>$D$115*$F$129+$D$118*$F$130+$D$121*$F$131</f>
        <v>21400</v>
      </c>
      <c r="M116" s="4">
        <f>$D$116*$G$129+$D$119*$G$130+$D$122*$G$131</f>
        <v>106400</v>
      </c>
      <c r="N116" s="4">
        <f>$D$117*$H$129+$D$120*$H$130+$D$123*$H$131</f>
        <v>84400</v>
      </c>
      <c r="O116" s="55">
        <f>SUM(L116:N116)</f>
        <v>212200</v>
      </c>
      <c r="P116" s="11"/>
      <c r="Q116" s="16"/>
    </row>
    <row r="117" spans="1:17">
      <c r="A117" s="3"/>
      <c r="B117" s="290"/>
      <c r="C117" s="58" t="s">
        <v>113</v>
      </c>
      <c r="D117" s="61">
        <v>1.4</v>
      </c>
      <c r="E117" s="69">
        <v>3.9</v>
      </c>
      <c r="F117" s="59">
        <v>1.8</v>
      </c>
      <c r="G117" s="58">
        <f t="shared" si="4"/>
        <v>7.1</v>
      </c>
      <c r="H117" s="4"/>
      <c r="I117" s="16"/>
      <c r="J117" s="3"/>
      <c r="K117" s="4">
        <v>3</v>
      </c>
      <c r="L117" s="3">
        <f>$D$115*$C$134+$D$118*$C$135+$D$121*$C$136</f>
        <v>12800</v>
      </c>
      <c r="M117" s="4">
        <f>$D$116*$D$134+$D$119*$D$135+$D$122*$D$136</f>
        <v>58200</v>
      </c>
      <c r="N117" s="4">
        <f>$D$117*$E$134+$D$120*$E$135+$D$123*$E$136</f>
        <v>93000</v>
      </c>
      <c r="O117" s="54">
        <f>SUM(L117:N117)</f>
        <v>164000</v>
      </c>
      <c r="P117" s="11"/>
      <c r="Q117" s="16"/>
    </row>
    <row r="118" spans="1:17">
      <c r="A118" s="3"/>
      <c r="B118" s="288">
        <v>1</v>
      </c>
      <c r="C118" s="65" t="s">
        <v>115</v>
      </c>
      <c r="D118" s="68">
        <v>0.8</v>
      </c>
      <c r="E118" s="67">
        <v>3.2</v>
      </c>
      <c r="F118" s="66">
        <v>1.3</v>
      </c>
      <c r="G118" s="65">
        <f t="shared" si="4"/>
        <v>5.3</v>
      </c>
      <c r="H118" s="4"/>
      <c r="I118" s="16"/>
      <c r="J118" s="3"/>
      <c r="K118" s="4">
        <v>4</v>
      </c>
      <c r="L118" s="5">
        <f>$D$115*$F$134+$D$118*$F$135+$D$121*$F$136</f>
        <v>0</v>
      </c>
      <c r="M118" s="6">
        <f>$D$116*$G$134+$D$119*$G$135+$D$122*$G$136</f>
        <v>39600</v>
      </c>
      <c r="N118" s="6">
        <f>$D$117*$H$134+$D$120*$H$135+$D$123*$H$136</f>
        <v>95800</v>
      </c>
      <c r="O118" s="53">
        <f>SUM(L118:N118)</f>
        <v>135400</v>
      </c>
      <c r="P118" s="159">
        <f>SUM(O115:O118)</f>
        <v>743600</v>
      </c>
      <c r="Q118" s="16"/>
    </row>
    <row r="119" spans="1:17">
      <c r="A119" s="3"/>
      <c r="B119" s="289"/>
      <c r="C119" s="62" t="s">
        <v>114</v>
      </c>
      <c r="D119" s="64">
        <v>1.5</v>
      </c>
      <c r="E119" s="9">
        <v>3.9</v>
      </c>
      <c r="F119" s="63">
        <v>1.6</v>
      </c>
      <c r="G119" s="62">
        <f t="shared" si="4"/>
        <v>7</v>
      </c>
      <c r="H119" s="4"/>
      <c r="I119" s="16"/>
      <c r="J119" s="3"/>
      <c r="K119" s="4"/>
      <c r="L119" s="285" t="s">
        <v>15</v>
      </c>
      <c r="M119" s="286"/>
      <c r="N119" s="286"/>
      <c r="O119" s="287"/>
      <c r="P119" s="11"/>
      <c r="Q119" s="16"/>
    </row>
    <row r="120" spans="1:17">
      <c r="A120" s="3"/>
      <c r="B120" s="290"/>
      <c r="C120" s="58" t="s">
        <v>113</v>
      </c>
      <c r="D120" s="61">
        <v>1.8</v>
      </c>
      <c r="E120" s="69">
        <v>4.9000000000000004</v>
      </c>
      <c r="F120" s="59">
        <v>2.2000000000000002</v>
      </c>
      <c r="G120" s="58">
        <f t="shared" si="4"/>
        <v>8.9</v>
      </c>
      <c r="H120" s="4"/>
      <c r="I120" s="16"/>
      <c r="J120" s="3"/>
      <c r="K120" s="4" t="s">
        <v>123</v>
      </c>
      <c r="L120" s="52" t="s">
        <v>115</v>
      </c>
      <c r="M120" s="51" t="s">
        <v>114</v>
      </c>
      <c r="N120" s="51" t="s">
        <v>113</v>
      </c>
      <c r="O120" s="56" t="s">
        <v>117</v>
      </c>
      <c r="P120" s="11"/>
      <c r="Q120" s="16"/>
    </row>
    <row r="121" spans="1:17">
      <c r="A121" s="3"/>
      <c r="B121" s="288">
        <v>2</v>
      </c>
      <c r="C121" s="65" t="s">
        <v>115</v>
      </c>
      <c r="D121" s="68">
        <v>1.4</v>
      </c>
      <c r="E121" s="67">
        <v>5.2</v>
      </c>
      <c r="F121" s="66">
        <v>2.1</v>
      </c>
      <c r="G121" s="65">
        <f t="shared" si="4"/>
        <v>8.6999999999999993</v>
      </c>
      <c r="H121" s="4"/>
      <c r="I121" s="16"/>
      <c r="J121" s="3"/>
      <c r="K121" s="4">
        <v>1</v>
      </c>
      <c r="L121" s="3">
        <f>$E$115*$C$129+$E$118*$C$130+$E$121*$C$131</f>
        <v>67200</v>
      </c>
      <c r="M121" s="4">
        <f>$E$116*$D$129+$E$119*$D$130+$E$122*$D$131</f>
        <v>262800</v>
      </c>
      <c r="N121" s="4">
        <f>$E$117*$E$129+$E$120*$E$130+$E$123*$E$131</f>
        <v>316400</v>
      </c>
      <c r="O121" s="55">
        <f>SUM(L121:N121)</f>
        <v>646400</v>
      </c>
      <c r="P121" s="11"/>
      <c r="Q121" s="16"/>
    </row>
    <row r="122" spans="1:17">
      <c r="A122" s="3"/>
      <c r="B122" s="289"/>
      <c r="C122" s="62" t="s">
        <v>114</v>
      </c>
      <c r="D122" s="64">
        <v>2.1</v>
      </c>
      <c r="E122" s="9">
        <v>5.7</v>
      </c>
      <c r="F122" s="63">
        <v>2.2999999999999998</v>
      </c>
      <c r="G122" s="62">
        <f t="shared" si="4"/>
        <v>10.100000000000001</v>
      </c>
      <c r="H122" s="4"/>
      <c r="I122" s="16"/>
      <c r="J122" s="3"/>
      <c r="K122" s="4">
        <v>2</v>
      </c>
      <c r="L122" s="3">
        <f>$E$115*$F$129+$E$118*$F$130+$E$121*$F$131</f>
        <v>81600</v>
      </c>
      <c r="M122" s="4">
        <f>$E$116*$G$129+$E$119*$G$130+$E$122*$G$131</f>
        <v>284400</v>
      </c>
      <c r="N122" s="4">
        <f>$E$117*$H$129+$E$120*$H$130+$E$123*$H$131</f>
        <v>230000</v>
      </c>
      <c r="O122" s="55">
        <f>SUM(L122:N122)</f>
        <v>596000</v>
      </c>
      <c r="P122" s="11"/>
      <c r="Q122" s="16"/>
    </row>
    <row r="123" spans="1:17">
      <c r="A123" s="3"/>
      <c r="B123" s="290"/>
      <c r="C123" s="58" t="s">
        <v>113</v>
      </c>
      <c r="D123" s="61">
        <v>2.5</v>
      </c>
      <c r="E123" s="60">
        <v>6.8</v>
      </c>
      <c r="F123" s="59">
        <v>3.1</v>
      </c>
      <c r="G123" s="58">
        <f t="shared" si="4"/>
        <v>12.4</v>
      </c>
      <c r="H123" s="4"/>
      <c r="I123" s="16"/>
      <c r="J123" s="3"/>
      <c r="K123" s="4">
        <v>3</v>
      </c>
      <c r="L123" s="3">
        <f>$E$115*$C$134+$E$118*$C$135+$E$121*$C$136</f>
        <v>48000</v>
      </c>
      <c r="M123" s="4">
        <f>$E$116*$D$134+$E$119*$D$135+$E$122*$D$136</f>
        <v>156600</v>
      </c>
      <c r="N123" s="4">
        <f>$E$117*$E$134+$E$120*$E$135+$E$123*$E$136</f>
        <v>253000</v>
      </c>
      <c r="O123" s="54">
        <f>SUM(L123:N123)</f>
        <v>457600</v>
      </c>
      <c r="P123" s="11"/>
      <c r="Q123" s="16"/>
    </row>
    <row r="124" spans="1:17">
      <c r="A124" s="3"/>
      <c r="B124" s="4"/>
      <c r="C124" s="4"/>
      <c r="D124" s="4"/>
      <c r="E124" s="4"/>
      <c r="F124" s="4"/>
      <c r="G124" s="4"/>
      <c r="H124" s="4"/>
      <c r="I124" s="16"/>
      <c r="J124" s="3"/>
      <c r="K124" s="4">
        <v>4</v>
      </c>
      <c r="L124" s="5">
        <f>$E$115*$F$134+$E$118*$F$135+$E$121*$F$136</f>
        <v>0</v>
      </c>
      <c r="M124" s="6">
        <f>$E$116*$G$134+$E$119*$G$135+$E$122*$G$136</f>
        <v>106800</v>
      </c>
      <c r="N124" s="6">
        <f>$E$117*$H$134+$E$120*$H$135+$E$123*$H$136</f>
        <v>260600</v>
      </c>
      <c r="O124" s="53">
        <f>SUM(L124:N124)</f>
        <v>367400</v>
      </c>
      <c r="P124" s="159">
        <f>SUM(O121:O124)</f>
        <v>2067400</v>
      </c>
      <c r="Q124" s="16"/>
    </row>
    <row r="125" spans="1:17">
      <c r="A125" s="3"/>
      <c r="B125" s="4"/>
      <c r="C125" s="4"/>
      <c r="D125" s="4"/>
      <c r="E125" s="4"/>
      <c r="F125" s="4"/>
      <c r="G125" s="4"/>
      <c r="H125" s="4"/>
      <c r="I125" s="16"/>
      <c r="J125" s="3"/>
      <c r="K125" s="4"/>
      <c r="L125" s="285" t="s">
        <v>16</v>
      </c>
      <c r="M125" s="286"/>
      <c r="N125" s="286"/>
      <c r="O125" s="287"/>
      <c r="P125" s="4"/>
      <c r="Q125" s="16"/>
    </row>
    <row r="126" spans="1:17">
      <c r="A126" s="3"/>
      <c r="B126" s="57" t="s">
        <v>136</v>
      </c>
      <c r="C126" s="4"/>
      <c r="D126" s="4"/>
      <c r="E126" s="4"/>
      <c r="F126" s="4"/>
      <c r="G126" s="4"/>
      <c r="H126" s="4"/>
      <c r="I126" s="16"/>
      <c r="J126" s="3"/>
      <c r="K126" s="4" t="s">
        <v>123</v>
      </c>
      <c r="L126" s="52" t="s">
        <v>115</v>
      </c>
      <c r="M126" s="51" t="s">
        <v>114</v>
      </c>
      <c r="N126" s="51" t="s">
        <v>113</v>
      </c>
      <c r="O126" s="56" t="s">
        <v>117</v>
      </c>
      <c r="P126" s="4"/>
      <c r="Q126" s="16"/>
    </row>
    <row r="127" spans="1:17">
      <c r="A127" s="3"/>
      <c r="B127" s="49"/>
      <c r="C127" s="276" t="s">
        <v>125</v>
      </c>
      <c r="D127" s="277"/>
      <c r="E127" s="278"/>
      <c r="F127" s="276" t="s">
        <v>124</v>
      </c>
      <c r="G127" s="277"/>
      <c r="H127" s="278"/>
      <c r="I127" s="16"/>
      <c r="J127" s="3"/>
      <c r="K127" s="4">
        <v>1</v>
      </c>
      <c r="L127" s="3">
        <f>$F$115*$C$129+$F$118*$C$130+$F$121*$C$131</f>
        <v>27600</v>
      </c>
      <c r="M127" s="4">
        <f>$F$116*$D$129+$F$119*$D$130+$F$122*$D$131</f>
        <v>106800</v>
      </c>
      <c r="N127" s="4">
        <f>$F$117*$E$129+$F$120*$E$130+$F$123*$E$131</f>
        <v>143200</v>
      </c>
      <c r="O127" s="55">
        <f>SUM(L127:N127)</f>
        <v>277600</v>
      </c>
      <c r="P127" s="4"/>
      <c r="Q127" s="16"/>
    </row>
    <row r="128" spans="1:17">
      <c r="A128" s="3"/>
      <c r="B128" s="48" t="s">
        <v>116</v>
      </c>
      <c r="C128" s="52" t="s">
        <v>115</v>
      </c>
      <c r="D128" s="51" t="s">
        <v>114</v>
      </c>
      <c r="E128" s="50" t="s">
        <v>113</v>
      </c>
      <c r="F128" s="52" t="s">
        <v>115</v>
      </c>
      <c r="G128" s="51" t="s">
        <v>114</v>
      </c>
      <c r="H128" s="50" t="s">
        <v>113</v>
      </c>
      <c r="I128" s="16"/>
      <c r="J128" s="3"/>
      <c r="K128" s="4">
        <v>2</v>
      </c>
      <c r="L128" s="3">
        <f>$F$115*$F$129+$F$118*$F$130+$F$121*$F$131</f>
        <v>33200</v>
      </c>
      <c r="M128" s="4">
        <f>$F$116*$G$129+$F$119*$G$130+$F$122*$G$131</f>
        <v>115400</v>
      </c>
      <c r="N128" s="4">
        <f>$F$117*$H$129+$F$120*$H$130+$F$123*$H$131</f>
        <v>104400</v>
      </c>
      <c r="O128" s="55">
        <f>SUM(L128:N128)</f>
        <v>253000</v>
      </c>
      <c r="P128" s="4"/>
      <c r="Q128" s="16"/>
    </row>
    <row r="129" spans="1:17">
      <c r="A129" s="3"/>
      <c r="B129" s="49" t="s">
        <v>112</v>
      </c>
      <c r="C129" s="3">
        <v>4000</v>
      </c>
      <c r="D129" s="4">
        <v>8000</v>
      </c>
      <c r="E129" s="16">
        <v>8000</v>
      </c>
      <c r="F129" s="3">
        <v>2000</v>
      </c>
      <c r="G129" s="4">
        <v>4000</v>
      </c>
      <c r="H129" s="16">
        <v>4000</v>
      </c>
      <c r="I129" s="16"/>
      <c r="J129" s="3"/>
      <c r="K129" s="4">
        <v>3</v>
      </c>
      <c r="L129" s="3">
        <f>$F$115*$C$134+$F$118*$C$135+$F$121*$C$136</f>
        <v>19400</v>
      </c>
      <c r="M129" s="4">
        <f>$F$116*$D$134+$F$119*$D$135+$F$122*$D$136</f>
        <v>63399.999999999993</v>
      </c>
      <c r="N129" s="4">
        <f>$F$117*$E$134+$F$120*$E$135+$F$123*$E$136</f>
        <v>115000</v>
      </c>
      <c r="O129" s="54">
        <f>SUM(L129:N129)</f>
        <v>197800</v>
      </c>
      <c r="P129" s="4"/>
      <c r="Q129" s="16"/>
    </row>
    <row r="130" spans="1:17">
      <c r="A130" s="3"/>
      <c r="B130" s="48" t="s">
        <v>111</v>
      </c>
      <c r="C130" s="3">
        <v>12000</v>
      </c>
      <c r="D130" s="4">
        <v>32000</v>
      </c>
      <c r="E130" s="16">
        <v>36000</v>
      </c>
      <c r="F130" s="3">
        <v>8000</v>
      </c>
      <c r="G130" s="4">
        <v>26000</v>
      </c>
      <c r="H130" s="16">
        <v>16000</v>
      </c>
      <c r="I130" s="16"/>
      <c r="J130" s="3"/>
      <c r="K130" s="4">
        <v>4</v>
      </c>
      <c r="L130" s="5">
        <f>$F$115*$F$134+$F$118*$F$135+$F$121*$F$136</f>
        <v>0</v>
      </c>
      <c r="M130" s="6">
        <f>$F$116*$G$134+$F$119*$G$135+$F$122*$G$136</f>
        <v>43200</v>
      </c>
      <c r="N130" s="6">
        <f>$F$117*$H$134+$F$120*$H$135+$F$123*$H$136</f>
        <v>118600</v>
      </c>
      <c r="O130" s="53">
        <f>SUM(L130:N130)</f>
        <v>161800</v>
      </c>
      <c r="P130" s="159">
        <f>SUM(O127:O130)</f>
        <v>890200</v>
      </c>
      <c r="Q130" s="16"/>
    </row>
    <row r="131" spans="1:17">
      <c r="A131" s="3"/>
      <c r="B131" s="47" t="s">
        <v>110</v>
      </c>
      <c r="C131" s="5">
        <v>4000</v>
      </c>
      <c r="D131" s="6">
        <v>20000</v>
      </c>
      <c r="E131" s="17">
        <v>16000</v>
      </c>
      <c r="F131" s="5">
        <v>10000</v>
      </c>
      <c r="G131" s="6">
        <v>30000</v>
      </c>
      <c r="H131" s="17">
        <v>20000</v>
      </c>
      <c r="I131" s="16"/>
      <c r="J131" s="3"/>
      <c r="K131" s="4"/>
      <c r="L131" s="4"/>
      <c r="M131" s="4"/>
      <c r="P131" s="4"/>
      <c r="Q131" s="16"/>
    </row>
    <row r="132" spans="1:17">
      <c r="A132" s="3"/>
      <c r="B132" s="49"/>
      <c r="C132" s="276" t="s">
        <v>119</v>
      </c>
      <c r="D132" s="277"/>
      <c r="E132" s="278"/>
      <c r="F132" s="276" t="s">
        <v>118</v>
      </c>
      <c r="G132" s="277"/>
      <c r="H132" s="278"/>
      <c r="I132" s="16"/>
      <c r="J132" s="3"/>
      <c r="K132" s="4"/>
      <c r="L132" s="4"/>
      <c r="M132" s="4"/>
      <c r="N132" s="4"/>
      <c r="O132" s="4"/>
      <c r="P132" s="4"/>
      <c r="Q132" s="16"/>
    </row>
    <row r="133" spans="1:17">
      <c r="A133" s="3"/>
      <c r="B133" s="48" t="s">
        <v>116</v>
      </c>
      <c r="C133" s="52" t="s">
        <v>115</v>
      </c>
      <c r="D133" s="51" t="s">
        <v>114</v>
      </c>
      <c r="E133" s="50" t="s">
        <v>113</v>
      </c>
      <c r="F133" s="52" t="s">
        <v>115</v>
      </c>
      <c r="G133" s="51" t="s">
        <v>114</v>
      </c>
      <c r="H133" s="50" t="s">
        <v>113</v>
      </c>
      <c r="I133" s="16"/>
      <c r="J133" s="3"/>
      <c r="K133" s="4"/>
      <c r="L133" s="4"/>
      <c r="M133" s="4"/>
      <c r="N133" s="4"/>
      <c r="O133" s="4"/>
      <c r="P133" s="4"/>
      <c r="Q133" s="16"/>
    </row>
    <row r="134" spans="1:17">
      <c r="A134" s="3"/>
      <c r="B134" s="49" t="s">
        <v>112</v>
      </c>
      <c r="C134" s="3">
        <v>0</v>
      </c>
      <c r="D134" s="4">
        <v>0</v>
      </c>
      <c r="E134" s="16">
        <v>0</v>
      </c>
      <c r="F134" s="3">
        <v>0</v>
      </c>
      <c r="G134" s="4">
        <v>0</v>
      </c>
      <c r="H134" s="16">
        <v>0</v>
      </c>
      <c r="I134" s="16"/>
      <c r="J134" s="3"/>
      <c r="K134" s="4"/>
      <c r="L134" s="4"/>
      <c r="M134" s="4"/>
      <c r="N134" s="4"/>
      <c r="O134" s="4"/>
      <c r="P134" s="4"/>
      <c r="Q134" s="16"/>
    </row>
    <row r="135" spans="1:17">
      <c r="A135" s="3"/>
      <c r="B135" s="48" t="s">
        <v>111</v>
      </c>
      <c r="C135" s="3">
        <v>2000</v>
      </c>
      <c r="D135" s="4">
        <v>8000</v>
      </c>
      <c r="E135" s="16">
        <v>10000</v>
      </c>
      <c r="F135" s="3">
        <v>0</v>
      </c>
      <c r="G135" s="4">
        <v>4000</v>
      </c>
      <c r="H135" s="16">
        <v>6000</v>
      </c>
      <c r="I135" s="16"/>
      <c r="J135" s="3"/>
      <c r="K135" s="4"/>
      <c r="L135" s="4"/>
      <c r="M135" s="4"/>
      <c r="N135" s="4"/>
      <c r="O135" s="4"/>
      <c r="P135" s="4"/>
      <c r="Q135" s="16"/>
    </row>
    <row r="136" spans="1:17">
      <c r="A136" s="3"/>
      <c r="B136" s="47" t="s">
        <v>110</v>
      </c>
      <c r="C136" s="5">
        <v>8000</v>
      </c>
      <c r="D136" s="6">
        <v>22000</v>
      </c>
      <c r="E136" s="17">
        <v>30000</v>
      </c>
      <c r="F136" s="5">
        <v>0</v>
      </c>
      <c r="G136" s="6">
        <v>16000</v>
      </c>
      <c r="H136" s="17">
        <v>34000</v>
      </c>
      <c r="I136" s="16"/>
      <c r="J136" s="3"/>
      <c r="K136" s="4"/>
      <c r="L136" s="4"/>
      <c r="M136" s="4"/>
      <c r="N136" s="4"/>
      <c r="O136" s="4"/>
      <c r="P136" s="4"/>
      <c r="Q136" s="16"/>
    </row>
    <row r="137" spans="1:17">
      <c r="A137" s="3"/>
      <c r="B137" s="4"/>
      <c r="C137" s="4"/>
      <c r="D137" s="4"/>
      <c r="E137" s="4"/>
      <c r="F137" s="4"/>
      <c r="G137" s="4"/>
      <c r="H137" s="4"/>
      <c r="I137" s="16"/>
      <c r="J137" s="3"/>
      <c r="K137" s="4"/>
      <c r="L137" s="4"/>
      <c r="M137" s="4"/>
      <c r="N137" s="4"/>
      <c r="O137" s="4"/>
      <c r="P137" s="4"/>
      <c r="Q137" s="16"/>
    </row>
    <row r="138" spans="1:17">
      <c r="A138" s="5"/>
      <c r="B138" s="6"/>
      <c r="C138" s="6"/>
      <c r="D138" s="6"/>
      <c r="E138" s="6"/>
      <c r="F138" s="6"/>
      <c r="G138" s="6"/>
      <c r="H138" s="6"/>
      <c r="I138" s="17"/>
      <c r="J138" s="5"/>
      <c r="K138" s="6"/>
      <c r="L138" s="6"/>
      <c r="M138" s="6"/>
      <c r="N138" s="6"/>
      <c r="O138" s="6"/>
      <c r="P138" s="6"/>
      <c r="Q138" s="17"/>
    </row>
    <row r="139" spans="1:17">
      <c r="B139" s="82" t="s">
        <v>166</v>
      </c>
    </row>
    <row r="140" spans="1:17">
      <c r="B140" s="57" t="s">
        <v>145</v>
      </c>
      <c r="C140" s="4"/>
      <c r="D140" s="4"/>
      <c r="E140" s="4"/>
      <c r="F140" s="4"/>
      <c r="G140" s="4"/>
      <c r="H140" s="4"/>
      <c r="I140" s="16"/>
      <c r="J140" s="3"/>
      <c r="K140" s="4"/>
      <c r="L140" s="4"/>
      <c r="M140" s="4"/>
      <c r="N140" s="4"/>
      <c r="O140" s="4"/>
    </row>
    <row r="141" spans="1:17">
      <c r="B141" s="76" t="s">
        <v>146</v>
      </c>
      <c r="C141" s="77"/>
      <c r="D141" s="310" t="s">
        <v>147</v>
      </c>
      <c r="E141" s="311"/>
      <c r="F141" s="311"/>
      <c r="G141" s="312"/>
      <c r="H141" s="4"/>
      <c r="I141" s="16"/>
      <c r="J141" s="3"/>
      <c r="K141" s="4"/>
      <c r="L141" s="4"/>
      <c r="M141" s="4"/>
      <c r="N141" s="4"/>
      <c r="O141" s="4"/>
    </row>
    <row r="142" spans="1:17">
      <c r="B142" s="78" t="s">
        <v>148</v>
      </c>
      <c r="C142" s="78" t="s">
        <v>22</v>
      </c>
      <c r="D142" s="76" t="s">
        <v>122</v>
      </c>
      <c r="E142" s="79" t="s">
        <v>121</v>
      </c>
      <c r="F142" s="80" t="s">
        <v>120</v>
      </c>
      <c r="G142" s="77" t="s">
        <v>117</v>
      </c>
      <c r="H142" s="4"/>
      <c r="I142" s="16"/>
      <c r="J142" s="3"/>
      <c r="K142" s="4"/>
      <c r="L142" s="4"/>
      <c r="M142" s="4"/>
      <c r="N142" s="4"/>
      <c r="O142" s="4"/>
    </row>
    <row r="143" spans="1:17">
      <c r="B143" s="65" t="s">
        <v>14</v>
      </c>
      <c r="C143" s="62">
        <v>0</v>
      </c>
      <c r="D143" s="64">
        <v>0</v>
      </c>
      <c r="E143" s="9">
        <v>0</v>
      </c>
      <c r="F143" s="9">
        <v>0</v>
      </c>
      <c r="G143" s="63">
        <v>1.45</v>
      </c>
      <c r="H143" s="4"/>
      <c r="I143" s="16"/>
      <c r="J143" s="3"/>
      <c r="K143" s="57" t="s">
        <v>140</v>
      </c>
      <c r="L143" s="4"/>
      <c r="M143" s="4"/>
      <c r="N143" s="4"/>
      <c r="O143" s="4"/>
    </row>
    <row r="144" spans="1:17">
      <c r="B144" s="62" t="s">
        <v>15</v>
      </c>
      <c r="C144" s="62">
        <v>0.9</v>
      </c>
      <c r="D144" s="64">
        <v>9</v>
      </c>
      <c r="E144" s="9">
        <v>1.7</v>
      </c>
      <c r="F144" s="9">
        <v>0.5</v>
      </c>
      <c r="G144" s="63">
        <v>0</v>
      </c>
      <c r="H144" s="4"/>
      <c r="I144" s="16"/>
      <c r="J144" s="3"/>
      <c r="K144" s="4"/>
      <c r="L144" s="4"/>
      <c r="M144" s="4"/>
      <c r="N144" s="4"/>
      <c r="O144" s="4"/>
    </row>
    <row r="145" spans="1:20">
      <c r="B145" s="58" t="s">
        <v>16</v>
      </c>
      <c r="C145" s="58">
        <v>0.5</v>
      </c>
      <c r="D145" s="61">
        <v>4.0999999999999996</v>
      </c>
      <c r="E145" s="69">
        <v>1.2</v>
      </c>
      <c r="F145" s="69">
        <v>0.5</v>
      </c>
      <c r="G145" s="59">
        <v>0</v>
      </c>
      <c r="H145" s="4"/>
      <c r="I145" s="16"/>
      <c r="J145" s="3"/>
      <c r="K145" s="52" t="s">
        <v>123</v>
      </c>
      <c r="L145" s="52" t="s">
        <v>14</v>
      </c>
      <c r="M145" s="51" t="s">
        <v>15</v>
      </c>
      <c r="N145" s="50" t="s">
        <v>16</v>
      </c>
      <c r="O145" s="56" t="s">
        <v>117</v>
      </c>
    </row>
    <row r="146" spans="1:20">
      <c r="B146" s="9" t="s">
        <v>149</v>
      </c>
      <c r="C146" s="4"/>
      <c r="D146" s="4"/>
      <c r="E146" s="4"/>
      <c r="F146" s="4"/>
      <c r="G146" s="4"/>
      <c r="H146" s="4"/>
      <c r="I146" s="16"/>
      <c r="J146" s="3"/>
      <c r="K146" s="3">
        <v>1</v>
      </c>
      <c r="L146" s="3">
        <f>$G$143*$G$152</f>
        <v>290000</v>
      </c>
      <c r="M146" s="4">
        <f>$C$144*$C$152+$D$144*$D$152+$E$144*$E$152+$F$144*$F$152</f>
        <v>954000</v>
      </c>
      <c r="N146" s="16">
        <f>$C$145*$C$152+$D$145*$D$152+$E$145*$E$152+$F$145*$F$152</f>
        <v>486000</v>
      </c>
      <c r="O146" s="55">
        <f>SUM(L146:N146)</f>
        <v>1730000</v>
      </c>
    </row>
    <row r="147" spans="1:20">
      <c r="B147" s="4"/>
      <c r="C147" s="4"/>
      <c r="D147" s="4"/>
      <c r="E147" s="4"/>
      <c r="F147" s="4"/>
      <c r="G147" s="4"/>
      <c r="H147" s="4"/>
      <c r="I147" s="16"/>
      <c r="J147" s="3"/>
      <c r="K147" s="3">
        <v>2</v>
      </c>
      <c r="L147" s="3">
        <f>$G$143*$G$153</f>
        <v>232000</v>
      </c>
      <c r="M147" s="4">
        <f>$C$144*$C$153+$D$144*$D$153+$E$144*$E$153+$F$144*$F$153</f>
        <v>916000</v>
      </c>
      <c r="N147" s="16">
        <f>$C$145*$C$153+$D$145*$D$153+$E$145*$E$153+$F$145*$F$153</f>
        <v>456000</v>
      </c>
      <c r="O147" s="55">
        <f>SUM(L147:N147)</f>
        <v>1604000</v>
      </c>
    </row>
    <row r="148" spans="1:20">
      <c r="B148" s="9"/>
      <c r="C148" s="9"/>
      <c r="D148" s="9"/>
      <c r="E148" s="9"/>
      <c r="F148" s="9"/>
      <c r="G148" s="9"/>
      <c r="H148" s="4"/>
      <c r="I148" s="16"/>
      <c r="J148" s="3"/>
      <c r="K148" s="3">
        <v>3</v>
      </c>
      <c r="L148" s="3">
        <f>$G$143*$G$154</f>
        <v>116000</v>
      </c>
      <c r="M148" s="4">
        <f>$C$144*$C$154+$D$144*$D$154+$E$144*$E$154+$F$144*$F$154</f>
        <v>330000</v>
      </c>
      <c r="N148" s="16">
        <f>$C$145*$C$154+$D$145*$D$154+$E$145*$E$154+$F$145*$F$154</f>
        <v>180000</v>
      </c>
      <c r="O148" s="55">
        <f>SUM(L148:N148)</f>
        <v>626000</v>
      </c>
    </row>
    <row r="149" spans="1:20">
      <c r="B149" s="81" t="s">
        <v>150</v>
      </c>
      <c r="C149" s="11"/>
      <c r="D149" s="11"/>
      <c r="E149" s="11"/>
      <c r="F149" s="11"/>
      <c r="G149" s="9"/>
      <c r="H149" s="4"/>
      <c r="I149" s="16"/>
      <c r="J149" s="3"/>
      <c r="K149" s="5">
        <v>4</v>
      </c>
      <c r="L149" s="3">
        <f>$G$143*$G$155</f>
        <v>5800</v>
      </c>
      <c r="M149" s="4">
        <f>$C$144*$C$155+$D$144*$D$155+$E$144*$E$155+$F$144*$F$155</f>
        <v>75400</v>
      </c>
      <c r="N149" s="16">
        <f>$C$145*$C$155+$D$145*$D$155+$E$145*$E$155+$F$145*$F$155</f>
        <v>40600</v>
      </c>
      <c r="O149" s="55">
        <f>SUM(L149:N149)</f>
        <v>121800</v>
      </c>
    </row>
    <row r="150" spans="1:20">
      <c r="B150" s="49"/>
      <c r="C150" s="280" t="s">
        <v>127</v>
      </c>
      <c r="D150" s="285" t="s">
        <v>126</v>
      </c>
      <c r="E150" s="286"/>
      <c r="F150" s="286"/>
      <c r="G150" s="287"/>
      <c r="H150" s="4"/>
      <c r="I150" s="16"/>
      <c r="J150" s="3"/>
      <c r="K150" s="18" t="s">
        <v>32</v>
      </c>
      <c r="L150" s="236">
        <f>SUM(L146:L149)</f>
        <v>643800</v>
      </c>
      <c r="M150" s="237">
        <f>SUM(M146:M149)</f>
        <v>2275400</v>
      </c>
      <c r="N150" s="238">
        <f>SUM(N146:N149)</f>
        <v>1162600</v>
      </c>
      <c r="O150" s="169">
        <f>SUM(O146:O149)</f>
        <v>4081800</v>
      </c>
    </row>
    <row r="151" spans="1:20">
      <c r="B151" s="48" t="s">
        <v>123</v>
      </c>
      <c r="C151" s="309"/>
      <c r="D151" s="52" t="s">
        <v>122</v>
      </c>
      <c r="E151" s="51" t="s">
        <v>121</v>
      </c>
      <c r="F151" s="51" t="s">
        <v>120</v>
      </c>
      <c r="G151" s="50" t="s">
        <v>117</v>
      </c>
      <c r="H151" s="4"/>
      <c r="I151" s="16"/>
      <c r="J151" s="3"/>
      <c r="K151" s="4"/>
      <c r="L151" s="4"/>
      <c r="M151" s="4"/>
      <c r="N151" s="4"/>
      <c r="O151" s="4"/>
    </row>
    <row r="152" spans="1:20">
      <c r="B152" s="49">
        <v>1</v>
      </c>
      <c r="C152" s="49">
        <v>140000</v>
      </c>
      <c r="D152">
        <v>80000</v>
      </c>
      <c r="E152" s="2">
        <v>40000</v>
      </c>
      <c r="F152" s="2">
        <v>80000</v>
      </c>
      <c r="G152" s="15">
        <f>SUM(D152:F152)</f>
        <v>200000</v>
      </c>
      <c r="H152" s="4"/>
      <c r="I152" s="16"/>
      <c r="J152" s="3"/>
      <c r="K152" s="4"/>
      <c r="L152" s="4"/>
      <c r="M152" s="4"/>
      <c r="N152" s="4"/>
      <c r="O152" s="4"/>
    </row>
    <row r="153" spans="1:20">
      <c r="B153" s="48">
        <v>2</v>
      </c>
      <c r="C153" s="48">
        <v>120000</v>
      </c>
      <c r="D153">
        <v>80000</v>
      </c>
      <c r="E153" s="4">
        <v>40000</v>
      </c>
      <c r="F153" s="4">
        <v>40000</v>
      </c>
      <c r="G153" s="16">
        <f>SUM(D153:F153)</f>
        <v>160000</v>
      </c>
      <c r="H153" s="4"/>
      <c r="I153" s="16"/>
      <c r="J153" s="3"/>
      <c r="K153" s="4"/>
      <c r="L153" s="4"/>
      <c r="M153" s="4"/>
      <c r="N153" s="4"/>
      <c r="O153" s="4"/>
    </row>
    <row r="154" spans="1:20">
      <c r="B154" s="48">
        <v>3</v>
      </c>
      <c r="C154" s="48">
        <v>80000</v>
      </c>
      <c r="D154">
        <v>20000</v>
      </c>
      <c r="E154" s="4">
        <v>40000</v>
      </c>
      <c r="F154" s="4">
        <v>20000</v>
      </c>
      <c r="G154" s="16">
        <f>SUM(D154:F154)</f>
        <v>80000</v>
      </c>
      <c r="H154" s="4"/>
      <c r="I154" s="16"/>
      <c r="J154" s="3"/>
      <c r="K154" s="4"/>
      <c r="L154" s="4"/>
      <c r="M154" s="4"/>
      <c r="N154" s="4"/>
      <c r="O154" s="4"/>
    </row>
    <row r="155" spans="1:20">
      <c r="B155" s="47">
        <v>4</v>
      </c>
      <c r="C155" s="47">
        <v>60000</v>
      </c>
      <c r="D155" s="5">
        <v>2000</v>
      </c>
      <c r="E155" s="6">
        <v>2000</v>
      </c>
      <c r="F155" s="6">
        <v>0</v>
      </c>
      <c r="G155" s="17">
        <f>SUM(D155:F155)</f>
        <v>4000</v>
      </c>
      <c r="H155" s="4"/>
      <c r="I155" s="16"/>
      <c r="J155" s="3"/>
      <c r="K155" s="4"/>
      <c r="L155" s="4"/>
      <c r="M155" s="4"/>
      <c r="N155" s="4"/>
      <c r="O155" s="4"/>
    </row>
    <row r="156" spans="1:20">
      <c r="B156" s="47" t="s">
        <v>117</v>
      </c>
      <c r="C156" s="47">
        <f>SUM(C152:C155)</f>
        <v>400000</v>
      </c>
      <c r="D156" s="5">
        <f>SUM(D152:D155)</f>
        <v>182000</v>
      </c>
      <c r="E156" s="6">
        <f>SUM(E152:E155)</f>
        <v>122000</v>
      </c>
      <c r="F156" s="6">
        <f>SUM(F152:F155)</f>
        <v>140000</v>
      </c>
      <c r="G156" s="17">
        <f>SUM(D156:F156)</f>
        <v>444000</v>
      </c>
      <c r="H156" s="4"/>
      <c r="I156" s="16"/>
      <c r="J156" s="3"/>
      <c r="K156" s="4"/>
      <c r="L156" s="4"/>
      <c r="M156" s="4"/>
      <c r="N156" s="4"/>
      <c r="O156" s="4"/>
    </row>
    <row r="159" spans="1:20">
      <c r="B159" s="82" t="s">
        <v>151</v>
      </c>
    </row>
    <row r="160" spans="1:20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spans="1:20">
      <c r="A161" s="3"/>
      <c r="B161" s="57" t="s">
        <v>38</v>
      </c>
      <c r="C161" s="4"/>
      <c r="D161" s="4"/>
      <c r="E161" s="4"/>
      <c r="F161" s="4"/>
      <c r="G161" s="4"/>
      <c r="H161" s="4"/>
      <c r="I161" s="57" t="s">
        <v>159</v>
      </c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 spans="1:20">
      <c r="A162" s="3"/>
      <c r="B162" s="276" t="s">
        <v>39</v>
      </c>
      <c r="C162" s="278"/>
      <c r="D162" s="7" t="s">
        <v>40</v>
      </c>
      <c r="E162" s="7" t="s">
        <v>41</v>
      </c>
      <c r="F162" s="8" t="s">
        <v>42</v>
      </c>
      <c r="G162" s="4"/>
      <c r="H162" s="4"/>
      <c r="I162" s="1"/>
      <c r="J162" s="15"/>
      <c r="K162" s="285" t="s">
        <v>160</v>
      </c>
      <c r="L162" s="286"/>
      <c r="M162" s="286"/>
      <c r="N162" s="286"/>
      <c r="O162" s="286"/>
      <c r="P162" s="287"/>
      <c r="Q162" s="4"/>
      <c r="R162" s="4"/>
      <c r="S162" s="4"/>
      <c r="T162" s="4"/>
    </row>
    <row r="163" spans="1:20">
      <c r="A163" s="3"/>
      <c r="B163" s="285" t="s">
        <v>14</v>
      </c>
      <c r="C163" s="287"/>
      <c r="D163" s="1">
        <v>28507</v>
      </c>
      <c r="E163" s="2">
        <v>-0.02</v>
      </c>
      <c r="F163" s="15">
        <v>-0.123</v>
      </c>
      <c r="G163" s="4"/>
      <c r="H163" s="4"/>
      <c r="I163" s="5"/>
      <c r="J163" s="17"/>
      <c r="K163" s="52" t="s">
        <v>161</v>
      </c>
      <c r="L163" s="51" t="s">
        <v>162</v>
      </c>
      <c r="M163" s="51" t="s">
        <v>163</v>
      </c>
      <c r="N163" s="51" t="s">
        <v>164</v>
      </c>
      <c r="O163" s="51">
        <v>5</v>
      </c>
      <c r="P163" s="50">
        <v>6</v>
      </c>
      <c r="Q163" s="4"/>
      <c r="R163" s="4"/>
      <c r="S163" s="4"/>
      <c r="T163" s="4"/>
    </row>
    <row r="164" spans="1:20" ht="15" customHeight="1">
      <c r="A164" s="3"/>
      <c r="B164" s="295" t="s">
        <v>15</v>
      </c>
      <c r="C164" s="296"/>
      <c r="D164" s="3">
        <v>139173</v>
      </c>
      <c r="E164" s="4">
        <v>-1.2849999999999999</v>
      </c>
      <c r="F164" s="16">
        <v>-9.4E-2</v>
      </c>
      <c r="G164" s="4"/>
      <c r="H164" s="4"/>
      <c r="I164" s="297" t="s">
        <v>165</v>
      </c>
      <c r="J164" s="49" t="s">
        <v>161</v>
      </c>
      <c r="K164" s="1">
        <v>2.5</v>
      </c>
      <c r="L164" s="2">
        <v>10</v>
      </c>
      <c r="M164" s="2">
        <v>20</v>
      </c>
      <c r="N164" s="2">
        <v>20</v>
      </c>
      <c r="O164" s="2">
        <v>5</v>
      </c>
      <c r="P164" s="15">
        <v>15</v>
      </c>
      <c r="Q164" s="4"/>
      <c r="R164" s="4"/>
      <c r="S164" s="4"/>
      <c r="T164" s="4"/>
    </row>
    <row r="165" spans="1:20">
      <c r="A165" s="3"/>
      <c r="B165" s="298" t="s">
        <v>16</v>
      </c>
      <c r="C165" s="299"/>
      <c r="D165" s="5">
        <v>219113</v>
      </c>
      <c r="E165" s="6">
        <v>-1.3320000000000001</v>
      </c>
      <c r="F165" s="17">
        <v>-0.1</v>
      </c>
      <c r="G165" s="4"/>
      <c r="H165" s="4"/>
      <c r="I165" s="291"/>
      <c r="J165" s="48" t="s">
        <v>162</v>
      </c>
      <c r="K165" s="3">
        <v>10</v>
      </c>
      <c r="L165" s="4">
        <v>2.5</v>
      </c>
      <c r="M165" s="4">
        <v>20</v>
      </c>
      <c r="N165" s="4">
        <v>20</v>
      </c>
      <c r="O165" s="4">
        <v>5</v>
      </c>
      <c r="P165" s="16">
        <v>15</v>
      </c>
      <c r="Q165" s="4"/>
      <c r="R165" s="4"/>
      <c r="S165" s="4"/>
      <c r="T165" s="4"/>
    </row>
    <row r="166" spans="1:20">
      <c r="A166" s="3"/>
      <c r="B166" s="4"/>
      <c r="C166" s="4"/>
      <c r="D166" s="4"/>
      <c r="E166" s="4"/>
      <c r="F166" s="4"/>
      <c r="G166" s="4"/>
      <c r="H166" s="4"/>
      <c r="I166" s="291"/>
      <c r="J166" s="48" t="s">
        <v>163</v>
      </c>
      <c r="K166" s="3">
        <v>20</v>
      </c>
      <c r="L166" s="4">
        <v>20</v>
      </c>
      <c r="M166" s="4">
        <v>2.5</v>
      </c>
      <c r="N166" s="4">
        <v>10</v>
      </c>
      <c r="O166" s="4">
        <v>15</v>
      </c>
      <c r="P166" s="16">
        <v>5</v>
      </c>
      <c r="Q166" s="4"/>
      <c r="R166" s="4"/>
      <c r="S166" s="4"/>
      <c r="T166" s="4"/>
    </row>
    <row r="167" spans="1:20">
      <c r="A167" s="3"/>
      <c r="B167" s="4"/>
      <c r="C167" s="4"/>
      <c r="D167" s="4"/>
      <c r="E167" s="4"/>
      <c r="F167" s="4"/>
      <c r="G167" s="4"/>
      <c r="H167" s="4"/>
      <c r="I167" s="291"/>
      <c r="J167" s="48" t="s">
        <v>164</v>
      </c>
      <c r="K167" s="3">
        <v>20</v>
      </c>
      <c r="L167" s="4">
        <v>20</v>
      </c>
      <c r="M167" s="4">
        <v>10</v>
      </c>
      <c r="N167" s="4">
        <v>2.5</v>
      </c>
      <c r="O167" s="4">
        <v>15</v>
      </c>
      <c r="P167" s="16">
        <v>5</v>
      </c>
      <c r="Q167" s="4"/>
      <c r="R167" s="4"/>
      <c r="S167" s="4"/>
      <c r="T167" s="4"/>
    </row>
    <row r="168" spans="1:20">
      <c r="A168" s="3"/>
      <c r="B168" s="4"/>
      <c r="C168" s="4"/>
      <c r="D168" s="4"/>
      <c r="E168" s="4"/>
      <c r="F168" s="4"/>
      <c r="G168" s="4"/>
      <c r="H168" s="4"/>
      <c r="I168" s="291"/>
      <c r="J168" s="48">
        <v>5</v>
      </c>
      <c r="K168" s="3">
        <v>5</v>
      </c>
      <c r="L168" s="4">
        <v>5</v>
      </c>
      <c r="M168" s="4">
        <v>15</v>
      </c>
      <c r="N168" s="4">
        <v>15</v>
      </c>
      <c r="O168" s="4">
        <v>2.5</v>
      </c>
      <c r="P168" s="16">
        <v>10</v>
      </c>
      <c r="Q168" s="4"/>
      <c r="R168" s="4"/>
      <c r="S168" s="4"/>
      <c r="T168" s="4"/>
    </row>
    <row r="169" spans="1:20">
      <c r="A169" s="3"/>
      <c r="B169" s="4"/>
      <c r="C169" s="4"/>
      <c r="D169" s="4"/>
      <c r="E169" s="4"/>
      <c r="F169" s="4"/>
      <c r="G169" s="4"/>
      <c r="H169" s="4"/>
      <c r="I169" s="292"/>
      <c r="J169" s="47">
        <v>6</v>
      </c>
      <c r="K169" s="5">
        <v>15</v>
      </c>
      <c r="L169" s="6">
        <v>15</v>
      </c>
      <c r="M169" s="6">
        <v>5</v>
      </c>
      <c r="N169" s="6">
        <v>5</v>
      </c>
      <c r="O169" s="6">
        <v>10</v>
      </c>
      <c r="P169" s="17">
        <v>2.5</v>
      </c>
      <c r="Q169" s="4"/>
      <c r="R169" s="4"/>
      <c r="S169" s="4"/>
      <c r="T169" s="4"/>
    </row>
    <row r="170" spans="1:2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 spans="1:20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 spans="1:20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spans="1:20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 spans="1:20">
      <c r="A174" s="3"/>
      <c r="B174" s="57" t="s">
        <v>167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 spans="1:20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 spans="1:20">
      <c r="A176" s="3"/>
      <c r="B176" s="300" t="s">
        <v>168</v>
      </c>
      <c r="C176" s="301"/>
      <c r="D176" s="304" t="s">
        <v>160</v>
      </c>
      <c r="E176" s="304"/>
      <c r="F176" s="304"/>
      <c r="G176" s="301"/>
      <c r="H176" s="300" t="s">
        <v>169</v>
      </c>
      <c r="I176" s="301"/>
      <c r="J176" s="304" t="s">
        <v>160</v>
      </c>
      <c r="K176" s="304"/>
      <c r="L176" s="304"/>
      <c r="M176" s="301"/>
      <c r="N176" s="300" t="s">
        <v>170</v>
      </c>
      <c r="O176" s="301"/>
      <c r="P176" s="304" t="s">
        <v>160</v>
      </c>
      <c r="Q176" s="304"/>
      <c r="R176" s="304"/>
      <c r="S176" s="301"/>
      <c r="T176" s="4"/>
    </row>
    <row r="177" spans="1:20">
      <c r="A177" s="3"/>
      <c r="B177" s="302"/>
      <c r="C177" s="303"/>
      <c r="D177" s="1" t="s">
        <v>161</v>
      </c>
      <c r="E177" s="2" t="s">
        <v>162</v>
      </c>
      <c r="F177" s="2" t="s">
        <v>163</v>
      </c>
      <c r="G177" s="15" t="s">
        <v>164</v>
      </c>
      <c r="H177" s="302"/>
      <c r="I177" s="303"/>
      <c r="J177" s="52" t="s">
        <v>161</v>
      </c>
      <c r="K177" s="51" t="s">
        <v>162</v>
      </c>
      <c r="L177" s="51" t="s">
        <v>163</v>
      </c>
      <c r="M177" s="50" t="s">
        <v>164</v>
      </c>
      <c r="N177" s="302"/>
      <c r="O177" s="303"/>
      <c r="P177" s="52" t="s">
        <v>161</v>
      </c>
      <c r="Q177" s="51" t="s">
        <v>162</v>
      </c>
      <c r="R177" s="51" t="s">
        <v>163</v>
      </c>
      <c r="S177" s="50" t="s">
        <v>164</v>
      </c>
      <c r="T177" s="4"/>
    </row>
    <row r="178" spans="1:20" ht="15" customHeight="1">
      <c r="A178" s="3"/>
      <c r="B178" s="291" t="s">
        <v>165</v>
      </c>
      <c r="C178" s="1" t="s">
        <v>161</v>
      </c>
      <c r="D178" s="83">
        <f t="shared" ref="D178:G181" si="5">$D$163*(K164^$E$163)*EXP($F$163*K164)</f>
        <v>20580.084915480234</v>
      </c>
      <c r="E178" s="84">
        <f t="shared" si="5"/>
        <v>7957.3654327904278</v>
      </c>
      <c r="F178" s="84">
        <f t="shared" si="5"/>
        <v>2293.8577924046085</v>
      </c>
      <c r="G178" s="85">
        <f t="shared" si="5"/>
        <v>2293.8577924046085</v>
      </c>
      <c r="H178" s="293" t="s">
        <v>165</v>
      </c>
      <c r="I178" s="49" t="s">
        <v>161</v>
      </c>
      <c r="J178" s="83">
        <f t="shared" ref="J178:M181" si="6">$D$164*(K164^$E$164)*EXP($F$164*K164)</f>
        <v>33895.564770927151</v>
      </c>
      <c r="K178" s="84">
        <f t="shared" si="6"/>
        <v>2820.4485118873376</v>
      </c>
      <c r="L178" s="84">
        <f t="shared" si="6"/>
        <v>452.12426790276174</v>
      </c>
      <c r="M178" s="85">
        <f t="shared" si="6"/>
        <v>452.12426790276174</v>
      </c>
      <c r="N178" s="291" t="s">
        <v>165</v>
      </c>
      <c r="O178" s="49" t="s">
        <v>161</v>
      </c>
      <c r="P178" s="83">
        <f t="shared" ref="P178:S181" si="7">$D$165*(K164^$E$165)*EXP($F$165*K164)</f>
        <v>50354.516822042409</v>
      </c>
      <c r="Q178" s="84">
        <f t="shared" si="7"/>
        <v>3752.957645599517</v>
      </c>
      <c r="R178" s="84">
        <f t="shared" si="7"/>
        <v>548.41235087424684</v>
      </c>
      <c r="S178" s="85">
        <f t="shared" si="7"/>
        <v>548.41235087424684</v>
      </c>
      <c r="T178" s="4"/>
    </row>
    <row r="179" spans="1:20">
      <c r="A179" s="3"/>
      <c r="B179" s="291"/>
      <c r="C179" s="3" t="s">
        <v>162</v>
      </c>
      <c r="D179" s="86">
        <f t="shared" si="5"/>
        <v>7957.3654327904278</v>
      </c>
      <c r="E179" s="87">
        <f t="shared" si="5"/>
        <v>20580.084915480234</v>
      </c>
      <c r="F179" s="87">
        <f t="shared" si="5"/>
        <v>2293.8577924046085</v>
      </c>
      <c r="G179" s="88">
        <f t="shared" si="5"/>
        <v>2293.8577924046085</v>
      </c>
      <c r="H179" s="293"/>
      <c r="I179" s="48" t="s">
        <v>162</v>
      </c>
      <c r="J179" s="86">
        <f t="shared" si="6"/>
        <v>2820.4485118873376</v>
      </c>
      <c r="K179" s="87">
        <f t="shared" si="6"/>
        <v>33895.564770927151</v>
      </c>
      <c r="L179" s="87">
        <f t="shared" si="6"/>
        <v>452.12426790276174</v>
      </c>
      <c r="M179" s="88">
        <f t="shared" si="6"/>
        <v>452.12426790276174</v>
      </c>
      <c r="N179" s="291"/>
      <c r="O179" s="48" t="s">
        <v>162</v>
      </c>
      <c r="P179" s="86">
        <f t="shared" si="7"/>
        <v>3752.957645599517</v>
      </c>
      <c r="Q179" s="87">
        <f t="shared" si="7"/>
        <v>50354.516822042409</v>
      </c>
      <c r="R179" s="87">
        <f t="shared" si="7"/>
        <v>548.41235087424684</v>
      </c>
      <c r="S179" s="88">
        <f t="shared" si="7"/>
        <v>548.41235087424684</v>
      </c>
      <c r="T179" s="4"/>
    </row>
    <row r="180" spans="1:20">
      <c r="A180" s="3"/>
      <c r="B180" s="291"/>
      <c r="C180" s="3" t="s">
        <v>163</v>
      </c>
      <c r="D180" s="86">
        <f t="shared" si="5"/>
        <v>2293.8577924046085</v>
      </c>
      <c r="E180" s="87">
        <f t="shared" si="5"/>
        <v>2293.8577924046085</v>
      </c>
      <c r="F180" s="87">
        <f t="shared" si="5"/>
        <v>20580.084915480234</v>
      </c>
      <c r="G180" s="88">
        <f t="shared" si="5"/>
        <v>7957.3654327904278</v>
      </c>
      <c r="H180" s="293"/>
      <c r="I180" s="48" t="s">
        <v>163</v>
      </c>
      <c r="J180" s="86">
        <f t="shared" si="6"/>
        <v>452.12426790276174</v>
      </c>
      <c r="K180" s="87">
        <f t="shared" si="6"/>
        <v>452.12426790276174</v>
      </c>
      <c r="L180" s="87">
        <f t="shared" si="6"/>
        <v>33895.564770927151</v>
      </c>
      <c r="M180" s="88">
        <f t="shared" si="6"/>
        <v>2820.4485118873376</v>
      </c>
      <c r="N180" s="291"/>
      <c r="O180" s="48" t="s">
        <v>163</v>
      </c>
      <c r="P180" s="86">
        <f t="shared" si="7"/>
        <v>548.41235087424684</v>
      </c>
      <c r="Q180" s="87">
        <f t="shared" si="7"/>
        <v>548.41235087424684</v>
      </c>
      <c r="R180" s="87">
        <f t="shared" si="7"/>
        <v>50354.516822042409</v>
      </c>
      <c r="S180" s="88">
        <f t="shared" si="7"/>
        <v>3752.957645599517</v>
      </c>
      <c r="T180" s="4"/>
    </row>
    <row r="181" spans="1:20">
      <c r="A181" s="3"/>
      <c r="B181" s="292"/>
      <c r="C181" s="5" t="s">
        <v>164</v>
      </c>
      <c r="D181" s="89">
        <f t="shared" si="5"/>
        <v>2293.8577924046085</v>
      </c>
      <c r="E181" s="90">
        <f t="shared" si="5"/>
        <v>2293.8577924046085</v>
      </c>
      <c r="F181" s="90">
        <f t="shared" si="5"/>
        <v>7957.3654327904278</v>
      </c>
      <c r="G181" s="91">
        <f t="shared" si="5"/>
        <v>20580.084915480234</v>
      </c>
      <c r="H181" s="294"/>
      <c r="I181" s="47" t="s">
        <v>164</v>
      </c>
      <c r="J181" s="89">
        <f t="shared" si="6"/>
        <v>452.12426790276174</v>
      </c>
      <c r="K181" s="90">
        <f t="shared" si="6"/>
        <v>452.12426790276174</v>
      </c>
      <c r="L181" s="90">
        <f t="shared" si="6"/>
        <v>2820.4485118873376</v>
      </c>
      <c r="M181" s="91">
        <f t="shared" si="6"/>
        <v>33895.564770927151</v>
      </c>
      <c r="N181" s="292"/>
      <c r="O181" s="47" t="s">
        <v>164</v>
      </c>
      <c r="P181" s="89">
        <f t="shared" si="7"/>
        <v>548.41235087424684</v>
      </c>
      <c r="Q181" s="90">
        <f t="shared" si="7"/>
        <v>548.41235087424684</v>
      </c>
      <c r="R181" s="90">
        <f t="shared" si="7"/>
        <v>3752.957645599517</v>
      </c>
      <c r="S181" s="91">
        <f t="shared" si="7"/>
        <v>50354.516822042409</v>
      </c>
      <c r="T181" s="4"/>
    </row>
    <row r="182" spans="1:20">
      <c r="A182" s="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 spans="1:20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</row>
    <row r="184" spans="1:20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spans="1:20">
      <c r="A185" s="3"/>
      <c r="B185" s="57" t="s">
        <v>171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 spans="1:20">
      <c r="A186" s="3"/>
      <c r="B186" s="49"/>
      <c r="C186" s="285" t="s">
        <v>14</v>
      </c>
      <c r="D186" s="286"/>
      <c r="E186" s="286"/>
      <c r="F186" s="287"/>
      <c r="G186" s="4"/>
      <c r="H186" s="49"/>
      <c r="I186" s="285" t="s">
        <v>15</v>
      </c>
      <c r="J186" s="286"/>
      <c r="K186" s="286"/>
      <c r="L186" s="287"/>
      <c r="M186" s="4"/>
      <c r="N186" s="49"/>
      <c r="O186" s="285" t="s">
        <v>16</v>
      </c>
      <c r="P186" s="286"/>
      <c r="Q186" s="286"/>
      <c r="R186" s="287"/>
      <c r="S186" s="4"/>
      <c r="T186" s="4"/>
    </row>
    <row r="187" spans="1:20">
      <c r="A187" s="3"/>
      <c r="B187" s="47" t="s">
        <v>172</v>
      </c>
      <c r="C187" s="52" t="s">
        <v>115</v>
      </c>
      <c r="D187" s="51" t="s">
        <v>114</v>
      </c>
      <c r="E187" s="51" t="s">
        <v>113</v>
      </c>
      <c r="F187" s="56" t="s">
        <v>117</v>
      </c>
      <c r="G187" s="4"/>
      <c r="H187" s="47" t="s">
        <v>172</v>
      </c>
      <c r="I187" s="52" t="s">
        <v>115</v>
      </c>
      <c r="J187" s="51" t="s">
        <v>114</v>
      </c>
      <c r="K187" s="51" t="s">
        <v>113</v>
      </c>
      <c r="L187" s="56" t="s">
        <v>117</v>
      </c>
      <c r="M187" s="4"/>
      <c r="N187" s="47" t="s">
        <v>172</v>
      </c>
      <c r="O187" s="52" t="s">
        <v>115</v>
      </c>
      <c r="P187" s="51" t="s">
        <v>114</v>
      </c>
      <c r="Q187" s="51" t="s">
        <v>113</v>
      </c>
      <c r="R187" s="56" t="s">
        <v>117</v>
      </c>
      <c r="S187" s="4"/>
      <c r="T187" s="4"/>
    </row>
    <row r="188" spans="1:20">
      <c r="A188" s="3"/>
      <c r="B188" s="49">
        <v>1</v>
      </c>
      <c r="C188" s="3">
        <f>'1.model_summary'!$D$115*'1.model_summary'!$C$129+'1.model_summary'!$D$118*'1.model_summary'!$C$130+'1.model_summary'!$D$121*'1.model_summary'!$C$131</f>
        <v>17200</v>
      </c>
      <c r="D188" s="4">
        <f>'1.model_summary'!$D$116*'1.model_summary'!$D$129+'1.model_summary'!$D$119*'1.model_summary'!$D$130+'1.model_summary'!$D$122*'1.model_summary'!$D$131</f>
        <v>98800</v>
      </c>
      <c r="E188" s="4">
        <f>'1.model_summary'!$D$117*'1.model_summary'!$E$129+'1.model_summary'!$D$120*'1.model_summary'!$E$130+'1.model_summary'!$D$123*'1.model_summary'!$E$131</f>
        <v>116000</v>
      </c>
      <c r="F188" s="55">
        <f>SUM(C188:E188)</f>
        <v>232000</v>
      </c>
      <c r="G188" s="4"/>
      <c r="H188" s="49">
        <v>1</v>
      </c>
      <c r="I188" s="3">
        <f>'1.model_summary'!$E$115*'1.model_summary'!$C$129+'1.model_summary'!$E$118*'1.model_summary'!$C$130+'1.model_summary'!$E$121*'1.model_summary'!$C$131</f>
        <v>67200</v>
      </c>
      <c r="J188" s="4">
        <f>'1.model_summary'!$E$116*'1.model_summary'!$D$129+'1.model_summary'!$E$119*'1.model_summary'!$D$130+'1.model_summary'!$E$122*'1.model_summary'!$D$131</f>
        <v>262800</v>
      </c>
      <c r="K188" s="4">
        <f>'1.model_summary'!$E$117*'1.model_summary'!$E$129+'1.model_summary'!$E$120*'1.model_summary'!$E$130+'1.model_summary'!$E$123*'1.model_summary'!$E$131</f>
        <v>316400</v>
      </c>
      <c r="L188" s="55">
        <f>SUM(I188:K188)</f>
        <v>646400</v>
      </c>
      <c r="M188" s="4"/>
      <c r="N188" s="49">
        <v>1</v>
      </c>
      <c r="O188" s="3">
        <f>'1.model_summary'!$F$115*'1.model_summary'!$C$129+'1.model_summary'!$F$118*'1.model_summary'!$C$130+'1.model_summary'!$F$121*'1.model_summary'!$C$131</f>
        <v>27600</v>
      </c>
      <c r="P188" s="4">
        <f>'1.model_summary'!$F$116*'1.model_summary'!$D$129+'1.model_summary'!$F$119*'1.model_summary'!$D$130+'1.model_summary'!$F$122*'1.model_summary'!$D$131</f>
        <v>106800</v>
      </c>
      <c r="Q188" s="4">
        <f>'1.model_summary'!$F$117*'1.model_summary'!$E$129+'1.model_summary'!$F$120*'1.model_summary'!$E$130+'1.model_summary'!$F$123*'1.model_summary'!$E$131</f>
        <v>143200</v>
      </c>
      <c r="R188" s="55">
        <f>SUM(O188:Q188)</f>
        <v>277600</v>
      </c>
      <c r="S188" s="4"/>
      <c r="T188" s="4"/>
    </row>
    <row r="189" spans="1:20">
      <c r="A189" s="3"/>
      <c r="B189" s="48">
        <v>2</v>
      </c>
      <c r="C189" s="3">
        <f>'1.model_summary'!$D$115*'1.model_summary'!$F$129+'1.model_summary'!$D$118*'1.model_summary'!$F$130+'1.model_summary'!$D$121*'1.model_summary'!$F$131</f>
        <v>21400</v>
      </c>
      <c r="D189" s="4">
        <f>'1.model_summary'!$D$116*'1.model_summary'!$G$129+'1.model_summary'!$D$119*'1.model_summary'!$G$130+'1.model_summary'!$D$122*'1.model_summary'!$G$131</f>
        <v>106400</v>
      </c>
      <c r="E189" s="4">
        <f>'1.model_summary'!$D$117*'1.model_summary'!$H$129+'1.model_summary'!$D$120*'1.model_summary'!$H$130+'1.model_summary'!$D$123*'1.model_summary'!$H$131</f>
        <v>84400</v>
      </c>
      <c r="F189" s="55">
        <f>SUM(C189:E189)</f>
        <v>212200</v>
      </c>
      <c r="G189" s="4"/>
      <c r="H189" s="48">
        <v>2</v>
      </c>
      <c r="I189" s="3">
        <f>'1.model_summary'!$E$115*'1.model_summary'!$F$129+'1.model_summary'!$E$118*'1.model_summary'!$F$130+'1.model_summary'!$E$121*'1.model_summary'!$F$131</f>
        <v>81600</v>
      </c>
      <c r="J189" s="4">
        <f>'1.model_summary'!$E$116*'1.model_summary'!$G$129+'1.model_summary'!$E$119*'1.model_summary'!$G$130+'1.model_summary'!$E$122*'1.model_summary'!$G$131</f>
        <v>284400</v>
      </c>
      <c r="K189" s="4">
        <f>'1.model_summary'!$E$117*'1.model_summary'!$H$129+'1.model_summary'!$E$120*'1.model_summary'!$H$130+'1.model_summary'!$E$123*'1.model_summary'!$H$131</f>
        <v>230000</v>
      </c>
      <c r="L189" s="55">
        <f>SUM(I189:K189)</f>
        <v>596000</v>
      </c>
      <c r="M189" s="4"/>
      <c r="N189" s="48">
        <v>2</v>
      </c>
      <c r="O189" s="3">
        <f>'1.model_summary'!$F$115*'1.model_summary'!$F$129+'1.model_summary'!$F$118*'1.model_summary'!$F$130+'1.model_summary'!$F$121*'1.model_summary'!$F$131</f>
        <v>33200</v>
      </c>
      <c r="P189" s="4">
        <f>'1.model_summary'!$F$116*'1.model_summary'!$G$129+'1.model_summary'!$F$119*'1.model_summary'!$G$130+'1.model_summary'!$F$122*'1.model_summary'!$G$131</f>
        <v>115400</v>
      </c>
      <c r="Q189" s="4">
        <f>'1.model_summary'!$F$117*'1.model_summary'!$H$129+'1.model_summary'!$F$120*'1.model_summary'!$H$130+'1.model_summary'!$F$123*'1.model_summary'!$H$131</f>
        <v>104400</v>
      </c>
      <c r="R189" s="55">
        <f>SUM(O189:Q189)</f>
        <v>253000</v>
      </c>
      <c r="S189" s="4"/>
      <c r="T189" s="4"/>
    </row>
    <row r="190" spans="1:20">
      <c r="A190" s="3"/>
      <c r="B190" s="48">
        <v>3</v>
      </c>
      <c r="C190" s="3">
        <f>'1.model_summary'!$D$115*'1.model_summary'!$C$134+'1.model_summary'!$D$118*'1.model_summary'!$C$135+'1.model_summary'!$D$121*'1.model_summary'!$C$136</f>
        <v>12800</v>
      </c>
      <c r="D190" s="4">
        <f>'1.model_summary'!$D$116*'1.model_summary'!$D$134+'1.model_summary'!$D$119*'1.model_summary'!$D$135+'1.model_summary'!$D$122*'1.model_summary'!$D$136</f>
        <v>58200</v>
      </c>
      <c r="E190" s="4">
        <f>'1.model_summary'!$D$117*'1.model_summary'!$E$134+'1.model_summary'!$D$120*'1.model_summary'!$E$135+'1.model_summary'!$D$123*'1.model_summary'!$E$136</f>
        <v>93000</v>
      </c>
      <c r="F190" s="54">
        <f>SUM(C190:E190)</f>
        <v>164000</v>
      </c>
      <c r="G190" s="4"/>
      <c r="H190" s="48">
        <v>3</v>
      </c>
      <c r="I190" s="3">
        <f>'1.model_summary'!$E$115*'1.model_summary'!$C$134+'1.model_summary'!$E$118*'1.model_summary'!$C$135+'1.model_summary'!$E$121*'1.model_summary'!$C$136</f>
        <v>48000</v>
      </c>
      <c r="J190" s="4">
        <f>'1.model_summary'!$E$116*'1.model_summary'!$D$134+'1.model_summary'!$E$119*'1.model_summary'!$D$135+'1.model_summary'!$E$122*'1.model_summary'!$D$136</f>
        <v>156600</v>
      </c>
      <c r="K190" s="4">
        <f>'1.model_summary'!$E$117*'1.model_summary'!$E$134+'1.model_summary'!$E$120*'1.model_summary'!$E$135+'1.model_summary'!$E$123*'1.model_summary'!$E$136</f>
        <v>253000</v>
      </c>
      <c r="L190" s="54">
        <f>SUM(I190:K190)</f>
        <v>457600</v>
      </c>
      <c r="M190" s="4"/>
      <c r="N190" s="48">
        <v>3</v>
      </c>
      <c r="O190" s="3">
        <f>'1.model_summary'!$F$115*'1.model_summary'!$C$134+'1.model_summary'!$F$118*'1.model_summary'!$C$135+'1.model_summary'!$F$121*'1.model_summary'!$C$136</f>
        <v>19400</v>
      </c>
      <c r="P190" s="4">
        <f>'1.model_summary'!$F$116*'1.model_summary'!$D$134+'1.model_summary'!$F$119*'1.model_summary'!$D$135+'1.model_summary'!$F$122*'1.model_summary'!$D$136</f>
        <v>63399.999999999993</v>
      </c>
      <c r="Q190" s="4">
        <f>'1.model_summary'!$F$117*'1.model_summary'!$E$134+'1.model_summary'!$F$120*'1.model_summary'!$E$135+'1.model_summary'!$F$123*'1.model_summary'!$E$136</f>
        <v>115000</v>
      </c>
      <c r="R190" s="54">
        <f>SUM(O190:Q190)</f>
        <v>197800</v>
      </c>
      <c r="S190" s="4"/>
      <c r="T190" s="4"/>
    </row>
    <row r="191" spans="1:20">
      <c r="A191" s="3"/>
      <c r="B191" s="47">
        <v>4</v>
      </c>
      <c r="C191" s="5">
        <f>'1.model_summary'!$D$115*'1.model_summary'!$F$134+'1.model_summary'!$D$118*'1.model_summary'!$F$135+'1.model_summary'!$D$121*'1.model_summary'!$F$136</f>
        <v>0</v>
      </c>
      <c r="D191" s="6">
        <f>'1.model_summary'!$D$116*'1.model_summary'!$G$134+'1.model_summary'!$D$119*'1.model_summary'!$G$135+'1.model_summary'!$D$122*'1.model_summary'!$G$136</f>
        <v>39600</v>
      </c>
      <c r="E191" s="6">
        <f>'1.model_summary'!$D$117*'1.model_summary'!$H$134+'1.model_summary'!$D$120*'1.model_summary'!$H$135+'1.model_summary'!$D$123*'1.model_summary'!$H$136</f>
        <v>95800</v>
      </c>
      <c r="F191" s="53">
        <f>SUM(C191:E191)</f>
        <v>135400</v>
      </c>
      <c r="G191" s="4"/>
      <c r="H191" s="47">
        <v>4</v>
      </c>
      <c r="I191" s="5">
        <f>'1.model_summary'!$E$115*'1.model_summary'!$F$134+'1.model_summary'!$E$118*'1.model_summary'!$F$135+'1.model_summary'!$E$121*'1.model_summary'!$F$136</f>
        <v>0</v>
      </c>
      <c r="J191" s="6">
        <f>'1.model_summary'!$E$116*'1.model_summary'!$G$134+'1.model_summary'!$E$119*'1.model_summary'!$G$135+'1.model_summary'!$E$122*'1.model_summary'!$G$136</f>
        <v>106800</v>
      </c>
      <c r="K191" s="6">
        <f>'1.model_summary'!$E$117*'1.model_summary'!$H$134+'1.model_summary'!$E$120*'1.model_summary'!$H$135+'1.model_summary'!$E$123*'1.model_summary'!$H$136</f>
        <v>260600</v>
      </c>
      <c r="L191" s="53">
        <f>SUM(I191:K191)</f>
        <v>367400</v>
      </c>
      <c r="M191" s="4"/>
      <c r="N191" s="47">
        <v>4</v>
      </c>
      <c r="O191" s="5">
        <f>'1.model_summary'!$F$115*'1.model_summary'!$F$134+'1.model_summary'!$F$118*'1.model_summary'!$F$135+'1.model_summary'!$F$121*'1.model_summary'!$F$136</f>
        <v>0</v>
      </c>
      <c r="P191" s="6">
        <f>'1.model_summary'!$F$116*'1.model_summary'!$G$134+'1.model_summary'!$F$119*'1.model_summary'!$G$135+'1.model_summary'!$F$122*'1.model_summary'!$G$136</f>
        <v>43200</v>
      </c>
      <c r="Q191" s="6">
        <f>'1.model_summary'!$F$117*'1.model_summary'!$H$134+'1.model_summary'!$F$120*'1.model_summary'!$H$135+'1.model_summary'!$F$123*'1.model_summary'!$H$136</f>
        <v>118600</v>
      </c>
      <c r="R191" s="53">
        <f>SUM(O191:Q191)</f>
        <v>161800</v>
      </c>
      <c r="S191" s="4"/>
      <c r="T191" s="4"/>
    </row>
    <row r="192" spans="1:20">
      <c r="A192" s="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 spans="1:20">
      <c r="A193" s="3"/>
      <c r="B193" s="57" t="s">
        <v>173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 spans="1:20">
      <c r="A194" s="3"/>
      <c r="B194" s="52" t="s">
        <v>172</v>
      </c>
      <c r="C194" s="52" t="s">
        <v>14</v>
      </c>
      <c r="D194" s="51" t="s">
        <v>15</v>
      </c>
      <c r="E194" s="50" t="s">
        <v>16</v>
      </c>
      <c r="F194" s="56" t="s">
        <v>117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 spans="1:20">
      <c r="A195" s="3"/>
      <c r="B195" s="3">
        <v>1</v>
      </c>
      <c r="C195" s="3">
        <f>'1.model_summary'!$G$143*'1.model_summary'!$G$152</f>
        <v>290000</v>
      </c>
      <c r="D195" s="4">
        <f>'1.model_summary'!$C$144*'1.model_summary'!$C$152+'1.model_summary'!$D$144*'1.model_summary'!$D$152+'1.model_summary'!$E$144*'1.model_summary'!$E$152+'1.model_summary'!$F$144*'1.model_summary'!$F$152</f>
        <v>954000</v>
      </c>
      <c r="E195" s="16">
        <f>'1.model_summary'!$C$145*'1.model_summary'!$C$152+'1.model_summary'!$D$145*'1.model_summary'!$D$152+'1.model_summary'!$E$145*'1.model_summary'!$E$152+'1.model_summary'!$F$145*'1.model_summary'!$F$152</f>
        <v>486000</v>
      </c>
      <c r="F195" s="55">
        <f>SUM(C195:E195)</f>
        <v>1730000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 spans="1:20">
      <c r="A196" s="3"/>
      <c r="B196" s="3">
        <v>2</v>
      </c>
      <c r="C196" s="3">
        <f>'1.model_summary'!$G$143*'1.model_summary'!$G$153</f>
        <v>232000</v>
      </c>
      <c r="D196" s="4">
        <f>'1.model_summary'!$C$144*'1.model_summary'!$C$153+'1.model_summary'!$D$144*'1.model_summary'!$D$153+'1.model_summary'!$E$144*'1.model_summary'!$E$153+'1.model_summary'!$F$144*'1.model_summary'!$F$153</f>
        <v>916000</v>
      </c>
      <c r="E196" s="16">
        <f>'1.model_summary'!$C$145*'1.model_summary'!$C$153+'1.model_summary'!$D$145*'1.model_summary'!$D$153+'1.model_summary'!$E$145*'1.model_summary'!$E$153+'1.model_summary'!$F$145*'1.model_summary'!$F$153</f>
        <v>456000</v>
      </c>
      <c r="F196" s="55">
        <f>SUM(C196:E196)</f>
        <v>1604000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 spans="1:20">
      <c r="A197" s="3"/>
      <c r="B197" s="3">
        <v>3</v>
      </c>
      <c r="C197" s="3">
        <f>'1.model_summary'!$G$143*'1.model_summary'!$G$154</f>
        <v>116000</v>
      </c>
      <c r="D197" s="4">
        <f>'1.model_summary'!$C$144*'1.model_summary'!$C$154+'1.model_summary'!$D$144*'1.model_summary'!$D$154+'1.model_summary'!$E$144*'1.model_summary'!$E$154+'1.model_summary'!$F$144*'1.model_summary'!$F$154</f>
        <v>330000</v>
      </c>
      <c r="E197" s="16">
        <f>'1.model_summary'!$C$145*'1.model_summary'!$C$154+'1.model_summary'!$D$145*'1.model_summary'!$D$154+'1.model_summary'!$E$145*'1.model_summary'!$E$154+'1.model_summary'!$F$145*'1.model_summary'!$F$154</f>
        <v>180000</v>
      </c>
      <c r="F197" s="55">
        <f>SUM(C197:E197)</f>
        <v>626000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 spans="1:20">
      <c r="A198" s="3"/>
      <c r="B198" s="5">
        <v>4</v>
      </c>
      <c r="C198" s="5">
        <f>'1.model_summary'!$G$143*'1.model_summary'!$G$155</f>
        <v>5800</v>
      </c>
      <c r="D198" s="6">
        <f>'1.model_summary'!$C$144*'1.model_summary'!$C$155+'1.model_summary'!$D$144*'1.model_summary'!$D$155+'1.model_summary'!$E$144*'1.model_summary'!$E$155+'1.model_summary'!$F$144*'1.model_summary'!$F$155</f>
        <v>75400</v>
      </c>
      <c r="E198" s="17">
        <f>'1.model_summary'!$C$145*'1.model_summary'!$C$155+'1.model_summary'!$D$145*'1.model_summary'!$D$155+'1.model_summary'!$E$145*'1.model_summary'!$E$155+'1.model_summary'!$F$145*'1.model_summary'!$F$155</f>
        <v>40600</v>
      </c>
      <c r="F198" s="53">
        <f>SUM(C198:E198)</f>
        <v>121800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 spans="1:20">
      <c r="A199" s="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 spans="1:20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</row>
    <row r="203" spans="1:20">
      <c r="A203" s="10" t="s">
        <v>174</v>
      </c>
    </row>
    <row r="205" spans="1:20">
      <c r="C205" s="276" t="s">
        <v>160</v>
      </c>
      <c r="D205" s="277"/>
      <c r="E205" s="277"/>
      <c r="F205" s="278"/>
      <c r="J205" s="276" t="s">
        <v>160</v>
      </c>
      <c r="K205" s="277"/>
      <c r="L205" s="277"/>
      <c r="M205" s="278"/>
      <c r="Q205" s="276" t="s">
        <v>160</v>
      </c>
      <c r="R205" s="277"/>
      <c r="S205" s="277"/>
      <c r="T205" s="278"/>
    </row>
    <row r="206" spans="1:20">
      <c r="B206" s="4" t="s">
        <v>14</v>
      </c>
      <c r="C206" s="52" t="s">
        <v>161</v>
      </c>
      <c r="D206" s="51" t="s">
        <v>162</v>
      </c>
      <c r="E206" s="51" t="s">
        <v>163</v>
      </c>
      <c r="F206" s="50" t="s">
        <v>164</v>
      </c>
      <c r="I206" s="4" t="s">
        <v>15</v>
      </c>
      <c r="J206" s="5" t="s">
        <v>161</v>
      </c>
      <c r="K206" s="6" t="s">
        <v>162</v>
      </c>
      <c r="L206" s="6" t="s">
        <v>163</v>
      </c>
      <c r="M206" s="17" t="s">
        <v>164</v>
      </c>
      <c r="P206" s="4" t="s">
        <v>16</v>
      </c>
      <c r="Q206" s="52" t="s">
        <v>161</v>
      </c>
      <c r="R206" s="51" t="s">
        <v>162</v>
      </c>
      <c r="S206" s="51" t="s">
        <v>163</v>
      </c>
      <c r="T206" s="50" t="s">
        <v>164</v>
      </c>
    </row>
    <row r="207" spans="1:20" ht="15" customHeight="1">
      <c r="A207" s="305" t="s">
        <v>165</v>
      </c>
      <c r="B207" s="49" t="s">
        <v>161</v>
      </c>
      <c r="C207" s="3">
        <f>ROUND(F188*(C195*D178)/(C195*D178+C196*E178+C197*F178+C198*G178),0)</f>
        <v>171074</v>
      </c>
      <c r="D207" s="4">
        <f>ROUND(F188*(C196*E178)/(C195*D178+C196*E178+C197*F178+C198*G178),0)</f>
        <v>52917</v>
      </c>
      <c r="E207" s="4">
        <f>ROUND(F188*(C197*F178)/(C195*D178+C196*E178+C197*F178+C198*G178),0)</f>
        <v>7627</v>
      </c>
      <c r="F207" s="16">
        <f>ROUND(F188*(C198*G178)/(C195*D178+C196*E178+C197*F178+C198*G178),0)</f>
        <v>381</v>
      </c>
      <c r="H207" s="305" t="s">
        <v>165</v>
      </c>
      <c r="I207" s="15" t="s">
        <v>161</v>
      </c>
      <c r="J207" s="1">
        <f>ROUND(L188*(D195*J178)/(D195*J178+D196*K178+D197*L178+D198*M178),0)</f>
        <v>595451</v>
      </c>
      <c r="K207" s="2">
        <f>ROUND(L188*(D196*K178)/(D195*J178+D196*K178+D197*L178+D198*M178),0)</f>
        <v>47574</v>
      </c>
      <c r="L207" s="2">
        <f>ROUND(L188*(D197*L178)/(D195*J178+D196*K178+D197*L178+D198*M178),0)</f>
        <v>2747</v>
      </c>
      <c r="M207" s="15">
        <f>ROUND(L188*(D198*M178)/(D195*J178+D196*K178+D197*L178+D198*M178),0)</f>
        <v>628</v>
      </c>
      <c r="O207" s="305" t="s">
        <v>165</v>
      </c>
      <c r="P207" s="49" t="s">
        <v>161</v>
      </c>
      <c r="Q207" s="1">
        <f>ROUND(R188*(E195*P178)/(E195*P178+E196*Q178+E197*R178+E198*S178),0)</f>
        <v>258263</v>
      </c>
      <c r="R207" s="2">
        <f>ROUND(R188*(E196*Q178)/(E195*P178+E196*Q178+E197*R178+E198*S178),0)</f>
        <v>18060</v>
      </c>
      <c r="S207" s="2">
        <f>ROUND(R188*(E197*R178)/(E195*P178+E196*Q178+E197*R178+E198*S178),0)</f>
        <v>1042</v>
      </c>
      <c r="T207" s="15">
        <f>ROUND(R188*(E198*S178)/(E195*P178+E196*Q178+E197*R178+E198*S178),0)</f>
        <v>235</v>
      </c>
    </row>
    <row r="208" spans="1:20">
      <c r="A208" s="306"/>
      <c r="B208" s="48" t="s">
        <v>162</v>
      </c>
      <c r="C208" s="3">
        <f>ROUND(F189*(C195*D179)/(C195*D179+C196*E179+C197*F179+C198*G179),0)</f>
        <v>66518</v>
      </c>
      <c r="D208" s="4">
        <f>ROUND(F189*(C196*E179)/(C195*D179+C196*E179+C197*F179+C198*G179),0)</f>
        <v>137628</v>
      </c>
      <c r="E208" s="4">
        <f>ROUND(F189*(C197*F179)/(C195*D179+C196*E179+C197*F179+C198*G179),0)</f>
        <v>7670</v>
      </c>
      <c r="F208" s="16">
        <f>ROUND(F189*(C198*G179)/(C195*D179+C196*E179+C197*F179+C198*G179),0)</f>
        <v>384</v>
      </c>
      <c r="H208" s="306"/>
      <c r="I208" s="16" t="s">
        <v>162</v>
      </c>
      <c r="J208" s="3">
        <f>ROUND(L189*(D195*J179)/(D195*J179+D196*K179+D197*L179+D198*M179),0)</f>
        <v>47275</v>
      </c>
      <c r="K208" s="4">
        <f>ROUND(L189*(D196*K179)/(D195*J179+D196*K179+D197*L179+D198*M179),0)</f>
        <v>545505</v>
      </c>
      <c r="L208" s="4">
        <f>ROUND(L189*(D197*L179)/(D195*J179+D196*K179+D197*L179+D198*M179),0)</f>
        <v>2621</v>
      </c>
      <c r="M208" s="16">
        <f>ROUND(L189*(D198*M179)/(D195*J179+D196*K179+D197*L179+D198*M179),0)</f>
        <v>599</v>
      </c>
      <c r="O208" s="306"/>
      <c r="P208" s="48" t="s">
        <v>162</v>
      </c>
      <c r="Q208" s="3">
        <f>ROUND(R189*(E195*P179)/(E195*P179+E196*Q179+E197*R179+E198*S179),0)</f>
        <v>18527</v>
      </c>
      <c r="R208" s="4">
        <f>ROUND(R189*(E196*Q179)/(E195*P179+E196*Q179+E197*R179+E198*S179),0)</f>
        <v>233244</v>
      </c>
      <c r="S208" s="4">
        <f>ROUND(R189*(E197*R179)/(E195*P179+E196*Q179+E197*R179+E198*S179),0)</f>
        <v>1003</v>
      </c>
      <c r="T208" s="16">
        <f>ROUND(R189*(E198*S179)/(E195*P179+E196*Q179+E197*R179+E198*S179),0)</f>
        <v>226</v>
      </c>
    </row>
    <row r="209" spans="1:20">
      <c r="A209" s="306"/>
      <c r="B209" s="48" t="s">
        <v>163</v>
      </c>
      <c r="C209" s="3">
        <f>ROUND(F190*(C195*D180)/(C195*D180+C196*E180+C197*F180+C198*G180),0)</f>
        <v>30047</v>
      </c>
      <c r="D209" s="4">
        <f>ROUND(F190*(C196*E180)/(C195*D180+C196*E180+C197*F180+C198*G180),0)</f>
        <v>24038</v>
      </c>
      <c r="E209" s="4">
        <f>ROUND(F190*(C197*F180)/(C195*D180+C196*E180+C197*F180+C198*G180),0)</f>
        <v>107831</v>
      </c>
      <c r="F209" s="16">
        <f>ROUND(F190*(C198*G180)/(C195*D180+C196*E180+C197*F180+C198*G180),0)</f>
        <v>2085</v>
      </c>
      <c r="H209" s="306"/>
      <c r="I209" s="16" t="s">
        <v>163</v>
      </c>
      <c r="J209" s="3">
        <f>ROUND(L190*(D195*J180)/(D195*J180+D196*K180+D197*L180+D198*M180),0)</f>
        <v>16121</v>
      </c>
      <c r="K209" s="4">
        <f>ROUND(L190*(D196*K180)/(D195*J180+D196*K180+D197*L180+D198*M180),0)</f>
        <v>15478</v>
      </c>
      <c r="L209" s="4">
        <f>ROUND(L190*(D197*L180)/(D195*J180+D196*K180+D197*L180+D198*M180),0)</f>
        <v>418053</v>
      </c>
      <c r="M209" s="16">
        <f>ROUND(L190*(D198*M180)/(D195*J180+D196*K180+D197*L180+D198*M180),0)</f>
        <v>7948</v>
      </c>
      <c r="O209" s="306"/>
      <c r="P209" s="48" t="s">
        <v>163</v>
      </c>
      <c r="Q209" s="3">
        <f>ROUND(R190*(E195*P180)/(E195*P180+E196*Q180+E197*R180+E198*S180),0)</f>
        <v>5417</v>
      </c>
      <c r="R209" s="4">
        <f>ROUND(R190*(E196*Q180)/(E195*P180+E196*Q180+E197*R180+E198*S180),0)</f>
        <v>5082</v>
      </c>
      <c r="S209" s="4">
        <f>ROUND(R190*(E197*R180)/(E195*P180+E196*Q180+E197*R180+E198*S180),0)</f>
        <v>184204</v>
      </c>
      <c r="T209" s="16">
        <f>ROUND(R190*(E198*S180)/(E195*P180+E196*Q180+E197*R180+E198*S180),0)</f>
        <v>3097</v>
      </c>
    </row>
    <row r="210" spans="1:20">
      <c r="A210" s="307"/>
      <c r="B210" s="47" t="s">
        <v>164</v>
      </c>
      <c r="C210" s="5">
        <f>ROUND(F191*(C195*D181)/(C195*D181+C196*E181+C197*F181+C198*G181),0)</f>
        <v>40213</v>
      </c>
      <c r="D210" s="6">
        <f>ROUND(F191*(C196*E181)/(C195*D181+C196*E181+C197*F181+C198*G181),0)</f>
        <v>32171</v>
      </c>
      <c r="E210" s="6">
        <f>ROUND(F191*(C197*F181)/(C195*D181+C196*E181+C197*F181+C198*G181),0)</f>
        <v>55800</v>
      </c>
      <c r="F210" s="17">
        <f>ROUND(F191*(C198*G181)/(C195*D181+C196*E181+C197*F181+C198*G181),0)</f>
        <v>7216</v>
      </c>
      <c r="H210" s="307"/>
      <c r="I210" s="17" t="s">
        <v>164</v>
      </c>
      <c r="J210" s="5">
        <f>ROUND(L191*(D195*J181)/(D195*J181+D196*K181+D197*L181+D198*M181),0)</f>
        <v>36582</v>
      </c>
      <c r="K210" s="6">
        <f>ROUND(L191*(D196*K181)/(D195*J181+D196*K181+D197*L181+D198*M181),0)</f>
        <v>35124</v>
      </c>
      <c r="L210" s="6">
        <f>ROUND(L191*(D197*L181)/(D195*J181+D196*K181+D197*L181+D198*M181),0)</f>
        <v>78938</v>
      </c>
      <c r="M210" s="17">
        <f>ROUND(L191*(D198*M181)/(D195*J181+D196*K181+D197*L181+D198*M181),0)</f>
        <v>216756</v>
      </c>
      <c r="O210" s="307"/>
      <c r="P210" s="47" t="s">
        <v>164</v>
      </c>
      <c r="Q210" s="5">
        <f>ROUND(R191*(E195*P181)/(E195*P181+E196*Q181+E197*R181+E198*S181),0)</f>
        <v>13324</v>
      </c>
      <c r="R210" s="6">
        <f>ROUND(R191*(E196*Q181)/(E195*P181+E196*Q181+E197*R181+E198*S181),0)</f>
        <v>12502</v>
      </c>
      <c r="S210" s="6">
        <f>ROUND(R191*(E197*R181)/(E195*P181+E196*Q181+E197*R181+E198*S181),0)</f>
        <v>33771</v>
      </c>
      <c r="T210" s="17">
        <f>ROUND(R191*(E198*S181)/(E195*P181+E196*Q181+E197*R181+E198*S181),0)</f>
        <v>102203</v>
      </c>
    </row>
    <row r="214" spans="1:20">
      <c r="B214" s="10" t="s">
        <v>175</v>
      </c>
    </row>
    <row r="216" spans="1:20">
      <c r="D216" s="276" t="s">
        <v>160</v>
      </c>
      <c r="E216" s="277"/>
      <c r="F216" s="277"/>
      <c r="G216" s="278"/>
    </row>
    <row r="217" spans="1:20">
      <c r="C217" s="4" t="s">
        <v>176</v>
      </c>
      <c r="D217" s="52" t="s">
        <v>161</v>
      </c>
      <c r="E217" s="51" t="s">
        <v>162</v>
      </c>
      <c r="F217" s="51" t="s">
        <v>163</v>
      </c>
      <c r="G217" s="50" t="s">
        <v>164</v>
      </c>
    </row>
    <row r="218" spans="1:20" ht="15" customHeight="1">
      <c r="B218" s="305" t="s">
        <v>165</v>
      </c>
      <c r="C218" s="49" t="s">
        <v>161</v>
      </c>
      <c r="D218" s="3">
        <f t="array" ref="D218:G221">C207:F210+J207:M210+Q207:T210</f>
        <v>1024788</v>
      </c>
      <c r="E218" s="4">
        <v>118551</v>
      </c>
      <c r="F218" s="4">
        <v>11416</v>
      </c>
      <c r="G218" s="16">
        <v>1244</v>
      </c>
    </row>
    <row r="219" spans="1:20">
      <c r="B219" s="306"/>
      <c r="C219" s="48" t="s">
        <v>162</v>
      </c>
      <c r="D219" s="3">
        <v>132320</v>
      </c>
      <c r="E219" s="4">
        <v>916377</v>
      </c>
      <c r="F219" s="4">
        <v>11294</v>
      </c>
      <c r="G219" s="16">
        <v>1209</v>
      </c>
    </row>
    <row r="220" spans="1:20">
      <c r="B220" s="306"/>
      <c r="C220" s="48" t="s">
        <v>163</v>
      </c>
      <c r="D220" s="3">
        <v>51585</v>
      </c>
      <c r="E220" s="4">
        <v>44598</v>
      </c>
      <c r="F220" s="4">
        <v>710088</v>
      </c>
      <c r="G220" s="16">
        <v>13130</v>
      </c>
    </row>
    <row r="221" spans="1:20">
      <c r="B221" s="307"/>
      <c r="C221" s="47" t="s">
        <v>164</v>
      </c>
      <c r="D221" s="5">
        <v>90119</v>
      </c>
      <c r="E221" s="6">
        <v>79797</v>
      </c>
      <c r="F221" s="6">
        <v>168509</v>
      </c>
      <c r="G221" s="17">
        <v>326175</v>
      </c>
    </row>
    <row r="223" spans="1:20">
      <c r="B223" s="4"/>
      <c r="C223" s="4"/>
      <c r="D223" s="4"/>
      <c r="E223" s="4"/>
      <c r="F223" s="4"/>
      <c r="G223" s="4"/>
      <c r="H223" s="4"/>
    </row>
    <row r="224" spans="1:20">
      <c r="B224" s="4"/>
      <c r="C224" s="4"/>
      <c r="D224" s="4"/>
      <c r="E224" s="4"/>
      <c r="F224" s="4"/>
      <c r="G224" s="4"/>
      <c r="H224" s="4"/>
    </row>
    <row r="225" spans="2:8">
      <c r="B225" s="4"/>
      <c r="C225" s="4"/>
      <c r="D225" s="4"/>
      <c r="E225" s="4"/>
      <c r="F225" s="4"/>
      <c r="G225" s="4"/>
      <c r="H225" s="4"/>
    </row>
    <row r="226" spans="2:8">
      <c r="B226" s="4"/>
      <c r="C226" s="4"/>
      <c r="D226" s="4"/>
      <c r="E226" s="4"/>
      <c r="F226" s="4"/>
      <c r="G226" s="4"/>
      <c r="H226" s="4"/>
    </row>
    <row r="227" spans="2:8">
      <c r="B227" s="4"/>
      <c r="C227" s="4"/>
      <c r="D227" s="4"/>
      <c r="E227" s="4"/>
      <c r="F227" s="4"/>
      <c r="G227" s="4"/>
      <c r="H227" s="4"/>
    </row>
    <row r="228" spans="2:8">
      <c r="B228" s="4"/>
      <c r="C228" s="4"/>
      <c r="D228" s="4"/>
      <c r="E228" s="4"/>
      <c r="F228" s="4"/>
      <c r="G228" s="4"/>
      <c r="H228" s="4"/>
    </row>
    <row r="229" spans="2:8">
      <c r="B229" s="4"/>
      <c r="C229" s="4"/>
      <c r="D229" s="4"/>
      <c r="E229" s="4"/>
      <c r="F229" s="4"/>
      <c r="G229" s="4"/>
      <c r="H229" s="4"/>
    </row>
  </sheetData>
  <mergeCells count="57">
    <mergeCell ref="T56:W56"/>
    <mergeCell ref="A207:A210"/>
    <mergeCell ref="H207:H210"/>
    <mergeCell ref="O207:O210"/>
    <mergeCell ref="C150:C151"/>
    <mergeCell ref="D150:G150"/>
    <mergeCell ref="D141:G141"/>
    <mergeCell ref="B162:C162"/>
    <mergeCell ref="K162:P162"/>
    <mergeCell ref="C127:E127"/>
    <mergeCell ref="F127:H127"/>
    <mergeCell ref="C132:E132"/>
    <mergeCell ref="F132:H132"/>
    <mergeCell ref="D83:I83"/>
    <mergeCell ref="B85:B90"/>
    <mergeCell ref="P176:S176"/>
    <mergeCell ref="D216:G216"/>
    <mergeCell ref="B218:B221"/>
    <mergeCell ref="C186:F186"/>
    <mergeCell ref="I186:L186"/>
    <mergeCell ref="O186:R186"/>
    <mergeCell ref="C205:F205"/>
    <mergeCell ref="J205:M205"/>
    <mergeCell ref="Q205:T205"/>
    <mergeCell ref="B178:B181"/>
    <mergeCell ref="H178:H181"/>
    <mergeCell ref="N178:N181"/>
    <mergeCell ref="B163:C163"/>
    <mergeCell ref="B164:C164"/>
    <mergeCell ref="I164:I169"/>
    <mergeCell ref="B165:C165"/>
    <mergeCell ref="B176:C177"/>
    <mergeCell ref="D176:G176"/>
    <mergeCell ref="H176:I177"/>
    <mergeCell ref="J176:M176"/>
    <mergeCell ref="N176:O177"/>
    <mergeCell ref="L125:O125"/>
    <mergeCell ref="B115:B117"/>
    <mergeCell ref="B118:B120"/>
    <mergeCell ref="B121:B123"/>
    <mergeCell ref="D113:F113"/>
    <mergeCell ref="L113:O113"/>
    <mergeCell ref="L119:O119"/>
    <mergeCell ref="B30:H30"/>
    <mergeCell ref="D43:F43"/>
    <mergeCell ref="B45:B47"/>
    <mergeCell ref="B48:B50"/>
    <mergeCell ref="B51:B53"/>
    <mergeCell ref="D68:F68"/>
    <mergeCell ref="J32:O32"/>
    <mergeCell ref="K33:K34"/>
    <mergeCell ref="L33:O33"/>
    <mergeCell ref="C31:E31"/>
    <mergeCell ref="F31:H31"/>
    <mergeCell ref="C36:E36"/>
    <mergeCell ref="F36:H36"/>
    <mergeCell ref="D59:F59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24"/>
  <sheetViews>
    <sheetView topLeftCell="AB1" workbookViewId="0">
      <selection activeCell="AC30" sqref="AC30"/>
    </sheetView>
  </sheetViews>
  <sheetFormatPr defaultRowHeight="15"/>
  <cols>
    <col min="2" max="2" width="11" customWidth="1"/>
    <col min="3" max="3" width="12.5703125" customWidth="1"/>
    <col min="4" max="4" width="11.7109375" customWidth="1"/>
    <col min="5" max="5" width="10.7109375" bestFit="1" customWidth="1"/>
    <col min="6" max="6" width="10.7109375" customWidth="1"/>
    <col min="8" max="8" width="25" bestFit="1" customWidth="1"/>
    <col min="9" max="9" width="13.28515625" bestFit="1" customWidth="1"/>
    <col min="10" max="10" width="23.7109375" customWidth="1"/>
    <col min="11" max="11" width="14.140625" customWidth="1"/>
    <col min="12" max="12" width="9.28515625" bestFit="1" customWidth="1"/>
    <col min="13" max="13" width="20.28515625" bestFit="1" customWidth="1"/>
    <col min="14" max="14" width="9.42578125" customWidth="1"/>
    <col min="15" max="15" width="15.85546875" customWidth="1"/>
    <col min="16" max="16" width="12.28515625" bestFit="1" customWidth="1"/>
    <col min="17" max="17" width="20.42578125" customWidth="1"/>
    <col min="18" max="18" width="19.42578125" bestFit="1" customWidth="1"/>
    <col min="19" max="19" width="12.85546875" bestFit="1" customWidth="1"/>
    <col min="20" max="20" width="32.5703125" customWidth="1"/>
    <col min="21" max="21" width="11.5703125" bestFit="1" customWidth="1"/>
    <col min="22" max="22" width="12.42578125" bestFit="1" customWidth="1"/>
    <col min="23" max="23" width="10.85546875" bestFit="1" customWidth="1"/>
    <col min="24" max="24" width="10.85546875" customWidth="1"/>
    <col min="25" max="25" width="11.5703125" bestFit="1" customWidth="1"/>
    <col min="26" max="26" width="13.5703125" customWidth="1"/>
    <col min="27" max="27" width="12.28515625" customWidth="1"/>
    <col min="28" max="28" width="10.85546875" customWidth="1"/>
    <col min="35" max="35" width="10.140625" bestFit="1" customWidth="1"/>
  </cols>
  <sheetData>
    <row r="1" spans="1:46" s="163" customFormat="1" ht="28.5" customHeight="1">
      <c r="J1" s="195" t="s">
        <v>412</v>
      </c>
      <c r="K1" s="196"/>
      <c r="L1" s="196"/>
      <c r="M1" s="196"/>
      <c r="N1" s="196"/>
      <c r="O1" s="315" t="s">
        <v>443</v>
      </c>
      <c r="P1" s="316"/>
      <c r="Q1" s="317"/>
      <c r="T1" s="218" t="s">
        <v>413</v>
      </c>
      <c r="U1" s="196" t="s">
        <v>312</v>
      </c>
      <c r="V1" s="164"/>
      <c r="W1" s="196"/>
      <c r="X1" s="164"/>
      <c r="Y1" s="322" t="s">
        <v>414</v>
      </c>
      <c r="Z1" s="323"/>
      <c r="AA1" s="324"/>
      <c r="AB1" s="195"/>
      <c r="AC1" s="163" t="s">
        <v>415</v>
      </c>
      <c r="AI1" s="163" t="s">
        <v>310</v>
      </c>
      <c r="AJ1" s="163" t="s">
        <v>316</v>
      </c>
      <c r="AL1" s="163" t="s">
        <v>316</v>
      </c>
      <c r="AN1" s="163" t="s">
        <v>316</v>
      </c>
      <c r="AP1" s="163" t="s">
        <v>316</v>
      </c>
      <c r="AR1" s="163" t="s">
        <v>316</v>
      </c>
    </row>
    <row r="2" spans="1:46" ht="15.75" thickBot="1">
      <c r="A2" s="325" t="s">
        <v>13</v>
      </c>
      <c r="B2" s="326"/>
      <c r="C2" s="327"/>
      <c r="D2" s="20"/>
      <c r="E2" s="20"/>
      <c r="F2" s="193"/>
      <c r="H2" s="216" t="s">
        <v>311</v>
      </c>
      <c r="I2" s="216" t="s">
        <v>187</v>
      </c>
      <c r="J2" s="210" t="s">
        <v>303</v>
      </c>
      <c r="K2" s="208" t="s">
        <v>304</v>
      </c>
      <c r="L2" s="208" t="s">
        <v>305</v>
      </c>
      <c r="M2" s="212" t="s">
        <v>306</v>
      </c>
      <c r="N2" s="318" t="s">
        <v>442</v>
      </c>
      <c r="O2" s="210" t="s">
        <v>307</v>
      </c>
      <c r="P2" s="208" t="s">
        <v>308</v>
      </c>
      <c r="Q2" s="200" t="s">
        <v>309</v>
      </c>
      <c r="R2" s="210" t="s">
        <v>314</v>
      </c>
      <c r="S2" s="217" t="s">
        <v>393</v>
      </c>
      <c r="T2" s="217" t="s">
        <v>314</v>
      </c>
      <c r="U2" s="215" t="s">
        <v>1</v>
      </c>
      <c r="V2" s="215" t="s">
        <v>2</v>
      </c>
      <c r="W2" s="114" t="s">
        <v>3</v>
      </c>
      <c r="X2" s="320" t="s">
        <v>442</v>
      </c>
      <c r="Y2" s="215" t="s">
        <v>1</v>
      </c>
      <c r="Z2" s="215" t="s">
        <v>2</v>
      </c>
      <c r="AA2" s="14" t="s">
        <v>3</v>
      </c>
      <c r="AB2" s="64" t="s">
        <v>148</v>
      </c>
      <c r="AC2" s="4" t="s">
        <v>7</v>
      </c>
      <c r="AD2" t="s">
        <v>8</v>
      </c>
      <c r="AE2" t="s">
        <v>9</v>
      </c>
      <c r="AF2" t="s">
        <v>10</v>
      </c>
      <c r="AG2" t="s">
        <v>11</v>
      </c>
      <c r="AH2" t="s">
        <v>12</v>
      </c>
      <c r="AI2" t="s">
        <v>0</v>
      </c>
      <c r="AJ2" t="s">
        <v>26</v>
      </c>
      <c r="AK2" t="s">
        <v>0</v>
      </c>
      <c r="AL2" t="s">
        <v>27</v>
      </c>
      <c r="AM2" t="s">
        <v>0</v>
      </c>
      <c r="AN2" t="s">
        <v>28</v>
      </c>
      <c r="AO2" t="s">
        <v>0</v>
      </c>
      <c r="AP2" t="s">
        <v>29</v>
      </c>
      <c r="AQ2" t="s">
        <v>0</v>
      </c>
      <c r="AR2" t="s">
        <v>30</v>
      </c>
      <c r="AS2" t="s">
        <v>0</v>
      </c>
      <c r="AT2" t="s">
        <v>31</v>
      </c>
    </row>
    <row r="3" spans="1:46" s="12" customFormat="1">
      <c r="A3" s="21"/>
      <c r="B3" s="22" t="s">
        <v>4</v>
      </c>
      <c r="C3" s="22" t="s">
        <v>5</v>
      </c>
      <c r="D3" s="23" t="s">
        <v>6</v>
      </c>
      <c r="E3" s="20"/>
      <c r="F3" s="193"/>
      <c r="G3" s="216" t="s">
        <v>0</v>
      </c>
      <c r="H3" s="193"/>
      <c r="I3" s="193"/>
      <c r="J3" s="211"/>
      <c r="K3" s="209"/>
      <c r="L3" s="209"/>
      <c r="M3" s="213"/>
      <c r="N3" s="319"/>
      <c r="O3" s="211"/>
      <c r="P3" s="209"/>
      <c r="Q3" s="201"/>
      <c r="R3" s="214"/>
      <c r="S3" s="113"/>
      <c r="T3" s="113"/>
      <c r="U3" s="213"/>
      <c r="V3" s="219"/>
      <c r="W3" s="213"/>
      <c r="X3" s="321"/>
      <c r="Y3" s="213"/>
      <c r="Z3" s="213"/>
      <c r="AA3" s="14"/>
      <c r="AB3" s="220" t="s">
        <v>32</v>
      </c>
      <c r="AC3" s="12">
        <f t="shared" ref="AC3:AH3" si="0">SUM(AC4:AC1001)</f>
        <v>714000</v>
      </c>
      <c r="AD3" s="12">
        <f t="shared" si="0"/>
        <v>643800</v>
      </c>
      <c r="AE3" s="12">
        <f t="shared" si="0"/>
        <v>1911000</v>
      </c>
      <c r="AF3" s="12">
        <f t="shared" si="0"/>
        <v>2315400</v>
      </c>
      <c r="AG3" s="12">
        <f t="shared" si="0"/>
        <v>775000</v>
      </c>
      <c r="AH3" s="12">
        <f t="shared" si="0"/>
        <v>1162600</v>
      </c>
      <c r="AI3" s="165"/>
      <c r="AJ3" s="12">
        <f>SUM(AJ4:AJ1001)</f>
        <v>714000</v>
      </c>
      <c r="AL3" s="12">
        <f>SUM(AL4:AL1001)</f>
        <v>714000</v>
      </c>
      <c r="AN3" s="12">
        <f>SUM(AN4:AN1001)</f>
        <v>1911000</v>
      </c>
      <c r="AP3" s="12">
        <f>SUM(AP4:AP1001)</f>
        <v>1911000</v>
      </c>
      <c r="AR3" s="12">
        <f>SUM(AR4:AR1001)</f>
        <v>1162600</v>
      </c>
      <c r="AT3" s="12">
        <f>SUM(AT4:AT1001)</f>
        <v>1162600</v>
      </c>
    </row>
    <row r="4" spans="1:46" ht="16.5" thickBot="1">
      <c r="A4" s="24" t="s">
        <v>14</v>
      </c>
      <c r="B4" s="106">
        <v>1.1000000000000001</v>
      </c>
      <c r="C4" s="106">
        <v>1.5</v>
      </c>
      <c r="D4" s="106">
        <v>2.1</v>
      </c>
      <c r="E4" s="20"/>
      <c r="F4" s="193"/>
      <c r="G4" s="216">
        <v>1</v>
      </c>
      <c r="H4" s="109">
        <v>140000</v>
      </c>
      <c r="I4" s="105">
        <v>1</v>
      </c>
      <c r="J4" s="198">
        <f>H4*I4</f>
        <v>140000</v>
      </c>
      <c r="K4" s="205">
        <v>0.14285714285714285</v>
      </c>
      <c r="L4" s="205">
        <v>0.5714285714285714</v>
      </c>
      <c r="M4" s="206">
        <v>0.2857142857142857</v>
      </c>
      <c r="N4" s="204">
        <f>SUM(K4:M4)</f>
        <v>0.99999999999999989</v>
      </c>
      <c r="O4" s="198">
        <f>$J4*K4</f>
        <v>20000</v>
      </c>
      <c r="P4" s="108">
        <f>$J4*L4</f>
        <v>80000</v>
      </c>
      <c r="Q4" s="108">
        <f>$J4*M4</f>
        <v>40000</v>
      </c>
      <c r="R4" s="199">
        <v>200000</v>
      </c>
      <c r="S4" s="109">
        <v>1</v>
      </c>
      <c r="T4" s="110">
        <f>R4*S4</f>
        <v>200000</v>
      </c>
      <c r="U4" s="107">
        <v>0.4</v>
      </c>
      <c r="V4" s="107">
        <v>0.2</v>
      </c>
      <c r="W4" s="107">
        <v>0.4</v>
      </c>
      <c r="X4" s="204">
        <f>SUM(U4:W4)</f>
        <v>1</v>
      </c>
      <c r="Y4" s="108">
        <f>$T4*U4</f>
        <v>80000</v>
      </c>
      <c r="Z4" s="108">
        <f t="shared" ref="Z4:AA4" si="1">$T4*V4</f>
        <v>40000</v>
      </c>
      <c r="AA4" s="110">
        <f t="shared" si="1"/>
        <v>80000</v>
      </c>
      <c r="AB4" s="3">
        <v>1</v>
      </c>
      <c r="AC4" s="221">
        <f>$O4*$B$4+$P4*$C$4+$Q4*$D$4</f>
        <v>226000</v>
      </c>
      <c r="AD4">
        <f t="shared" ref="AD4:AD9" si="2">$J4*$B$11+$Y4*$C$11+$Z4*$D$11+$AA4*$E$11</f>
        <v>290000</v>
      </c>
      <c r="AE4">
        <f t="shared" ref="AE4:AE9" si="3">$O4*$B$5+$P4*$C$5+$Q4*$D$5</f>
        <v>600000</v>
      </c>
      <c r="AF4">
        <f t="shared" ref="AF4:AF9" si="4">$J4*$B$12+$Y4*$C$12+$Z4*$D$12+$AA4*$E$12</f>
        <v>968000</v>
      </c>
      <c r="AG4">
        <f t="shared" ref="AG4:AG9" si="5">$O4*$B$6+$P4*$C$6+$Q4*$D$6</f>
        <v>244000</v>
      </c>
      <c r="AH4">
        <f t="shared" ref="AH4:AH9" si="6">$J4*$B$13+$Y4*$C$13+$Z4*$D$13+$AA4*$E$13</f>
        <v>486000</v>
      </c>
      <c r="AI4" s="165">
        <v>1</v>
      </c>
      <c r="AJ4" s="125">
        <f>AC4</f>
        <v>226000</v>
      </c>
      <c r="AK4">
        <v>1</v>
      </c>
      <c r="AL4" s="125">
        <f>$AC$3*AD4/$AD$3</f>
        <v>321621.6216216216</v>
      </c>
      <c r="AM4">
        <v>1</v>
      </c>
      <c r="AN4" s="125">
        <f>AE4</f>
        <v>600000</v>
      </c>
      <c r="AO4">
        <v>1</v>
      </c>
      <c r="AP4" s="125">
        <f>$AE$3*AF4/$AF$3</f>
        <v>798932.36589790101</v>
      </c>
      <c r="AQ4">
        <v>1</v>
      </c>
      <c r="AR4" s="125">
        <f>$AH$3*AG4/$AG$3</f>
        <v>366031.48387096776</v>
      </c>
      <c r="AS4">
        <v>1</v>
      </c>
      <c r="AT4" s="125">
        <f>AH4</f>
        <v>486000</v>
      </c>
    </row>
    <row r="5" spans="1:46" ht="16.5" thickBot="1">
      <c r="A5" s="24" t="s">
        <v>15</v>
      </c>
      <c r="B5" s="106">
        <v>3</v>
      </c>
      <c r="C5" s="106">
        <v>3.9</v>
      </c>
      <c r="D5" s="106">
        <v>5.7</v>
      </c>
      <c r="E5" s="20"/>
      <c r="F5" s="193"/>
      <c r="G5" s="216">
        <v>2</v>
      </c>
      <c r="H5" s="109">
        <v>120000</v>
      </c>
      <c r="I5" s="105">
        <v>1</v>
      </c>
      <c r="J5" s="198">
        <f t="shared" ref="J5:J7" si="7">H5*I5</f>
        <v>120000</v>
      </c>
      <c r="K5" s="107">
        <v>8.3333333333333329E-2</v>
      </c>
      <c r="L5" s="107">
        <v>0.41666666666666669</v>
      </c>
      <c r="M5" s="207">
        <v>0.5</v>
      </c>
      <c r="N5" s="204">
        <f t="shared" ref="N5:N7" si="8">SUM(K5:M5)</f>
        <v>1</v>
      </c>
      <c r="O5" s="198">
        <f t="shared" ref="O5:O9" si="9">$J5*K5</f>
        <v>10000</v>
      </c>
      <c r="P5" s="108">
        <f t="shared" ref="P5:P9" si="10">$J5*L5</f>
        <v>50000</v>
      </c>
      <c r="Q5" s="108">
        <f t="shared" ref="Q5:Q9" si="11">$J5*M5</f>
        <v>60000</v>
      </c>
      <c r="R5" s="199">
        <v>160000</v>
      </c>
      <c r="S5" s="109">
        <v>1</v>
      </c>
      <c r="T5" s="110">
        <f t="shared" ref="T5:T7" si="12">R5*S5</f>
        <v>160000</v>
      </c>
      <c r="U5" s="107">
        <v>0.5</v>
      </c>
      <c r="V5" s="107">
        <v>0.25</v>
      </c>
      <c r="W5" s="107">
        <v>0.25</v>
      </c>
      <c r="X5" s="204">
        <f t="shared" ref="X5:X7" si="13">SUM(U5:W5)</f>
        <v>1</v>
      </c>
      <c r="Y5" s="108">
        <f t="shared" ref="Y5:Y9" si="14">$T5*U5</f>
        <v>80000</v>
      </c>
      <c r="Z5" s="108">
        <f t="shared" ref="Z5:Z9" si="15">$T5*V5</f>
        <v>40000</v>
      </c>
      <c r="AA5" s="110">
        <f t="shared" ref="AA5:AA9" si="16">$T5*W5</f>
        <v>40000</v>
      </c>
      <c r="AB5" s="3">
        <v>2</v>
      </c>
      <c r="AC5">
        <f t="shared" ref="AC5:AC9" si="17">$O5*$B$4+$P5*$C$4+$Q5*$D$4</f>
        <v>212000</v>
      </c>
      <c r="AD5">
        <f t="shared" si="2"/>
        <v>232000</v>
      </c>
      <c r="AE5">
        <f t="shared" si="3"/>
        <v>567000</v>
      </c>
      <c r="AF5">
        <f t="shared" si="4"/>
        <v>928000</v>
      </c>
      <c r="AG5">
        <f t="shared" si="5"/>
        <v>230000</v>
      </c>
      <c r="AH5">
        <f t="shared" si="6"/>
        <v>456000</v>
      </c>
      <c r="AI5" s="165">
        <v>2</v>
      </c>
      <c r="AJ5" s="125">
        <f t="shared" ref="AJ5:AJ8" si="18">AC5</f>
        <v>212000</v>
      </c>
      <c r="AK5">
        <v>2</v>
      </c>
      <c r="AL5" s="125">
        <f t="shared" ref="AL5:AL8" si="19">$AC$3*AD5/$AD$3</f>
        <v>257297.29729729731</v>
      </c>
      <c r="AM5">
        <v>2</v>
      </c>
      <c r="AN5" s="125">
        <f t="shared" ref="AN5:AN8" si="20">AE5</f>
        <v>567000</v>
      </c>
      <c r="AO5">
        <v>2</v>
      </c>
      <c r="AP5" s="125">
        <f t="shared" ref="AP5:AP8" si="21">$AE$3*AF5/$AF$3</f>
        <v>765918.63176988857</v>
      </c>
      <c r="AQ5">
        <v>2</v>
      </c>
      <c r="AR5" s="125">
        <f t="shared" ref="AR5:AR8" si="22">$AH$3*AG5/$AG$3</f>
        <v>345029.67741935485</v>
      </c>
      <c r="AS5">
        <v>2</v>
      </c>
      <c r="AT5" s="125">
        <f t="shared" ref="AT5:AT8" si="23">AH5</f>
        <v>456000</v>
      </c>
    </row>
    <row r="6" spans="1:46" ht="16.5" thickBot="1">
      <c r="A6" s="27" t="s">
        <v>16</v>
      </c>
      <c r="B6" s="106">
        <v>1.2</v>
      </c>
      <c r="C6" s="106">
        <v>1.6</v>
      </c>
      <c r="D6" s="106">
        <v>2.2999999999999998</v>
      </c>
      <c r="E6" s="20"/>
      <c r="F6" s="193"/>
      <c r="G6" s="216">
        <v>3</v>
      </c>
      <c r="H6" s="109">
        <v>80000</v>
      </c>
      <c r="I6" s="105">
        <v>1</v>
      </c>
      <c r="J6" s="198">
        <f t="shared" si="7"/>
        <v>80000</v>
      </c>
      <c r="K6" s="107">
        <v>0</v>
      </c>
      <c r="L6" s="107">
        <v>0.25</v>
      </c>
      <c r="M6" s="207">
        <v>0.75</v>
      </c>
      <c r="N6" s="204">
        <f t="shared" si="8"/>
        <v>1</v>
      </c>
      <c r="O6" s="198">
        <f t="shared" si="9"/>
        <v>0</v>
      </c>
      <c r="P6" s="108">
        <f t="shared" si="10"/>
        <v>20000</v>
      </c>
      <c r="Q6" s="108">
        <f t="shared" si="11"/>
        <v>60000</v>
      </c>
      <c r="R6" s="199">
        <v>80000</v>
      </c>
      <c r="S6" s="109">
        <v>1</v>
      </c>
      <c r="T6" s="110">
        <f t="shared" si="12"/>
        <v>80000</v>
      </c>
      <c r="U6" s="107">
        <v>0.25</v>
      </c>
      <c r="V6" s="107">
        <v>0.5</v>
      </c>
      <c r="W6" s="107">
        <v>0.25</v>
      </c>
      <c r="X6" s="204">
        <f t="shared" si="13"/>
        <v>1</v>
      </c>
      <c r="Y6" s="108">
        <f t="shared" si="14"/>
        <v>20000</v>
      </c>
      <c r="Z6" s="108">
        <f t="shared" si="15"/>
        <v>40000</v>
      </c>
      <c r="AA6" s="110">
        <f t="shared" si="16"/>
        <v>20000</v>
      </c>
      <c r="AB6" s="3">
        <v>3</v>
      </c>
      <c r="AC6">
        <f t="shared" si="17"/>
        <v>156000</v>
      </c>
      <c r="AD6">
        <f t="shared" si="2"/>
        <v>116000</v>
      </c>
      <c r="AE6">
        <f t="shared" si="3"/>
        <v>420000</v>
      </c>
      <c r="AF6">
        <f t="shared" si="4"/>
        <v>338000</v>
      </c>
      <c r="AG6">
        <f t="shared" si="5"/>
        <v>170000</v>
      </c>
      <c r="AH6">
        <f t="shared" si="6"/>
        <v>180000</v>
      </c>
      <c r="AI6" s="165">
        <v>3</v>
      </c>
      <c r="AJ6" s="125">
        <f t="shared" si="18"/>
        <v>156000</v>
      </c>
      <c r="AK6">
        <v>3</v>
      </c>
      <c r="AL6" s="125">
        <f t="shared" si="19"/>
        <v>128648.64864864865</v>
      </c>
      <c r="AM6">
        <v>3</v>
      </c>
      <c r="AN6" s="125">
        <f t="shared" si="20"/>
        <v>420000</v>
      </c>
      <c r="AO6">
        <v>3</v>
      </c>
      <c r="AP6" s="125">
        <f t="shared" si="21"/>
        <v>278966.05338170513</v>
      </c>
      <c r="AQ6">
        <v>3</v>
      </c>
      <c r="AR6" s="125">
        <f t="shared" si="22"/>
        <v>255021.93548387097</v>
      </c>
      <c r="AS6">
        <v>3</v>
      </c>
      <c r="AT6" s="125">
        <f t="shared" si="23"/>
        <v>180000</v>
      </c>
    </row>
    <row r="7" spans="1:46" ht="16.5" thickBot="1">
      <c r="A7" s="20"/>
      <c r="B7" s="20"/>
      <c r="C7" s="20"/>
      <c r="D7" s="20"/>
      <c r="E7" s="20"/>
      <c r="F7" s="193"/>
      <c r="G7" s="216">
        <v>4</v>
      </c>
      <c r="H7" s="109">
        <v>60000</v>
      </c>
      <c r="I7" s="105">
        <v>1</v>
      </c>
      <c r="J7" s="198">
        <f t="shared" si="7"/>
        <v>60000</v>
      </c>
      <c r="K7" s="107">
        <v>0</v>
      </c>
      <c r="L7" s="107">
        <v>0.16666666666666666</v>
      </c>
      <c r="M7" s="207">
        <v>0.83333333333333337</v>
      </c>
      <c r="N7" s="204">
        <f t="shared" si="8"/>
        <v>1</v>
      </c>
      <c r="O7" s="198">
        <f t="shared" si="9"/>
        <v>0</v>
      </c>
      <c r="P7" s="108">
        <f t="shared" si="10"/>
        <v>10000</v>
      </c>
      <c r="Q7" s="108">
        <f t="shared" si="11"/>
        <v>50000</v>
      </c>
      <c r="R7" s="199">
        <v>4000</v>
      </c>
      <c r="S7" s="109">
        <v>1</v>
      </c>
      <c r="T7" s="110">
        <f t="shared" si="12"/>
        <v>4000</v>
      </c>
      <c r="U7" s="107">
        <v>0.5</v>
      </c>
      <c r="V7" s="107">
        <v>0.5</v>
      </c>
      <c r="W7" s="107">
        <v>0</v>
      </c>
      <c r="X7" s="204">
        <f t="shared" si="13"/>
        <v>1</v>
      </c>
      <c r="Y7" s="108">
        <f t="shared" si="14"/>
        <v>2000</v>
      </c>
      <c r="Z7" s="108">
        <f t="shared" si="15"/>
        <v>2000</v>
      </c>
      <c r="AA7" s="110">
        <f t="shared" si="16"/>
        <v>0</v>
      </c>
      <c r="AB7" s="3">
        <v>4</v>
      </c>
      <c r="AC7">
        <f t="shared" si="17"/>
        <v>120000</v>
      </c>
      <c r="AD7">
        <f t="shared" si="2"/>
        <v>5800</v>
      </c>
      <c r="AE7">
        <f t="shared" si="3"/>
        <v>324000</v>
      </c>
      <c r="AF7">
        <f t="shared" si="4"/>
        <v>81400</v>
      </c>
      <c r="AG7">
        <f t="shared" si="5"/>
        <v>130999.99999999999</v>
      </c>
      <c r="AH7">
        <f t="shared" si="6"/>
        <v>40600</v>
      </c>
      <c r="AI7" s="165">
        <v>4</v>
      </c>
      <c r="AJ7" s="125">
        <f t="shared" si="18"/>
        <v>120000</v>
      </c>
      <c r="AK7">
        <v>4</v>
      </c>
      <c r="AL7" s="125">
        <f t="shared" si="19"/>
        <v>6432.4324324324325</v>
      </c>
      <c r="AM7">
        <v>4</v>
      </c>
      <c r="AN7" s="125">
        <f t="shared" si="20"/>
        <v>324000</v>
      </c>
      <c r="AO7">
        <v>4</v>
      </c>
      <c r="AP7" s="125">
        <f t="shared" si="21"/>
        <v>67182.948950505306</v>
      </c>
      <c r="AQ7">
        <v>4</v>
      </c>
      <c r="AR7" s="125">
        <f t="shared" si="22"/>
        <v>196516.90322580643</v>
      </c>
      <c r="AS7">
        <v>4</v>
      </c>
      <c r="AT7" s="125">
        <f t="shared" si="23"/>
        <v>40600</v>
      </c>
    </row>
    <row r="8" spans="1:46" ht="15.75" thickBot="1">
      <c r="A8" s="20"/>
      <c r="B8" s="20"/>
      <c r="C8" s="20"/>
      <c r="D8" s="20"/>
      <c r="E8" s="20"/>
      <c r="F8" s="193"/>
      <c r="G8" s="216">
        <v>5</v>
      </c>
      <c r="J8" s="197">
        <v>0</v>
      </c>
      <c r="K8" s="4"/>
      <c r="L8" s="4"/>
      <c r="M8" s="4"/>
      <c r="N8" s="4"/>
      <c r="O8" s="13">
        <f t="shared" si="9"/>
        <v>0</v>
      </c>
      <c r="P8" s="13">
        <f t="shared" si="10"/>
        <v>0</v>
      </c>
      <c r="Q8" s="202">
        <f t="shared" si="11"/>
        <v>0</v>
      </c>
      <c r="R8" s="14"/>
      <c r="S8" s="14"/>
      <c r="T8" s="126">
        <v>0</v>
      </c>
      <c r="U8" s="14">
        <v>0</v>
      </c>
      <c r="V8" s="14">
        <v>0</v>
      </c>
      <c r="W8" s="14">
        <v>0</v>
      </c>
      <c r="X8" s="14"/>
      <c r="Y8" s="108">
        <f t="shared" si="14"/>
        <v>0</v>
      </c>
      <c r="Z8" s="108">
        <f t="shared" si="15"/>
        <v>0</v>
      </c>
      <c r="AA8" s="110">
        <f t="shared" si="16"/>
        <v>0</v>
      </c>
      <c r="AB8" s="3">
        <v>5</v>
      </c>
      <c r="AC8">
        <f t="shared" si="17"/>
        <v>0</v>
      </c>
      <c r="AD8">
        <f t="shared" si="2"/>
        <v>0</v>
      </c>
      <c r="AE8">
        <f t="shared" si="3"/>
        <v>0</v>
      </c>
      <c r="AF8">
        <f t="shared" si="4"/>
        <v>0</v>
      </c>
      <c r="AG8">
        <f t="shared" si="5"/>
        <v>0</v>
      </c>
      <c r="AH8">
        <f t="shared" si="6"/>
        <v>0</v>
      </c>
      <c r="AI8" s="165">
        <v>5</v>
      </c>
      <c r="AJ8">
        <f t="shared" si="18"/>
        <v>0</v>
      </c>
      <c r="AK8">
        <v>5</v>
      </c>
      <c r="AL8">
        <f t="shared" si="19"/>
        <v>0</v>
      </c>
      <c r="AM8">
        <v>5</v>
      </c>
      <c r="AN8">
        <f t="shared" si="20"/>
        <v>0</v>
      </c>
      <c r="AO8">
        <v>5</v>
      </c>
      <c r="AP8">
        <f t="shared" si="21"/>
        <v>0</v>
      </c>
      <c r="AQ8">
        <v>5</v>
      </c>
      <c r="AR8">
        <f t="shared" si="22"/>
        <v>0</v>
      </c>
      <c r="AS8">
        <v>5</v>
      </c>
      <c r="AT8">
        <f t="shared" si="23"/>
        <v>0</v>
      </c>
    </row>
    <row r="9" spans="1:46">
      <c r="A9" s="21" t="s">
        <v>56</v>
      </c>
      <c r="B9" s="22" t="s">
        <v>441</v>
      </c>
      <c r="C9" s="22"/>
      <c r="D9" s="22"/>
      <c r="E9" s="22"/>
      <c r="F9" s="9"/>
      <c r="G9" s="216">
        <v>6</v>
      </c>
      <c r="J9" s="197">
        <v>0</v>
      </c>
      <c r="K9" s="4"/>
      <c r="L9" s="4"/>
      <c r="M9" s="4"/>
      <c r="N9" s="4"/>
      <c r="O9" s="13">
        <f t="shared" si="9"/>
        <v>0</v>
      </c>
      <c r="P9" s="13">
        <f t="shared" si="10"/>
        <v>0</v>
      </c>
      <c r="Q9" s="202">
        <f t="shared" si="11"/>
        <v>0</v>
      </c>
      <c r="R9" s="14"/>
      <c r="S9" s="14"/>
      <c r="T9" s="126">
        <v>0</v>
      </c>
      <c r="U9" s="14">
        <v>0</v>
      </c>
      <c r="V9" s="14">
        <v>0</v>
      </c>
      <c r="W9" s="14">
        <v>0</v>
      </c>
      <c r="X9" s="14"/>
      <c r="Y9" s="108">
        <f t="shared" si="14"/>
        <v>0</v>
      </c>
      <c r="Z9" s="108">
        <f t="shared" si="15"/>
        <v>0</v>
      </c>
      <c r="AA9" s="110">
        <f t="shared" si="16"/>
        <v>0</v>
      </c>
      <c r="AB9" s="3">
        <v>6</v>
      </c>
      <c r="AC9">
        <f t="shared" si="17"/>
        <v>0</v>
      </c>
      <c r="AD9">
        <f t="shared" si="2"/>
        <v>0</v>
      </c>
      <c r="AE9">
        <f t="shared" si="3"/>
        <v>0</v>
      </c>
      <c r="AF9">
        <f t="shared" si="4"/>
        <v>0</v>
      </c>
      <c r="AG9">
        <f t="shared" si="5"/>
        <v>0</v>
      </c>
      <c r="AH9">
        <f t="shared" si="6"/>
        <v>0</v>
      </c>
      <c r="AI9" s="165">
        <v>6</v>
      </c>
      <c r="AJ9">
        <f t="shared" ref="AJ9" si="24">AC9</f>
        <v>0</v>
      </c>
      <c r="AK9">
        <v>6</v>
      </c>
      <c r="AL9">
        <f t="shared" ref="AL9" si="25">$AC$3*AD9/$AD$3</f>
        <v>0</v>
      </c>
      <c r="AM9">
        <v>6</v>
      </c>
      <c r="AN9">
        <f t="shared" ref="AN9" si="26">AE9</f>
        <v>0</v>
      </c>
      <c r="AO9">
        <v>6</v>
      </c>
      <c r="AP9">
        <f t="shared" ref="AP9" si="27">$AE$3*AF9/$AF$3</f>
        <v>0</v>
      </c>
      <c r="AQ9">
        <v>6</v>
      </c>
      <c r="AR9">
        <f t="shared" ref="AR9" si="28">$AH$3*AG9/$AG$3</f>
        <v>0</v>
      </c>
      <c r="AS9">
        <v>6</v>
      </c>
      <c r="AT9">
        <f t="shared" ref="AT9" si="29">AH9</f>
        <v>0</v>
      </c>
    </row>
    <row r="10" spans="1:46">
      <c r="A10" s="20"/>
      <c r="B10" s="24" t="s">
        <v>22</v>
      </c>
      <c r="C10" s="26" t="s">
        <v>23</v>
      </c>
      <c r="D10" s="26" t="s">
        <v>24</v>
      </c>
      <c r="E10" s="20" t="s">
        <v>25</v>
      </c>
      <c r="F10" s="193"/>
      <c r="M10" s="203"/>
      <c r="N10" s="203"/>
      <c r="T10" s="126"/>
    </row>
    <row r="11" spans="1:46">
      <c r="A11" s="24" t="s">
        <v>14</v>
      </c>
      <c r="B11" s="106">
        <v>0</v>
      </c>
      <c r="C11" s="106">
        <v>1.45</v>
      </c>
      <c r="D11" s="106">
        <v>1.45</v>
      </c>
      <c r="E11" s="106">
        <v>1.45</v>
      </c>
      <c r="F11" s="170"/>
    </row>
    <row r="12" spans="1:46">
      <c r="A12" s="24" t="s">
        <v>15</v>
      </c>
      <c r="B12" s="106">
        <v>1</v>
      </c>
      <c r="C12" s="106">
        <v>9</v>
      </c>
      <c r="D12" s="106">
        <v>1.7</v>
      </c>
      <c r="E12" s="106">
        <v>0.5</v>
      </c>
      <c r="F12" s="170"/>
      <c r="U12" s="124"/>
      <c r="V12" s="124"/>
      <c r="W12" s="124"/>
      <c r="X12" s="124"/>
    </row>
    <row r="13" spans="1:46" ht="15.75" thickBot="1">
      <c r="A13" s="27" t="s">
        <v>16</v>
      </c>
      <c r="B13" s="106">
        <v>0.5</v>
      </c>
      <c r="C13" s="106">
        <v>4.0999999999999996</v>
      </c>
      <c r="D13" s="106">
        <v>1.2</v>
      </c>
      <c r="E13" s="106">
        <v>0.5</v>
      </c>
      <c r="F13" s="170"/>
      <c r="U13" s="124"/>
      <c r="V13" s="124"/>
      <c r="W13" s="124"/>
      <c r="X13" s="124"/>
    </row>
    <row r="14" spans="1:46">
      <c r="A14" s="20"/>
      <c r="B14" s="20"/>
      <c r="C14" s="20"/>
      <c r="D14" s="20"/>
      <c r="E14" s="20"/>
      <c r="F14" s="193"/>
      <c r="U14" s="124"/>
      <c r="V14" s="124"/>
      <c r="W14" s="124"/>
      <c r="X14" s="124"/>
    </row>
    <row r="15" spans="1:46">
      <c r="A15" s="20"/>
      <c r="B15" s="20"/>
      <c r="C15" s="20"/>
      <c r="D15" s="20"/>
      <c r="E15" s="20"/>
      <c r="F15" s="193"/>
      <c r="U15" s="124"/>
      <c r="V15" s="124"/>
      <c r="W15" s="124"/>
      <c r="X15" s="124"/>
    </row>
    <row r="16" spans="1:46">
      <c r="A16" s="20"/>
      <c r="B16" s="20"/>
      <c r="C16" s="20"/>
      <c r="D16" s="20"/>
      <c r="E16" s="20"/>
      <c r="F16" s="193"/>
    </row>
    <row r="17" spans="1:40">
      <c r="AN17" t="s">
        <v>416</v>
      </c>
    </row>
    <row r="18" spans="1:40" ht="15.75" thickBot="1"/>
    <row r="19" spans="1:40" ht="21">
      <c r="A19" s="328" t="s">
        <v>80</v>
      </c>
      <c r="B19" s="329"/>
      <c r="C19" s="330"/>
    </row>
    <row r="20" spans="1:40" ht="21">
      <c r="A20" s="105"/>
      <c r="B20" s="34" t="s">
        <v>84</v>
      </c>
      <c r="C20" s="35"/>
    </row>
    <row r="21" spans="1:40">
      <c r="A21" s="37"/>
      <c r="B21" s="331" t="s">
        <v>86</v>
      </c>
      <c r="C21" s="332"/>
    </row>
    <row r="22" spans="1:40">
      <c r="A22" s="38"/>
      <c r="B22" s="39" t="s">
        <v>89</v>
      </c>
      <c r="C22" s="40"/>
    </row>
    <row r="23" spans="1:40" ht="15.75" thickBot="1">
      <c r="A23" s="125"/>
      <c r="B23" s="313" t="s">
        <v>313</v>
      </c>
      <c r="C23" s="314"/>
    </row>
    <row r="24" spans="1:40">
      <c r="A24" t="s">
        <v>310</v>
      </c>
    </row>
  </sheetData>
  <mergeCells count="8">
    <mergeCell ref="B23:C23"/>
    <mergeCell ref="O1:Q1"/>
    <mergeCell ref="N2:N3"/>
    <mergeCell ref="X2:X3"/>
    <mergeCell ref="Y1:AA1"/>
    <mergeCell ref="A2:C2"/>
    <mergeCell ref="A19:C19"/>
    <mergeCell ref="B21:C21"/>
  </mergeCells>
  <conditionalFormatting sqref="N4:N7 X4:X7">
    <cfRule type="cellIs" dxfId="3" priority="3" operator="notEqual">
      <formula>1</formula>
    </cfRule>
    <cfRule type="cellIs" dxfId="2" priority="4" operator="equal">
      <formula>1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D46"/>
  <sheetViews>
    <sheetView topLeftCell="AQ1" workbookViewId="0">
      <selection activeCell="AR3" sqref="AR3"/>
    </sheetView>
  </sheetViews>
  <sheetFormatPr defaultRowHeight="15"/>
  <cols>
    <col min="1" max="1" width="14.7109375" customWidth="1"/>
    <col min="6" max="6" width="18.7109375" customWidth="1"/>
    <col min="7" max="7" width="22" bestFit="1" customWidth="1"/>
    <col min="8" max="8" width="15.42578125" customWidth="1"/>
    <col min="9" max="9" width="18.7109375" bestFit="1" customWidth="1"/>
    <col min="10" max="10" width="18.7109375" customWidth="1"/>
    <col min="11" max="11" width="19.140625" bestFit="1" customWidth="1"/>
    <col min="12" max="12" width="18.7109375" bestFit="1" customWidth="1"/>
    <col min="13" max="13" width="24.5703125" bestFit="1" customWidth="1"/>
    <col min="14" max="14" width="17.5703125" bestFit="1" customWidth="1"/>
    <col min="15" max="15" width="22.7109375" bestFit="1" customWidth="1"/>
    <col min="16" max="16" width="23.140625" bestFit="1" customWidth="1"/>
    <col min="17" max="17" width="28.28515625" bestFit="1" customWidth="1"/>
    <col min="18" max="18" width="21.42578125" bestFit="1" customWidth="1"/>
    <col min="23" max="23" width="10" bestFit="1" customWidth="1"/>
    <col min="25" max="25" width="13.85546875" customWidth="1"/>
    <col min="30" max="30" width="11" bestFit="1" customWidth="1"/>
    <col min="35" max="35" width="18.5703125" style="94" bestFit="1" customWidth="1"/>
    <col min="37" max="37" width="27.7109375" customWidth="1"/>
    <col min="40" max="41" width="21.28515625" customWidth="1"/>
    <col min="42" max="43" width="15.5703125" customWidth="1"/>
    <col min="44" max="44" width="21.85546875" customWidth="1"/>
    <col min="45" max="45" width="24.85546875" customWidth="1"/>
    <col min="46" max="48" width="9.140625" customWidth="1"/>
    <col min="51" max="51" width="10.7109375" customWidth="1"/>
  </cols>
  <sheetData>
    <row r="1" spans="1:56" s="95" customFormat="1" ht="24" customHeight="1">
      <c r="A1" s="163" t="s">
        <v>444</v>
      </c>
      <c r="G1" s="223" t="s">
        <v>431</v>
      </c>
      <c r="H1" s="222"/>
      <c r="I1" s="223" t="s">
        <v>417</v>
      </c>
      <c r="J1" s="42"/>
      <c r="K1" s="42"/>
      <c r="L1" s="222"/>
      <c r="M1" s="95" t="s">
        <v>418</v>
      </c>
      <c r="N1" s="160" t="s">
        <v>419</v>
      </c>
      <c r="O1" s="161" t="s">
        <v>420</v>
      </c>
      <c r="P1" s="161" t="s">
        <v>421</v>
      </c>
      <c r="Q1" s="161" t="s">
        <v>423</v>
      </c>
      <c r="R1" s="161" t="s">
        <v>422</v>
      </c>
      <c r="S1" s="162"/>
      <c r="U1" s="160" t="s">
        <v>445</v>
      </c>
      <c r="V1" s="161"/>
      <c r="W1" s="161"/>
      <c r="X1" s="161"/>
      <c r="Y1" s="161"/>
      <c r="Z1" s="162"/>
      <c r="AB1" s="160" t="s">
        <v>446</v>
      </c>
      <c r="AC1" s="161"/>
      <c r="AD1" s="161"/>
      <c r="AE1" s="161"/>
      <c r="AF1" s="161"/>
      <c r="AG1" s="162"/>
      <c r="AH1" s="229"/>
      <c r="AI1" s="166" t="s">
        <v>447</v>
      </c>
      <c r="AL1" s="160" t="s">
        <v>448</v>
      </c>
      <c r="AM1" s="161"/>
      <c r="AN1" s="162"/>
      <c r="AO1" s="42" t="s">
        <v>435</v>
      </c>
      <c r="AP1" s="160" t="s">
        <v>449</v>
      </c>
      <c r="AQ1" s="161"/>
      <c r="AR1" s="162"/>
      <c r="AS1" s="95" t="s">
        <v>450</v>
      </c>
      <c r="AX1" s="234"/>
      <c r="AY1" s="95" t="s">
        <v>453</v>
      </c>
    </row>
    <row r="2" spans="1:56" ht="15.75" thickBot="1">
      <c r="A2" s="20"/>
      <c r="B2" s="20"/>
      <c r="C2" s="20"/>
      <c r="D2" s="20"/>
      <c r="G2" s="3" t="s">
        <v>429</v>
      </c>
      <c r="H2" s="16" t="s">
        <v>430</v>
      </c>
      <c r="I2" s="3" t="s">
        <v>79</v>
      </c>
      <c r="J2" s="4" t="s">
        <v>317</v>
      </c>
      <c r="K2" s="4" t="s">
        <v>57</v>
      </c>
      <c r="L2" s="16" t="s">
        <v>58</v>
      </c>
      <c r="M2" t="s">
        <v>59</v>
      </c>
      <c r="N2" s="126" t="s">
        <v>68</v>
      </c>
      <c r="O2" s="4" t="s">
        <v>69</v>
      </c>
      <c r="P2" s="4" t="s">
        <v>70</v>
      </c>
      <c r="Q2" s="4" t="s">
        <v>32</v>
      </c>
      <c r="R2" s="4" t="s">
        <v>71</v>
      </c>
      <c r="S2" s="127" t="s">
        <v>72</v>
      </c>
      <c r="U2" s="126" t="s">
        <v>73</v>
      </c>
      <c r="V2" s="4" t="s">
        <v>69</v>
      </c>
      <c r="W2" s="4" t="s">
        <v>70</v>
      </c>
      <c r="X2" s="4" t="s">
        <v>32</v>
      </c>
      <c r="Y2" s="4" t="s">
        <v>71</v>
      </c>
      <c r="Z2" s="127" t="s">
        <v>74</v>
      </c>
      <c r="AB2" s="126" t="s">
        <v>75</v>
      </c>
      <c r="AC2" s="4" t="s">
        <v>76</v>
      </c>
      <c r="AD2" s="4" t="s">
        <v>77</v>
      </c>
      <c r="AE2" s="4" t="s">
        <v>32</v>
      </c>
      <c r="AF2" s="4" t="s">
        <v>71</v>
      </c>
      <c r="AG2" s="127" t="s">
        <v>78</v>
      </c>
      <c r="AH2" s="230"/>
      <c r="AI2" s="94" t="s">
        <v>320</v>
      </c>
      <c r="AJ2" t="s">
        <v>321</v>
      </c>
      <c r="AL2" s="126" t="s">
        <v>322</v>
      </c>
      <c r="AM2" s="4" t="s">
        <v>323</v>
      </c>
      <c r="AN2" s="127" t="s">
        <v>324</v>
      </c>
      <c r="AO2" s="4"/>
      <c r="AP2" s="126" t="s">
        <v>178</v>
      </c>
      <c r="AQ2" s="4" t="s">
        <v>179</v>
      </c>
      <c r="AR2" s="127" t="s">
        <v>180</v>
      </c>
      <c r="AS2" t="s">
        <v>325</v>
      </c>
      <c r="AU2" t="s">
        <v>439</v>
      </c>
      <c r="AV2" t="s">
        <v>440</v>
      </c>
      <c r="AX2" s="126"/>
    </row>
    <row r="3" spans="1:56" ht="16.5" thickBot="1">
      <c r="A3" s="20"/>
      <c r="B3" s="20"/>
      <c r="C3" s="20"/>
      <c r="D3" s="20"/>
      <c r="G3" s="3">
        <v>1</v>
      </c>
      <c r="H3" s="16">
        <v>1</v>
      </c>
      <c r="I3" s="224">
        <v>2.5</v>
      </c>
      <c r="J3" s="105">
        <f>I3</f>
        <v>2.5</v>
      </c>
      <c r="K3" s="225">
        <f>$B$10*POWER(I3,$C$10)*EXP($D$10*I3)</f>
        <v>20580.084915480234</v>
      </c>
      <c r="L3" s="225">
        <f>$B$11*POWER(I3,$C$11)*EXP($D$11*I3)</f>
        <v>33895.564770927151</v>
      </c>
      <c r="M3" s="226">
        <f>$B$12*POWER(I3,$C$12)*EXP($D$12*I3)</f>
        <v>50354.516822042409</v>
      </c>
      <c r="N3" s="126">
        <f>VLOOKUP(G3,'2.trip_production'!$AI$2:$AJ$1189,2)</f>
        <v>226000</v>
      </c>
      <c r="O3" s="142">
        <f>VLOOKUP(H3,'2.trip_production'!$AK$2:$AL$1189,2)</f>
        <v>321621.6216216216</v>
      </c>
      <c r="P3" s="4">
        <f>O3*K3</f>
        <v>6619000283.6274261</v>
      </c>
      <c r="Q3" s="4">
        <f t="shared" ref="Q3:Q38" si="0">SUMIF($G:$G,"="&amp;$G3,P:P)</f>
        <v>8976265693.5356178</v>
      </c>
      <c r="R3" s="128">
        <f>P3/Q3</f>
        <v>0.7373890779986817</v>
      </c>
      <c r="S3" s="127">
        <f t="shared" ref="S3:S38" si="1">N3*R3</f>
        <v>166649.93162770206</v>
      </c>
      <c r="U3" s="126">
        <f>VLOOKUP(G3,'2.trip_production'!$AM$2:$AN$1189,2)</f>
        <v>600000</v>
      </c>
      <c r="V3" s="4">
        <f>VLOOKUP(H3,'2.trip_production'!$AO$2:$AP$1189,2)</f>
        <v>798932.36589790101</v>
      </c>
      <c r="W3" s="4">
        <f t="shared" ref="W3:W38" si="2">V3*L3</f>
        <v>27080263755.882374</v>
      </c>
      <c r="X3" s="4">
        <f t="shared" ref="X3:X38" si="3">SUMIF($G:$G,"="&amp;$G3,W:W)</f>
        <v>29397000185.349262</v>
      </c>
      <c r="Y3" s="4">
        <f>W3/X3</f>
        <v>0.9211913999775565</v>
      </c>
      <c r="Z3" s="127">
        <f>U3*Y3</f>
        <v>552714.83998653386</v>
      </c>
      <c r="AB3" s="126">
        <f>VLOOKUP(G3,'2.trip_production'!$AQ$2:$AR$1189,2)</f>
        <v>366031.48387096776</v>
      </c>
      <c r="AC3" s="4">
        <f>VLOOKUP(H3,'2.trip_production'!$AS$2:$AT$1189,2)</f>
        <v>486000</v>
      </c>
      <c r="AD3" s="4">
        <f t="shared" ref="AD3:AD38" si="4">AC3*M3</f>
        <v>24472295175.512611</v>
      </c>
      <c r="AE3" s="4">
        <f t="shared" ref="AE3:AE38" si="5">SUMIF($G:$G,"="&amp;$G3,AD:AD)</f>
        <v>26304623626.50885</v>
      </c>
      <c r="AF3" s="4">
        <f>AD3/AE3</f>
        <v>0.9303419628042241</v>
      </c>
      <c r="AG3" s="127">
        <f>AB3*AF3</f>
        <v>340534.44915265881</v>
      </c>
      <c r="AH3" s="230"/>
      <c r="AI3" s="228">
        <f t="shared" ref="AI3:AI38" si="6">EXP($B$46*I3+$B$45)/(EXP($B$46*I3+$B$45)+EXP(-J3))</f>
        <v>0.88079707797788243</v>
      </c>
      <c r="AJ3" s="133">
        <f>1-AI3</f>
        <v>0.11920292202211757</v>
      </c>
      <c r="AL3" s="126">
        <f>S3*AI3</f>
        <v>146784.77282289386</v>
      </c>
      <c r="AM3" s="4">
        <f>Z3*AI3</f>
        <v>486829.61601515184</v>
      </c>
      <c r="AN3" s="127">
        <f>AG3*AI3</f>
        <v>299941.74776446965</v>
      </c>
      <c r="AO3" s="4">
        <f>SUM(AL3:AN3)</f>
        <v>933556.13660251535</v>
      </c>
      <c r="AP3" s="126">
        <v>0.13</v>
      </c>
      <c r="AQ3" s="4">
        <v>0.05</v>
      </c>
      <c r="AR3" s="127">
        <v>0.06</v>
      </c>
      <c r="AS3" s="233">
        <f>AL3*AP3+AM3*AQ3+AN3*AR3</f>
        <v>61420.006133601972</v>
      </c>
      <c r="AU3">
        <v>1</v>
      </c>
      <c r="AV3">
        <v>1</v>
      </c>
      <c r="AX3" s="126"/>
      <c r="AY3" s="171" t="s">
        <v>436</v>
      </c>
      <c r="AZ3" s="172"/>
      <c r="BA3" s="172"/>
      <c r="BB3" s="172"/>
      <c r="BC3" s="172"/>
      <c r="BD3" s="173"/>
    </row>
    <row r="4" spans="1:56" ht="16.5" thickBot="1">
      <c r="A4" s="20"/>
      <c r="B4" s="20"/>
      <c r="C4" s="20"/>
      <c r="D4" s="20"/>
      <c r="G4" s="3">
        <v>1</v>
      </c>
      <c r="H4" s="16">
        <v>2</v>
      </c>
      <c r="I4" s="224">
        <v>10</v>
      </c>
      <c r="J4" s="105">
        <f t="shared" ref="J4:J38" si="7">I4</f>
        <v>10</v>
      </c>
      <c r="K4" s="225">
        <f t="shared" ref="K4:K38" si="8">$B$10*POWER(I4,$C$10)*EXP($D$10*I4)</f>
        <v>7957.3654327904278</v>
      </c>
      <c r="L4" s="225">
        <f t="shared" ref="L4:L38" si="9">$B$11*POWER(I4,$C$11)*EXP($D$11*I4)</f>
        <v>2820.4485118873376</v>
      </c>
      <c r="M4" s="226">
        <f t="shared" ref="M4:M38" si="10">$B$12*POWER(I4,$C$12)*EXP($D$12*I4)</f>
        <v>3752.957645599517</v>
      </c>
      <c r="N4" s="126">
        <f>VLOOKUP(G4,'2.trip_production'!$AI$2:$AJ$1189,2)</f>
        <v>226000</v>
      </c>
      <c r="O4" s="142">
        <f>VLOOKUP(H4,'2.trip_production'!$AK$2:$AL$1189,2)</f>
        <v>257297.29729729731</v>
      </c>
      <c r="P4" s="4">
        <f t="shared" ref="P4:P38" si="11">O4*K4</f>
        <v>2047408619.4639156</v>
      </c>
      <c r="Q4" s="4">
        <f t="shared" si="0"/>
        <v>8976265693.5356178</v>
      </c>
      <c r="R4" s="128">
        <f t="shared" ref="R4:R38" si="12">P4/Q4</f>
        <v>0.22809135662488081</v>
      </c>
      <c r="S4" s="127">
        <f t="shared" si="1"/>
        <v>51548.646597223065</v>
      </c>
      <c r="U4" s="126">
        <f>VLOOKUP(G4,'2.trip_production'!$AM$2:$AN$1189,2)</f>
        <v>600000</v>
      </c>
      <c r="V4" s="4">
        <f>VLOOKUP(H4,'2.trip_production'!$AO$2:$AP$1189,2)</f>
        <v>765918.63176988857</v>
      </c>
      <c r="W4" s="4">
        <f t="shared" si="2"/>
        <v>2160234065.202168</v>
      </c>
      <c r="X4" s="4">
        <f t="shared" si="3"/>
        <v>29397000185.349262</v>
      </c>
      <c r="Y4" s="4">
        <f t="shared" ref="Y4:Y38" si="13">W4/X4</f>
        <v>7.3484847147049212E-2</v>
      </c>
      <c r="Z4" s="127">
        <f t="shared" ref="Z4:Z38" si="14">U4*Y4</f>
        <v>44090.908288229526</v>
      </c>
      <c r="AB4" s="126">
        <f>VLOOKUP(G4,'2.trip_production'!$AQ$2:$AR$1189,2)</f>
        <v>366031.48387096776</v>
      </c>
      <c r="AC4" s="4">
        <f>VLOOKUP(H4,'2.trip_production'!$AS$2:$AT$1189,2)</f>
        <v>456000</v>
      </c>
      <c r="AD4" s="4">
        <f t="shared" si="4"/>
        <v>1711348686.3933797</v>
      </c>
      <c r="AE4" s="4">
        <f t="shared" si="5"/>
        <v>26304623626.50885</v>
      </c>
      <c r="AF4" s="4">
        <f t="shared" ref="AF4:AF38" si="15">AD4/AE4</f>
        <v>6.5058854697648827E-2</v>
      </c>
      <c r="AG4" s="127">
        <f t="shared" ref="AG4:AG38" si="16">AB4*AF4</f>
        <v>23813.589123926082</v>
      </c>
      <c r="AH4" s="230"/>
      <c r="AI4" s="228">
        <f t="shared" si="6"/>
        <v>0.99330714907571516</v>
      </c>
      <c r="AJ4" s="133">
        <f t="shared" ref="AJ4:AJ38" si="17">1-AI4</f>
        <v>6.6928509242848433E-3</v>
      </c>
      <c r="AL4" s="126">
        <f t="shared" ref="AL4:AL38" si="18">S4*AI4</f>
        <v>51203.63919019921</v>
      </c>
      <c r="AM4" s="4">
        <f t="shared" ref="AM4:AM38" si="19">Z4*AI4</f>
        <v>43795.814411940089</v>
      </c>
      <c r="AN4" s="127">
        <f t="shared" ref="AN4:AN38" si="20">AG4*AI4</f>
        <v>23654.208321947473</v>
      </c>
      <c r="AO4" s="4">
        <f t="shared" ref="AO4:AO38" si="21">SUM(AL4:AN4)</f>
        <v>118653.66192408677</v>
      </c>
      <c r="AP4" s="126">
        <v>0.13</v>
      </c>
      <c r="AQ4" s="4">
        <v>0.05</v>
      </c>
      <c r="AR4" s="127">
        <v>0.06</v>
      </c>
      <c r="AS4" s="233">
        <f t="shared" ref="AS4:AS38" si="22">AL4*AP4+AM4*AQ4+AN4*AR4</f>
        <v>10265.51631463975</v>
      </c>
      <c r="AU4">
        <v>1</v>
      </c>
      <c r="AV4">
        <v>2</v>
      </c>
      <c r="AX4" s="126"/>
      <c r="AY4" s="174" t="s">
        <v>176</v>
      </c>
      <c r="AZ4" s="239" t="s">
        <v>161</v>
      </c>
      <c r="BA4" s="175" t="s">
        <v>162</v>
      </c>
      <c r="BB4" s="239" t="s">
        <v>163</v>
      </c>
      <c r="BC4" s="176" t="s">
        <v>164</v>
      </c>
      <c r="BD4" s="177" t="s">
        <v>438</v>
      </c>
    </row>
    <row r="5" spans="1:56" ht="16.5" thickBot="1">
      <c r="A5" s="20" t="s">
        <v>34</v>
      </c>
      <c r="B5" s="20"/>
      <c r="C5" s="20" t="s">
        <v>35</v>
      </c>
      <c r="D5" s="20"/>
      <c r="G5" s="3">
        <v>1</v>
      </c>
      <c r="H5" s="16">
        <v>3</v>
      </c>
      <c r="I5" s="224">
        <v>20</v>
      </c>
      <c r="J5" s="105">
        <f t="shared" si="7"/>
        <v>20</v>
      </c>
      <c r="K5" s="225">
        <f t="shared" si="8"/>
        <v>2293.8577924046085</v>
      </c>
      <c r="L5" s="225">
        <f t="shared" si="9"/>
        <v>452.12426790276174</v>
      </c>
      <c r="M5" s="226">
        <f t="shared" si="10"/>
        <v>548.41235087424684</v>
      </c>
      <c r="N5" s="126">
        <f>VLOOKUP(G5,'2.trip_production'!$AI$2:$AJ$1189,2)</f>
        <v>226000</v>
      </c>
      <c r="O5" s="142">
        <f>VLOOKUP(H5,'2.trip_production'!$AK$2:$AL$1189,2)</f>
        <v>128648.64864864865</v>
      </c>
      <c r="P5" s="4">
        <f t="shared" si="11"/>
        <v>295101705.18502533</v>
      </c>
      <c r="Q5" s="4">
        <f t="shared" si="0"/>
        <v>8976265693.5356178</v>
      </c>
      <c r="R5" s="128">
        <f t="shared" si="12"/>
        <v>3.2875776548988177E-2</v>
      </c>
      <c r="S5" s="127">
        <f t="shared" si="1"/>
        <v>7429.9255000713283</v>
      </c>
      <c r="U5" s="126">
        <f>VLOOKUP(G5,'2.trip_production'!$AM$2:$AN$1189,2)</f>
        <v>600000</v>
      </c>
      <c r="V5" s="4">
        <f>VLOOKUP(H5,'2.trip_production'!$AO$2:$AP$1189,2)</f>
        <v>278966.05338170513</v>
      </c>
      <c r="W5" s="4">
        <f t="shared" si="2"/>
        <v>126127322.65492618</v>
      </c>
      <c r="X5" s="4">
        <f t="shared" si="3"/>
        <v>29397000185.349262</v>
      </c>
      <c r="Y5" s="4">
        <f t="shared" si="13"/>
        <v>4.2904827655777245E-3</v>
      </c>
      <c r="Z5" s="127">
        <f t="shared" si="14"/>
        <v>2574.2896593466348</v>
      </c>
      <c r="AB5" s="126">
        <f>VLOOKUP(G5,'2.trip_production'!$AQ$2:$AR$1189,2)</f>
        <v>366031.48387096776</v>
      </c>
      <c r="AC5" s="4">
        <f>VLOOKUP(H5,'2.trip_production'!$AS$2:$AT$1189,2)</f>
        <v>180000</v>
      </c>
      <c r="AD5" s="4">
        <f t="shared" si="4"/>
        <v>98714223.157364428</v>
      </c>
      <c r="AE5" s="4">
        <f t="shared" si="5"/>
        <v>26304623626.50885</v>
      </c>
      <c r="AF5" s="4">
        <f t="shared" si="15"/>
        <v>3.7527327727237959E-3</v>
      </c>
      <c r="AG5" s="127">
        <f t="shared" si="16"/>
        <v>1373.6183453713022</v>
      </c>
      <c r="AH5" s="230"/>
      <c r="AI5" s="228">
        <f t="shared" si="6"/>
        <v>0.99987660542401369</v>
      </c>
      <c r="AJ5" s="133">
        <f t="shared" si="17"/>
        <v>1.2339457598631309E-4</v>
      </c>
      <c r="AL5" s="126">
        <f t="shared" si="18"/>
        <v>7429.0086875646375</v>
      </c>
      <c r="AM5" s="4">
        <f t="shared" si="19"/>
        <v>2573.9720059656538</v>
      </c>
      <c r="AN5" s="127">
        <f t="shared" si="20"/>
        <v>1373.448848318008</v>
      </c>
      <c r="AO5" s="4">
        <f t="shared" si="21"/>
        <v>11376.4295418483</v>
      </c>
      <c r="AP5" s="126">
        <v>0.13</v>
      </c>
      <c r="AQ5" s="4">
        <v>0.05</v>
      </c>
      <c r="AR5" s="127">
        <v>0.06</v>
      </c>
      <c r="AS5" s="233">
        <f t="shared" si="22"/>
        <v>1176.8766605807659</v>
      </c>
      <c r="AU5">
        <v>1</v>
      </c>
      <c r="AV5">
        <v>3</v>
      </c>
      <c r="AX5" s="126"/>
      <c r="AY5" s="178" t="s">
        <v>161</v>
      </c>
      <c r="AZ5" s="240">
        <v>1024788</v>
      </c>
      <c r="BA5" s="179">
        <v>118551</v>
      </c>
      <c r="BB5" s="240">
        <v>11416</v>
      </c>
      <c r="BC5" s="180">
        <v>1244</v>
      </c>
      <c r="BD5" s="177">
        <f>SUM(AZ5:BC5)</f>
        <v>1155999</v>
      </c>
    </row>
    <row r="6" spans="1:56" ht="18.75" thickBot="1">
      <c r="A6" s="20" t="s">
        <v>36</v>
      </c>
      <c r="B6" s="20"/>
      <c r="C6" s="20" t="s">
        <v>37</v>
      </c>
      <c r="D6" s="20"/>
      <c r="G6" s="3">
        <v>1</v>
      </c>
      <c r="H6" s="16">
        <v>4</v>
      </c>
      <c r="I6" s="224">
        <v>20</v>
      </c>
      <c r="J6" s="105">
        <f t="shared" si="7"/>
        <v>20</v>
      </c>
      <c r="K6" s="225">
        <f t="shared" si="8"/>
        <v>2293.8577924046085</v>
      </c>
      <c r="L6" s="225">
        <f t="shared" si="9"/>
        <v>452.12426790276174</v>
      </c>
      <c r="M6" s="226">
        <f t="shared" si="10"/>
        <v>548.41235087424684</v>
      </c>
      <c r="N6" s="126">
        <f>VLOOKUP(G6,'2.trip_production'!$AI$2:$AJ$1189,2)</f>
        <v>226000</v>
      </c>
      <c r="O6" s="142">
        <f>VLOOKUP(H6,'2.trip_production'!$AK$2:$AL$1189,2)</f>
        <v>6432.4324324324325</v>
      </c>
      <c r="P6" s="4">
        <f t="shared" si="11"/>
        <v>14755085.259251265</v>
      </c>
      <c r="Q6" s="4">
        <f t="shared" si="0"/>
        <v>8976265693.5356178</v>
      </c>
      <c r="R6" s="128">
        <f t="shared" si="12"/>
        <v>1.6437888274494084E-3</v>
      </c>
      <c r="S6" s="127">
        <f t="shared" si="1"/>
        <v>371.49627500356632</v>
      </c>
      <c r="T6" s="4"/>
      <c r="U6" s="126">
        <f>VLOOKUP(G6,'2.trip_production'!$AM$2:$AN$1189,2)</f>
        <v>600000</v>
      </c>
      <c r="V6" s="4">
        <f>VLOOKUP(H6,'2.trip_production'!$AO$2:$AP$1189,2)</f>
        <v>67182.948950505306</v>
      </c>
      <c r="W6" s="4">
        <f t="shared" si="2"/>
        <v>30375041.609795827</v>
      </c>
      <c r="X6" s="4">
        <f t="shared" si="3"/>
        <v>29397000185.349262</v>
      </c>
      <c r="Y6" s="4">
        <f t="shared" si="13"/>
        <v>1.0332701098166471E-3</v>
      </c>
      <c r="Z6" s="127">
        <f t="shared" si="14"/>
        <v>619.96206588998825</v>
      </c>
      <c r="AB6" s="126">
        <f>VLOOKUP(G6,'2.trip_production'!$AQ$2:$AR$1189,2)</f>
        <v>366031.48387096776</v>
      </c>
      <c r="AC6" s="4">
        <f>VLOOKUP(H6,'2.trip_production'!$AS$2:$AT$1189,2)</f>
        <v>40600</v>
      </c>
      <c r="AD6" s="4">
        <f t="shared" si="4"/>
        <v>22265541.445494421</v>
      </c>
      <c r="AE6" s="4">
        <f t="shared" si="5"/>
        <v>26304623626.50885</v>
      </c>
      <c r="AF6" s="4">
        <f t="shared" si="15"/>
        <v>8.4644972540325622E-4</v>
      </c>
      <c r="AG6" s="127">
        <f t="shared" si="16"/>
        <v>309.82724901152704</v>
      </c>
      <c r="AH6" s="230"/>
      <c r="AI6" s="228">
        <f t="shared" si="6"/>
        <v>0.99987660542401369</v>
      </c>
      <c r="AJ6" s="133">
        <f t="shared" si="17"/>
        <v>1.2339457598631309E-4</v>
      </c>
      <c r="AL6" s="126">
        <f t="shared" si="18"/>
        <v>371.45043437823176</v>
      </c>
      <c r="AM6" s="4">
        <f t="shared" si="19"/>
        <v>619.88556593374017</v>
      </c>
      <c r="AN6" s="127">
        <f t="shared" si="20"/>
        <v>309.78901800950626</v>
      </c>
      <c r="AO6" s="4">
        <f t="shared" si="21"/>
        <v>1301.1250183214781</v>
      </c>
      <c r="AP6" s="126">
        <v>0.13</v>
      </c>
      <c r="AQ6" s="4">
        <v>0.05</v>
      </c>
      <c r="AR6" s="127">
        <v>0.06</v>
      </c>
      <c r="AS6" s="233">
        <f>AL6*AP6+AM6*AQ6+AN6*AR6</f>
        <v>97.870175846427514</v>
      </c>
      <c r="AU6">
        <v>1</v>
      </c>
      <c r="AV6">
        <v>4</v>
      </c>
      <c r="AX6" s="126"/>
      <c r="AY6" s="181" t="s">
        <v>162</v>
      </c>
      <c r="AZ6" s="240">
        <v>132320</v>
      </c>
      <c r="BA6" s="179">
        <v>916377</v>
      </c>
      <c r="BB6" s="240">
        <v>11294</v>
      </c>
      <c r="BC6" s="180">
        <v>1209</v>
      </c>
      <c r="BD6" s="177">
        <f t="shared" ref="BD6:BD8" si="23">SUM(AZ6:BC6)</f>
        <v>1061200</v>
      </c>
    </row>
    <row r="7" spans="1:56" ht="16.5" thickBot="1">
      <c r="A7" s="20"/>
      <c r="B7" s="20"/>
      <c r="C7" s="20"/>
      <c r="D7" s="20"/>
      <c r="G7" s="3">
        <v>1</v>
      </c>
      <c r="H7" s="16">
        <v>5</v>
      </c>
      <c r="I7" s="224">
        <v>5</v>
      </c>
      <c r="J7" s="105">
        <f t="shared" si="7"/>
        <v>5</v>
      </c>
      <c r="K7" s="225">
        <f t="shared" si="8"/>
        <v>14923.85460429357</v>
      </c>
      <c r="L7" s="225">
        <f t="shared" si="9"/>
        <v>10996.64301857085</v>
      </c>
      <c r="M7" s="226">
        <f t="shared" si="10"/>
        <v>15577.324188348515</v>
      </c>
      <c r="N7" s="126">
        <f>VLOOKUP(G7,'2.trip_production'!$AI$2:$AJ$1189,2)</f>
        <v>226000</v>
      </c>
      <c r="O7" s="142">
        <f>VLOOKUP(H7,'2.trip_production'!$AK$2:$AL$1189,2)</f>
        <v>0</v>
      </c>
      <c r="P7" s="4">
        <f t="shared" si="11"/>
        <v>0</v>
      </c>
      <c r="Q7" s="4">
        <f t="shared" si="0"/>
        <v>8976265693.5356178</v>
      </c>
      <c r="R7" s="128">
        <f t="shared" si="12"/>
        <v>0</v>
      </c>
      <c r="S7" s="127">
        <f t="shared" si="1"/>
        <v>0</v>
      </c>
      <c r="T7" s="4"/>
      <c r="U7" s="126">
        <f>VLOOKUP(G7,'2.trip_production'!$AM$2:$AN$1189,2)</f>
        <v>600000</v>
      </c>
      <c r="V7" s="4">
        <f>VLOOKUP(H7,'2.trip_production'!$AO$2:$AP$1189,2)</f>
        <v>0</v>
      </c>
      <c r="W7" s="4">
        <f t="shared" si="2"/>
        <v>0</v>
      </c>
      <c r="X7" s="4">
        <f t="shared" si="3"/>
        <v>29397000185.349262</v>
      </c>
      <c r="Y7" s="4">
        <f t="shared" si="13"/>
        <v>0</v>
      </c>
      <c r="Z7" s="127">
        <f t="shared" si="14"/>
        <v>0</v>
      </c>
      <c r="AB7" s="126">
        <f>VLOOKUP(G7,'2.trip_production'!$AQ$2:$AR$1189,2)</f>
        <v>366031.48387096776</v>
      </c>
      <c r="AC7" s="4">
        <f>VLOOKUP(H7,'2.trip_production'!$AS$2:$AT$1189,2)</f>
        <v>0</v>
      </c>
      <c r="AD7" s="4">
        <f t="shared" si="4"/>
        <v>0</v>
      </c>
      <c r="AE7" s="4">
        <f t="shared" si="5"/>
        <v>26304623626.50885</v>
      </c>
      <c r="AF7" s="4">
        <f t="shared" si="15"/>
        <v>0</v>
      </c>
      <c r="AG7" s="127">
        <f t="shared" si="16"/>
        <v>0</v>
      </c>
      <c r="AH7" s="230"/>
      <c r="AI7" s="228">
        <f t="shared" si="6"/>
        <v>0.95257412682243314</v>
      </c>
      <c r="AJ7" s="133">
        <f t="shared" si="17"/>
        <v>4.7425873177566857E-2</v>
      </c>
      <c r="AL7" s="126">
        <f t="shared" si="18"/>
        <v>0</v>
      </c>
      <c r="AM7" s="4">
        <f t="shared" si="19"/>
        <v>0</v>
      </c>
      <c r="AN7" s="127">
        <f t="shared" si="20"/>
        <v>0</v>
      </c>
      <c r="AO7" s="4">
        <f t="shared" si="21"/>
        <v>0</v>
      </c>
      <c r="AP7" s="126">
        <v>0.13</v>
      </c>
      <c r="AQ7" s="4">
        <v>0.05</v>
      </c>
      <c r="AR7" s="127">
        <v>0.06</v>
      </c>
      <c r="AS7" s="233">
        <f t="shared" si="22"/>
        <v>0</v>
      </c>
      <c r="AU7">
        <v>1</v>
      </c>
      <c r="AV7">
        <v>5</v>
      </c>
      <c r="AX7" s="126"/>
      <c r="AY7" s="181" t="s">
        <v>163</v>
      </c>
      <c r="AZ7" s="240">
        <v>51585</v>
      </c>
      <c r="BA7" s="179">
        <v>44598</v>
      </c>
      <c r="BB7" s="240">
        <v>710088</v>
      </c>
      <c r="BC7" s="180">
        <v>13130</v>
      </c>
      <c r="BD7" s="177">
        <f t="shared" si="23"/>
        <v>819401</v>
      </c>
    </row>
    <row r="8" spans="1:56" ht="16.5" thickBot="1">
      <c r="A8" s="28" t="s">
        <v>38</v>
      </c>
      <c r="B8" s="20"/>
      <c r="C8" s="20"/>
      <c r="D8" s="20"/>
      <c r="G8" s="3">
        <v>1</v>
      </c>
      <c r="H8" s="16">
        <v>6</v>
      </c>
      <c r="I8" s="224">
        <v>15</v>
      </c>
      <c r="J8" s="105">
        <f t="shared" si="7"/>
        <v>15</v>
      </c>
      <c r="K8" s="225">
        <f t="shared" si="8"/>
        <v>4267.3314005635884</v>
      </c>
      <c r="L8" s="225">
        <f t="shared" si="9"/>
        <v>1046.9417080807978</v>
      </c>
      <c r="M8" s="226">
        <f t="shared" si="10"/>
        <v>1326.3949666025098</v>
      </c>
      <c r="N8" s="126">
        <f>VLOOKUP(G8,'2.trip_production'!$AI$2:$AJ$1189,2)</f>
        <v>226000</v>
      </c>
      <c r="O8" s="142">
        <f>VLOOKUP(H8,'2.trip_production'!$AK$2:$AL$1189,2)</f>
        <v>0</v>
      </c>
      <c r="P8" s="4">
        <f t="shared" si="11"/>
        <v>0</v>
      </c>
      <c r="Q8" s="4">
        <f t="shared" si="0"/>
        <v>8976265693.5356178</v>
      </c>
      <c r="R8" s="128">
        <f t="shared" si="12"/>
        <v>0</v>
      </c>
      <c r="S8" s="127">
        <f t="shared" si="1"/>
        <v>0</v>
      </c>
      <c r="T8" s="4"/>
      <c r="U8" s="126">
        <f>VLOOKUP(G8,'2.trip_production'!$AM$2:$AN$1189,2)</f>
        <v>600000</v>
      </c>
      <c r="V8" s="4">
        <f>VLOOKUP(H8,'2.trip_production'!$AO$2:$AP$1189,2)</f>
        <v>0</v>
      </c>
      <c r="W8" s="4">
        <f t="shared" si="2"/>
        <v>0</v>
      </c>
      <c r="X8" s="4">
        <f t="shared" si="3"/>
        <v>29397000185.349262</v>
      </c>
      <c r="Y8" s="4">
        <f t="shared" si="13"/>
        <v>0</v>
      </c>
      <c r="Z8" s="127">
        <f t="shared" si="14"/>
        <v>0</v>
      </c>
      <c r="AB8" s="126">
        <f>VLOOKUP(G8,'2.trip_production'!$AQ$2:$AR$1189,2)</f>
        <v>366031.48387096776</v>
      </c>
      <c r="AC8" s="4">
        <f>VLOOKUP(H8,'2.trip_production'!$AS$2:$AT$1189,2)</f>
        <v>0</v>
      </c>
      <c r="AD8" s="4">
        <f t="shared" si="4"/>
        <v>0</v>
      </c>
      <c r="AE8" s="4">
        <f t="shared" si="5"/>
        <v>26304623626.50885</v>
      </c>
      <c r="AF8" s="4">
        <f t="shared" si="15"/>
        <v>0</v>
      </c>
      <c r="AG8" s="127">
        <f t="shared" si="16"/>
        <v>0</v>
      </c>
      <c r="AH8" s="230"/>
      <c r="AI8" s="228">
        <f t="shared" si="6"/>
        <v>0.9990889488055994</v>
      </c>
      <c r="AJ8" s="133">
        <f t="shared" si="17"/>
        <v>9.1105119440060278E-4</v>
      </c>
      <c r="AL8" s="126">
        <f t="shared" si="18"/>
        <v>0</v>
      </c>
      <c r="AM8" s="4">
        <f t="shared" si="19"/>
        <v>0</v>
      </c>
      <c r="AN8" s="127">
        <f t="shared" si="20"/>
        <v>0</v>
      </c>
      <c r="AO8" s="4">
        <f t="shared" si="21"/>
        <v>0</v>
      </c>
      <c r="AP8" s="126">
        <v>0.13</v>
      </c>
      <c r="AQ8" s="4">
        <v>0.05</v>
      </c>
      <c r="AR8" s="127">
        <v>0.06</v>
      </c>
      <c r="AS8" s="233">
        <f t="shared" si="22"/>
        <v>0</v>
      </c>
      <c r="AU8">
        <v>1</v>
      </c>
      <c r="AV8">
        <v>6</v>
      </c>
      <c r="AX8" s="126"/>
      <c r="AY8" s="182" t="s">
        <v>164</v>
      </c>
      <c r="AZ8" s="241">
        <v>90119</v>
      </c>
      <c r="BA8" s="183">
        <v>79797</v>
      </c>
      <c r="BB8" s="241">
        <v>168509</v>
      </c>
      <c r="BC8" s="184">
        <v>326175</v>
      </c>
      <c r="BD8" s="177">
        <f t="shared" si="23"/>
        <v>664600</v>
      </c>
    </row>
    <row r="9" spans="1:56" ht="16.5" thickBot="1">
      <c r="A9" s="29" t="s">
        <v>39</v>
      </c>
      <c r="B9" s="30" t="s">
        <v>40</v>
      </c>
      <c r="C9" s="30" t="s">
        <v>41</v>
      </c>
      <c r="D9" s="31" t="s">
        <v>42</v>
      </c>
      <c r="G9" s="3">
        <v>2</v>
      </c>
      <c r="H9" s="16">
        <v>1</v>
      </c>
      <c r="I9" s="224">
        <v>10</v>
      </c>
      <c r="J9" s="105">
        <f t="shared" si="7"/>
        <v>10</v>
      </c>
      <c r="K9" s="225">
        <f t="shared" si="8"/>
        <v>7957.3654327904278</v>
      </c>
      <c r="L9" s="225">
        <f t="shared" si="9"/>
        <v>2820.4485118873376</v>
      </c>
      <c r="M9" s="226">
        <f t="shared" si="10"/>
        <v>3752.957645599517</v>
      </c>
      <c r="N9" s="126">
        <f>VLOOKUP(G9,'2.trip_production'!$AI$2:$AJ$1189,2)</f>
        <v>212000</v>
      </c>
      <c r="O9" s="142">
        <f>VLOOKUP(H9,'2.trip_production'!$AK$2:$AL$1189,2)</f>
        <v>321621.6216216216</v>
      </c>
      <c r="P9" s="4">
        <f t="shared" si="11"/>
        <v>2559260774.3298941</v>
      </c>
      <c r="Q9" s="4">
        <f t="shared" si="0"/>
        <v>8164317791.6761122</v>
      </c>
      <c r="R9" s="128">
        <f t="shared" si="12"/>
        <v>0.31346902945634664</v>
      </c>
      <c r="S9" s="127">
        <f t="shared" si="1"/>
        <v>66455.434244745484</v>
      </c>
      <c r="T9" s="4"/>
      <c r="U9" s="126">
        <f>VLOOKUP(G9,'2.trip_production'!$AM$2:$AN$1189,2)</f>
        <v>567000</v>
      </c>
      <c r="V9" s="4">
        <f>VLOOKUP(H9,'2.trip_production'!$AO$2:$AP$1189,2)</f>
        <v>798932.36589790101</v>
      </c>
      <c r="W9" s="4">
        <f t="shared" si="2"/>
        <v>2253347602.4953647</v>
      </c>
      <c r="X9" s="4">
        <f t="shared" si="3"/>
        <v>28371094559.176247</v>
      </c>
      <c r="Y9" s="4">
        <f t="shared" si="13"/>
        <v>7.942406302990343E-2</v>
      </c>
      <c r="Z9" s="127">
        <f t="shared" si="14"/>
        <v>45033.443737955247</v>
      </c>
      <c r="AB9" s="126">
        <f>VLOOKUP(G9,'2.trip_production'!$AQ$2:$AR$1189,2)</f>
        <v>345029.67741935485</v>
      </c>
      <c r="AC9" s="4">
        <f>VLOOKUP(H9,'2.trip_production'!$AS$2:$AT$1189,2)</f>
        <v>486000</v>
      </c>
      <c r="AD9" s="4">
        <f t="shared" si="4"/>
        <v>1823937415.7613652</v>
      </c>
      <c r="AE9" s="4">
        <f t="shared" si="5"/>
        <v>24906576851.215561</v>
      </c>
      <c r="AF9" s="4">
        <f t="shared" si="15"/>
        <v>7.323115603790202E-2</v>
      </c>
      <c r="AG9" s="127">
        <f t="shared" si="16"/>
        <v>25266.922144803775</v>
      </c>
      <c r="AH9" s="230"/>
      <c r="AI9" s="228">
        <f t="shared" si="6"/>
        <v>0.99330714907571516</v>
      </c>
      <c r="AJ9" s="133">
        <f t="shared" si="17"/>
        <v>6.6928509242848433E-3</v>
      </c>
      <c r="AL9" s="126">
        <f t="shared" si="18"/>
        <v>66010.65793023679</v>
      </c>
      <c r="AM9" s="4">
        <f t="shared" si="19"/>
        <v>44732.041612409943</v>
      </c>
      <c r="AN9" s="127">
        <f t="shared" si="20"/>
        <v>25097.81440157309</v>
      </c>
      <c r="AO9" s="4">
        <f t="shared" si="21"/>
        <v>135840.51394421983</v>
      </c>
      <c r="AP9" s="126">
        <v>0.13</v>
      </c>
      <c r="AQ9" s="4">
        <v>0.05</v>
      </c>
      <c r="AR9" s="127">
        <v>0.06</v>
      </c>
      <c r="AS9" s="233">
        <f t="shared" si="22"/>
        <v>12323.856475645667</v>
      </c>
      <c r="AU9">
        <v>2</v>
      </c>
      <c r="AV9">
        <v>1</v>
      </c>
      <c r="AX9" s="126"/>
      <c r="AY9" s="174"/>
      <c r="AZ9" s="179"/>
      <c r="BA9" s="179"/>
      <c r="BB9" s="179"/>
      <c r="BC9" s="179"/>
      <c r="BD9" s="177"/>
    </row>
    <row r="10" spans="1:56" ht="16.5" thickBot="1">
      <c r="A10" s="25" t="s">
        <v>14</v>
      </c>
      <c r="B10" s="105">
        <v>28507</v>
      </c>
      <c r="C10" s="105">
        <v>-0.02</v>
      </c>
      <c r="D10" s="105">
        <v>-0.123</v>
      </c>
      <c r="G10" s="3">
        <v>2</v>
      </c>
      <c r="H10" s="16">
        <v>2</v>
      </c>
      <c r="I10" s="224">
        <v>2.5</v>
      </c>
      <c r="J10" s="105">
        <f t="shared" si="7"/>
        <v>2.5</v>
      </c>
      <c r="K10" s="225">
        <f t="shared" si="8"/>
        <v>20580.084915480234</v>
      </c>
      <c r="L10" s="225">
        <f t="shared" si="9"/>
        <v>33895.564770927151</v>
      </c>
      <c r="M10" s="226">
        <f t="shared" si="10"/>
        <v>50354.516822042409</v>
      </c>
      <c r="N10" s="126">
        <f>VLOOKUP(G10,'2.trip_production'!$AI$2:$AJ$1189,2)</f>
        <v>212000</v>
      </c>
      <c r="O10" s="142">
        <f>VLOOKUP(H10,'2.trip_production'!$AK$2:$AL$1189,2)</f>
        <v>257297.29729729731</v>
      </c>
      <c r="P10" s="4">
        <f t="shared" si="11"/>
        <v>5295200226.9019413</v>
      </c>
      <c r="Q10" s="4">
        <f t="shared" si="0"/>
        <v>8164317791.6761122</v>
      </c>
      <c r="R10" s="128">
        <f t="shared" si="12"/>
        <v>0.64857840691853463</v>
      </c>
      <c r="S10" s="127">
        <f t="shared" si="1"/>
        <v>137498.62226672933</v>
      </c>
      <c r="T10" s="4"/>
      <c r="U10" s="126">
        <f>VLOOKUP(G10,'2.trip_production'!$AM$2:$AN$1189,2)</f>
        <v>567000</v>
      </c>
      <c r="V10" s="4">
        <f>VLOOKUP(H10,'2.trip_production'!$AO$2:$AP$1189,2)</f>
        <v>765918.63176988857</v>
      </c>
      <c r="W10" s="4">
        <f t="shared" si="2"/>
        <v>25961244592.416161</v>
      </c>
      <c r="X10" s="4">
        <f t="shared" si="3"/>
        <v>28371094559.176247</v>
      </c>
      <c r="Y10" s="4">
        <f t="shared" si="13"/>
        <v>0.91505967590592474</v>
      </c>
      <c r="Z10" s="127">
        <f t="shared" si="14"/>
        <v>518838.83623865934</v>
      </c>
      <c r="AB10" s="126">
        <f>VLOOKUP(G10,'2.trip_production'!$AQ$2:$AR$1189,2)</f>
        <v>345029.67741935485</v>
      </c>
      <c r="AC10" s="4">
        <f>VLOOKUP(H10,'2.trip_production'!$AS$2:$AT$1189,2)</f>
        <v>456000</v>
      </c>
      <c r="AD10" s="4">
        <f t="shared" si="4"/>
        <v>22961659670.851337</v>
      </c>
      <c r="AE10" s="4">
        <f t="shared" si="5"/>
        <v>24906576851.215561</v>
      </c>
      <c r="AF10" s="4">
        <f t="shared" si="15"/>
        <v>0.921911501850191</v>
      </c>
      <c r="AG10" s="127">
        <f t="shared" si="16"/>
        <v>318086.82809256436</v>
      </c>
      <c r="AH10" s="230"/>
      <c r="AI10" s="228">
        <f t="shared" si="6"/>
        <v>0.88079707797788243</v>
      </c>
      <c r="AJ10" s="133">
        <f t="shared" si="17"/>
        <v>0.11920292202211757</v>
      </c>
      <c r="AL10" s="126">
        <f t="shared" si="18"/>
        <v>121108.3847185198</v>
      </c>
      <c r="AM10" s="4">
        <f t="shared" si="19"/>
        <v>456991.7309004562</v>
      </c>
      <c r="AN10" s="127">
        <f t="shared" si="20"/>
        <v>280169.94872718368</v>
      </c>
      <c r="AO10" s="4">
        <f t="shared" si="21"/>
        <v>858270.06434615958</v>
      </c>
      <c r="AP10" s="126">
        <v>0.13</v>
      </c>
      <c r="AQ10" s="4">
        <v>0.05</v>
      </c>
      <c r="AR10" s="127">
        <v>0.06</v>
      </c>
      <c r="AS10" s="233">
        <f t="shared" si="22"/>
        <v>55403.873482061405</v>
      </c>
      <c r="AU10">
        <v>2</v>
      </c>
      <c r="AV10">
        <v>2</v>
      </c>
      <c r="AX10" s="126"/>
      <c r="AY10" s="185" t="s">
        <v>452</v>
      </c>
      <c r="AZ10" s="186"/>
      <c r="BA10" s="186"/>
      <c r="BB10" s="179"/>
      <c r="BC10" s="179"/>
      <c r="BD10" s="177"/>
    </row>
    <row r="11" spans="1:56" ht="16.5" thickBot="1">
      <c r="A11" s="25" t="s">
        <v>15</v>
      </c>
      <c r="B11" s="105">
        <v>139173</v>
      </c>
      <c r="C11" s="105">
        <v>-1.2849999999999999</v>
      </c>
      <c r="D11" s="105">
        <v>-9.4E-2</v>
      </c>
      <c r="G11" s="3">
        <v>2</v>
      </c>
      <c r="H11" s="16">
        <v>3</v>
      </c>
      <c r="I11" s="224">
        <v>20</v>
      </c>
      <c r="J11" s="105">
        <f t="shared" si="7"/>
        <v>20</v>
      </c>
      <c r="K11" s="225">
        <f t="shared" si="8"/>
        <v>2293.8577924046085</v>
      </c>
      <c r="L11" s="225">
        <f t="shared" si="9"/>
        <v>452.12426790276174</v>
      </c>
      <c r="M11" s="226">
        <f t="shared" si="10"/>
        <v>548.41235087424684</v>
      </c>
      <c r="N11" s="126">
        <f>VLOOKUP(G11,'2.trip_production'!$AI$2:$AJ$1189,2)</f>
        <v>212000</v>
      </c>
      <c r="O11" s="142">
        <f>VLOOKUP(H11,'2.trip_production'!$AK$2:$AL$1189,2)</f>
        <v>128648.64864864865</v>
      </c>
      <c r="P11" s="4">
        <f t="shared" si="11"/>
        <v>295101705.18502533</v>
      </c>
      <c r="Q11" s="4">
        <f t="shared" si="0"/>
        <v>8164317791.6761122</v>
      </c>
      <c r="R11" s="128">
        <f t="shared" si="12"/>
        <v>3.614529869058928E-2</v>
      </c>
      <c r="S11" s="127">
        <f t="shared" si="1"/>
        <v>7662.8033224049277</v>
      </c>
      <c r="T11" s="4"/>
      <c r="U11" s="126">
        <f>VLOOKUP(G11,'2.trip_production'!$AM$2:$AN$1189,2)</f>
        <v>567000</v>
      </c>
      <c r="V11" s="4">
        <f>VLOOKUP(H11,'2.trip_production'!$AO$2:$AP$1189,2)</f>
        <v>278966.05338170513</v>
      </c>
      <c r="W11" s="4">
        <f t="shared" si="2"/>
        <v>126127322.65492618</v>
      </c>
      <c r="X11" s="4">
        <f t="shared" si="3"/>
        <v>28371094559.176247</v>
      </c>
      <c r="Y11" s="4">
        <f t="shared" si="13"/>
        <v>4.4456276578209069E-3</v>
      </c>
      <c r="Z11" s="127">
        <f t="shared" si="14"/>
        <v>2520.6708819844544</v>
      </c>
      <c r="AB11" s="126">
        <f>VLOOKUP(G11,'2.trip_production'!$AQ$2:$AR$1189,2)</f>
        <v>345029.67741935485</v>
      </c>
      <c r="AC11" s="4">
        <f>VLOOKUP(H11,'2.trip_production'!$AS$2:$AT$1189,2)</f>
        <v>180000</v>
      </c>
      <c r="AD11" s="4">
        <f t="shared" si="4"/>
        <v>98714223.157364428</v>
      </c>
      <c r="AE11" s="4">
        <f t="shared" si="5"/>
        <v>24906576851.215561</v>
      </c>
      <c r="AF11" s="4">
        <f t="shared" si="15"/>
        <v>3.9633797830610634E-3</v>
      </c>
      <c r="AG11" s="127">
        <f t="shared" si="16"/>
        <v>1367.4836480399513</v>
      </c>
      <c r="AH11" s="230"/>
      <c r="AI11" s="228">
        <f t="shared" si="6"/>
        <v>0.99987660542401369</v>
      </c>
      <c r="AJ11" s="133">
        <f t="shared" si="17"/>
        <v>1.2339457598631309E-4</v>
      </c>
      <c r="AL11" s="126">
        <f t="shared" si="18"/>
        <v>7661.8577740380933</v>
      </c>
      <c r="AM11" s="4">
        <f t="shared" si="19"/>
        <v>2520.3598448697708</v>
      </c>
      <c r="AN11" s="127">
        <f t="shared" si="20"/>
        <v>1367.3149079750331</v>
      </c>
      <c r="AO11" s="4">
        <f t="shared" si="21"/>
        <v>11549.532526882896</v>
      </c>
      <c r="AP11" s="126">
        <v>0.13</v>
      </c>
      <c r="AQ11" s="4">
        <v>0.05</v>
      </c>
      <c r="AR11" s="127">
        <v>0.06</v>
      </c>
      <c r="AS11" s="233">
        <f t="shared" si="22"/>
        <v>1204.0983973469426</v>
      </c>
      <c r="AU11">
        <v>2</v>
      </c>
      <c r="AV11">
        <v>3</v>
      </c>
      <c r="AX11" s="126"/>
      <c r="AY11" s="174" t="s">
        <v>176</v>
      </c>
      <c r="AZ11" s="239" t="s">
        <v>161</v>
      </c>
      <c r="BA11" s="239" t="s">
        <v>162</v>
      </c>
      <c r="BB11" s="239" t="s">
        <v>163</v>
      </c>
      <c r="BC11" s="176" t="s">
        <v>164</v>
      </c>
      <c r="BD11" s="177" t="s">
        <v>438</v>
      </c>
    </row>
    <row r="12" spans="1:56" ht="16.5" thickBot="1">
      <c r="A12" s="32" t="s">
        <v>16</v>
      </c>
      <c r="B12" s="105">
        <v>219113</v>
      </c>
      <c r="C12" s="105">
        <v>-1.3320000000000001</v>
      </c>
      <c r="D12" s="105">
        <v>-0.1</v>
      </c>
      <c r="G12" s="3">
        <v>2</v>
      </c>
      <c r="H12" s="16">
        <v>4</v>
      </c>
      <c r="I12" s="224">
        <v>20</v>
      </c>
      <c r="J12" s="105">
        <f t="shared" si="7"/>
        <v>20</v>
      </c>
      <c r="K12" s="225">
        <f t="shared" si="8"/>
        <v>2293.8577924046085</v>
      </c>
      <c r="L12" s="225">
        <f t="shared" si="9"/>
        <v>452.12426790276174</v>
      </c>
      <c r="M12" s="226">
        <f t="shared" si="10"/>
        <v>548.41235087424684</v>
      </c>
      <c r="N12" s="126">
        <f>VLOOKUP(G12,'2.trip_production'!$AI$2:$AJ$1189,2)</f>
        <v>212000</v>
      </c>
      <c r="O12" s="142">
        <f>VLOOKUP(H12,'2.trip_production'!$AK$2:$AL$1189,2)</f>
        <v>6432.4324324324325</v>
      </c>
      <c r="P12" s="4">
        <f t="shared" si="11"/>
        <v>14755085.259251265</v>
      </c>
      <c r="Q12" s="4">
        <f t="shared" si="0"/>
        <v>8164317791.6761122</v>
      </c>
      <c r="R12" s="128">
        <f t="shared" si="12"/>
        <v>1.8072649345294638E-3</v>
      </c>
      <c r="S12" s="127">
        <f t="shared" si="1"/>
        <v>383.14016612024636</v>
      </c>
      <c r="T12" s="4"/>
      <c r="U12" s="126">
        <f>VLOOKUP(G12,'2.trip_production'!$AM$2:$AN$1189,2)</f>
        <v>567000</v>
      </c>
      <c r="V12" s="4">
        <f>VLOOKUP(H12,'2.trip_production'!$AO$2:$AP$1189,2)</f>
        <v>67182.948950505306</v>
      </c>
      <c r="W12" s="4">
        <f t="shared" si="2"/>
        <v>30375041.609795827</v>
      </c>
      <c r="X12" s="4">
        <f t="shared" si="3"/>
        <v>28371094559.176247</v>
      </c>
      <c r="Y12" s="4">
        <f t="shared" si="13"/>
        <v>1.0706334063509521E-3</v>
      </c>
      <c r="Z12" s="127">
        <f t="shared" si="14"/>
        <v>607.04914140098981</v>
      </c>
      <c r="AB12" s="126">
        <f>VLOOKUP(G12,'2.trip_production'!$AQ$2:$AR$1189,2)</f>
        <v>345029.67741935485</v>
      </c>
      <c r="AC12" s="4">
        <f>VLOOKUP(H12,'2.trip_production'!$AS$2:$AT$1189,2)</f>
        <v>40600</v>
      </c>
      <c r="AD12" s="4">
        <f t="shared" si="4"/>
        <v>22265541.445494421</v>
      </c>
      <c r="AE12" s="4">
        <f t="shared" si="5"/>
        <v>24906576851.215561</v>
      </c>
      <c r="AF12" s="4">
        <f t="shared" si="15"/>
        <v>8.9396232884599535E-4</v>
      </c>
      <c r="AG12" s="127">
        <f t="shared" si="16"/>
        <v>308.44353394678899</v>
      </c>
      <c r="AH12" s="230"/>
      <c r="AI12" s="228">
        <f t="shared" si="6"/>
        <v>0.99987660542401369</v>
      </c>
      <c r="AJ12" s="133">
        <f t="shared" si="17"/>
        <v>1.2339457598631309E-4</v>
      </c>
      <c r="AL12" s="126">
        <f t="shared" si="18"/>
        <v>383.09288870190466</v>
      </c>
      <c r="AM12" s="4">
        <f t="shared" si="19"/>
        <v>606.97423482958379</v>
      </c>
      <c r="AN12" s="127">
        <f t="shared" si="20"/>
        <v>308.40547368770189</v>
      </c>
      <c r="AO12" s="4">
        <f t="shared" si="21"/>
        <v>1298.4725972191904</v>
      </c>
      <c r="AP12" s="126">
        <v>0.13</v>
      </c>
      <c r="AQ12" s="4">
        <v>0.05</v>
      </c>
      <c r="AR12" s="127">
        <v>0.06</v>
      </c>
      <c r="AS12" s="233">
        <f t="shared" si="22"/>
        <v>98.655115693988918</v>
      </c>
      <c r="AU12">
        <v>2</v>
      </c>
      <c r="AV12">
        <v>4</v>
      </c>
      <c r="AX12" s="126"/>
      <c r="AY12" s="178" t="s">
        <v>161</v>
      </c>
      <c r="AZ12" s="242">
        <f>AO3</f>
        <v>933556.13660251535</v>
      </c>
      <c r="BA12" s="242">
        <f>AO4</f>
        <v>118653.66192408677</v>
      </c>
      <c r="BB12" s="242">
        <f>AO5</f>
        <v>11376.4295418483</v>
      </c>
      <c r="BC12" s="243">
        <f>AO6</f>
        <v>1301.1250183214781</v>
      </c>
      <c r="BD12" s="177">
        <f>SUM(AZ12:BC12)</f>
        <v>1064887.3530867719</v>
      </c>
    </row>
    <row r="13" spans="1:56" ht="16.5" thickBot="1">
      <c r="A13" s="20" t="s">
        <v>426</v>
      </c>
      <c r="B13" s="9" t="s">
        <v>408</v>
      </c>
      <c r="C13" s="9"/>
      <c r="D13" s="158"/>
      <c r="E13" s="9"/>
      <c r="F13" s="9"/>
      <c r="G13" s="3">
        <v>2</v>
      </c>
      <c r="H13" s="16">
        <v>5</v>
      </c>
      <c r="I13" s="224">
        <v>5</v>
      </c>
      <c r="J13" s="105">
        <f t="shared" si="7"/>
        <v>5</v>
      </c>
      <c r="K13" s="225">
        <f t="shared" si="8"/>
        <v>14923.85460429357</v>
      </c>
      <c r="L13" s="225">
        <f t="shared" si="9"/>
        <v>10996.64301857085</v>
      </c>
      <c r="M13" s="226">
        <f t="shared" si="10"/>
        <v>15577.324188348515</v>
      </c>
      <c r="N13" s="126">
        <f>VLOOKUP(G13,'2.trip_production'!$AI$2:$AJ$1189,2)</f>
        <v>212000</v>
      </c>
      <c r="O13" s="142">
        <f>VLOOKUP(H13,'2.trip_production'!$AK$2:$AL$1189,2)</f>
        <v>0</v>
      </c>
      <c r="P13" s="4">
        <f t="shared" si="11"/>
        <v>0</v>
      </c>
      <c r="Q13" s="4">
        <f t="shared" si="0"/>
        <v>8164317791.6761122</v>
      </c>
      <c r="R13" s="128">
        <f t="shared" si="12"/>
        <v>0</v>
      </c>
      <c r="S13" s="127">
        <f t="shared" si="1"/>
        <v>0</v>
      </c>
      <c r="T13" s="4"/>
      <c r="U13" s="126">
        <f>VLOOKUP(G13,'2.trip_production'!$AM$2:$AN$1189,2)</f>
        <v>567000</v>
      </c>
      <c r="V13" s="4">
        <f>VLOOKUP(H13,'2.trip_production'!$AO$2:$AP$1189,2)</f>
        <v>0</v>
      </c>
      <c r="W13" s="4">
        <f t="shared" si="2"/>
        <v>0</v>
      </c>
      <c r="X13" s="4">
        <f t="shared" si="3"/>
        <v>28371094559.176247</v>
      </c>
      <c r="Y13" s="4">
        <f t="shared" si="13"/>
        <v>0</v>
      </c>
      <c r="Z13" s="127">
        <f t="shared" si="14"/>
        <v>0</v>
      </c>
      <c r="AB13" s="126">
        <f>VLOOKUP(G13,'2.trip_production'!$AQ$2:$AR$1189,2)</f>
        <v>345029.67741935485</v>
      </c>
      <c r="AC13" s="4">
        <f>VLOOKUP(H13,'2.trip_production'!$AS$2:$AT$1189,2)</f>
        <v>0</v>
      </c>
      <c r="AD13" s="4">
        <f t="shared" si="4"/>
        <v>0</v>
      </c>
      <c r="AE13" s="4">
        <f t="shared" si="5"/>
        <v>24906576851.215561</v>
      </c>
      <c r="AF13" s="4">
        <f t="shared" si="15"/>
        <v>0</v>
      </c>
      <c r="AG13" s="127">
        <f t="shared" si="16"/>
        <v>0</v>
      </c>
      <c r="AH13" s="230"/>
      <c r="AI13" s="228">
        <f t="shared" si="6"/>
        <v>0.95257412682243314</v>
      </c>
      <c r="AJ13" s="133">
        <f t="shared" si="17"/>
        <v>4.7425873177566857E-2</v>
      </c>
      <c r="AL13" s="126">
        <f t="shared" si="18"/>
        <v>0</v>
      </c>
      <c r="AM13" s="4">
        <f t="shared" si="19"/>
        <v>0</v>
      </c>
      <c r="AN13" s="127">
        <f t="shared" si="20"/>
        <v>0</v>
      </c>
      <c r="AO13" s="4">
        <f t="shared" si="21"/>
        <v>0</v>
      </c>
      <c r="AP13" s="126">
        <v>0.13</v>
      </c>
      <c r="AQ13" s="4">
        <v>0.05</v>
      </c>
      <c r="AR13" s="127">
        <v>0.06</v>
      </c>
      <c r="AS13" s="233">
        <f t="shared" si="22"/>
        <v>0</v>
      </c>
      <c r="AU13">
        <v>2</v>
      </c>
      <c r="AV13">
        <v>5</v>
      </c>
      <c r="AX13" s="126"/>
      <c r="AY13" s="181" t="s">
        <v>162</v>
      </c>
      <c r="AZ13" s="244">
        <f>AO9</f>
        <v>135840.51394421983</v>
      </c>
      <c r="BA13" s="244">
        <f>AO10</f>
        <v>858270.06434615958</v>
      </c>
      <c r="BB13" s="244">
        <f>AO11</f>
        <v>11549.532526882896</v>
      </c>
      <c r="BC13" s="245">
        <f>AO12</f>
        <v>1298.4725972191904</v>
      </c>
      <c r="BD13" s="177">
        <f t="shared" ref="BD13:BD15" si="24">SUM(AZ13:BC13)</f>
        <v>1006958.5834144815</v>
      </c>
    </row>
    <row r="14" spans="1:56" ht="16.5" thickBot="1">
      <c r="B14" s="9" t="s">
        <v>409</v>
      </c>
      <c r="C14" s="9"/>
      <c r="D14" s="158"/>
      <c r="E14" s="9"/>
      <c r="F14" s="9"/>
      <c r="G14" s="3">
        <v>2</v>
      </c>
      <c r="H14" s="16">
        <v>6</v>
      </c>
      <c r="I14" s="224">
        <v>15</v>
      </c>
      <c r="J14" s="105">
        <f t="shared" si="7"/>
        <v>15</v>
      </c>
      <c r="K14" s="225">
        <f t="shared" si="8"/>
        <v>4267.3314005635884</v>
      </c>
      <c r="L14" s="225">
        <f t="shared" si="9"/>
        <v>1046.9417080807978</v>
      </c>
      <c r="M14" s="226">
        <f t="shared" si="10"/>
        <v>1326.3949666025098</v>
      </c>
      <c r="N14" s="126">
        <f>VLOOKUP(G14,'2.trip_production'!$AI$2:$AJ$1189,2)</f>
        <v>212000</v>
      </c>
      <c r="O14" s="142">
        <f>VLOOKUP(H14,'2.trip_production'!$AK$2:$AL$1189,2)</f>
        <v>0</v>
      </c>
      <c r="P14" s="4">
        <f t="shared" si="11"/>
        <v>0</v>
      </c>
      <c r="Q14" s="4">
        <f t="shared" si="0"/>
        <v>8164317791.6761122</v>
      </c>
      <c r="R14" s="128">
        <f t="shared" si="12"/>
        <v>0</v>
      </c>
      <c r="S14" s="127">
        <f t="shared" si="1"/>
        <v>0</v>
      </c>
      <c r="T14" s="4"/>
      <c r="U14" s="126">
        <f>VLOOKUP(G14,'2.trip_production'!$AM$2:$AN$1189,2)</f>
        <v>567000</v>
      </c>
      <c r="V14" s="4">
        <f>VLOOKUP(H14,'2.trip_production'!$AO$2:$AP$1189,2)</f>
        <v>0</v>
      </c>
      <c r="W14" s="4">
        <f t="shared" si="2"/>
        <v>0</v>
      </c>
      <c r="X14" s="4">
        <f t="shared" si="3"/>
        <v>28371094559.176247</v>
      </c>
      <c r="Y14" s="4">
        <f t="shared" si="13"/>
        <v>0</v>
      </c>
      <c r="Z14" s="127">
        <f t="shared" si="14"/>
        <v>0</v>
      </c>
      <c r="AB14" s="126">
        <f>VLOOKUP(G14,'2.trip_production'!$AQ$2:$AR$1189,2)</f>
        <v>345029.67741935485</v>
      </c>
      <c r="AC14" s="4">
        <f>VLOOKUP(H14,'2.trip_production'!$AS$2:$AT$1189,2)</f>
        <v>0</v>
      </c>
      <c r="AD14" s="4">
        <f t="shared" si="4"/>
        <v>0</v>
      </c>
      <c r="AE14" s="4">
        <f t="shared" si="5"/>
        <v>24906576851.215561</v>
      </c>
      <c r="AF14" s="4">
        <f t="shared" si="15"/>
        <v>0</v>
      </c>
      <c r="AG14" s="127">
        <f t="shared" si="16"/>
        <v>0</v>
      </c>
      <c r="AH14" s="230"/>
      <c r="AI14" s="228">
        <f t="shared" si="6"/>
        <v>0.9990889488055994</v>
      </c>
      <c r="AJ14" s="133">
        <f t="shared" si="17"/>
        <v>9.1105119440060278E-4</v>
      </c>
      <c r="AL14" s="126">
        <f t="shared" si="18"/>
        <v>0</v>
      </c>
      <c r="AM14" s="4">
        <f t="shared" si="19"/>
        <v>0</v>
      </c>
      <c r="AN14" s="127">
        <f t="shared" si="20"/>
        <v>0</v>
      </c>
      <c r="AO14" s="4">
        <f t="shared" si="21"/>
        <v>0</v>
      </c>
      <c r="AP14" s="126">
        <v>0.13</v>
      </c>
      <c r="AQ14" s="4">
        <v>0.05</v>
      </c>
      <c r="AR14" s="127">
        <v>0.06</v>
      </c>
      <c r="AS14" s="233">
        <f t="shared" si="22"/>
        <v>0</v>
      </c>
      <c r="AU14">
        <v>2</v>
      </c>
      <c r="AV14">
        <v>6</v>
      </c>
      <c r="AX14" s="126"/>
      <c r="AY14" s="181" t="s">
        <v>163</v>
      </c>
      <c r="AZ14" s="244">
        <f>AO15</f>
        <v>50213.042523497745</v>
      </c>
      <c r="BA14" s="244">
        <f>AO16</f>
        <v>43460.972167833308</v>
      </c>
      <c r="BB14" s="244">
        <f>AO17</f>
        <v>637409.64540787169</v>
      </c>
      <c r="BC14" s="245">
        <f>AO18</f>
        <v>13571.257778223397</v>
      </c>
      <c r="BD14" s="248">
        <f t="shared" si="24"/>
        <v>744654.91787742614</v>
      </c>
    </row>
    <row r="15" spans="1:56" ht="16.5" thickBot="1">
      <c r="A15" s="10" t="s">
        <v>60</v>
      </c>
      <c r="G15" s="3">
        <v>3</v>
      </c>
      <c r="H15" s="16">
        <v>1</v>
      </c>
      <c r="I15" s="224">
        <v>20</v>
      </c>
      <c r="J15" s="105">
        <f t="shared" si="7"/>
        <v>20</v>
      </c>
      <c r="K15" s="225">
        <f t="shared" si="8"/>
        <v>2293.8577924046085</v>
      </c>
      <c r="L15" s="225">
        <f t="shared" si="9"/>
        <v>452.12426790276174</v>
      </c>
      <c r="M15" s="226">
        <f t="shared" si="10"/>
        <v>548.41235087424684</v>
      </c>
      <c r="N15" s="126">
        <f>VLOOKUP(G15,'2.trip_production'!$AI$2:$AJ$1189,2)</f>
        <v>156000</v>
      </c>
      <c r="O15" s="142">
        <f>VLOOKUP(H15,'2.trip_production'!$AK$2:$AL$1189,2)</f>
        <v>321621.6216216216</v>
      </c>
      <c r="P15" s="4">
        <f t="shared" si="11"/>
        <v>737754262.96256328</v>
      </c>
      <c r="Q15" s="4">
        <f t="shared" si="0"/>
        <v>4026743002.2701826</v>
      </c>
      <c r="R15" s="128">
        <f t="shared" si="12"/>
        <v>0.18321364500953621</v>
      </c>
      <c r="S15" s="127">
        <f t="shared" si="1"/>
        <v>28581.32862148765</v>
      </c>
      <c r="T15" s="4"/>
      <c r="U15" s="126">
        <f>VLOOKUP(G15,'2.trip_production'!$AM$2:$AN$1189,2)</f>
        <v>420000</v>
      </c>
      <c r="V15" s="4">
        <f>VLOOKUP(H15,'2.trip_production'!$AO$2:$AP$1189,2)</f>
        <v>798932.36589790101</v>
      </c>
      <c r="W15" s="4">
        <f t="shared" si="2"/>
        <v>361216711.03540987</v>
      </c>
      <c r="X15" s="4">
        <f t="shared" si="3"/>
        <v>10352705091.378618</v>
      </c>
      <c r="Y15" s="4">
        <f t="shared" si="13"/>
        <v>3.4891046141768196E-2</v>
      </c>
      <c r="Z15" s="127">
        <f t="shared" si="14"/>
        <v>14654.239379542643</v>
      </c>
      <c r="AB15" s="126">
        <f>VLOOKUP(G15,'2.trip_production'!$AQ$2:$AR$1189,2)</f>
        <v>255021.93548387097</v>
      </c>
      <c r="AC15" s="4">
        <f>VLOOKUP(H15,'2.trip_production'!$AS$2:$AT$1189,2)</f>
        <v>486000</v>
      </c>
      <c r="AD15" s="4">
        <f t="shared" si="4"/>
        <v>266528402.52488396</v>
      </c>
      <c r="AE15" s="4">
        <f t="shared" si="5"/>
        <v>9732787542.9025154</v>
      </c>
      <c r="AF15" s="4">
        <f t="shared" si="15"/>
        <v>2.7384590627301392E-2</v>
      </c>
      <c r="AG15" s="127">
        <f t="shared" si="16"/>
        <v>6983.6713042078727</v>
      </c>
      <c r="AH15" s="230"/>
      <c r="AI15" s="228">
        <f t="shared" si="6"/>
        <v>0.99987660542401369</v>
      </c>
      <c r="AJ15" s="133">
        <f t="shared" si="17"/>
        <v>1.2339457598631309E-4</v>
      </c>
      <c r="AL15" s="126">
        <f t="shared" si="18"/>
        <v>28577.801840561275</v>
      </c>
      <c r="AM15" s="4">
        <f t="shared" si="19"/>
        <v>14652.431125888002</v>
      </c>
      <c r="AN15" s="127">
        <f t="shared" si="20"/>
        <v>6982.809557048462</v>
      </c>
      <c r="AO15" s="4">
        <f t="shared" si="21"/>
        <v>50213.042523497745</v>
      </c>
      <c r="AP15" s="126">
        <v>0.13</v>
      </c>
      <c r="AQ15" s="4">
        <v>0.05</v>
      </c>
      <c r="AR15" s="127">
        <v>0.06</v>
      </c>
      <c r="AS15" s="233">
        <f t="shared" si="22"/>
        <v>4866.7043689902739</v>
      </c>
      <c r="AU15">
        <v>3</v>
      </c>
      <c r="AV15">
        <v>1</v>
      </c>
      <c r="AX15" s="126"/>
      <c r="AY15" s="182" t="s">
        <v>164</v>
      </c>
      <c r="AZ15" s="246">
        <f>AO21</f>
        <v>82843.694827623869</v>
      </c>
      <c r="BA15" s="246">
        <f>AO23</f>
        <v>157005.25572848017</v>
      </c>
      <c r="BB15" s="246">
        <f>AO23</f>
        <v>157005.25572848017</v>
      </c>
      <c r="BC15" s="247">
        <f>AO24</f>
        <v>287276.45312724856</v>
      </c>
      <c r="BD15" s="248">
        <f t="shared" si="24"/>
        <v>684130.65941183281</v>
      </c>
    </row>
    <row r="16" spans="1:56" ht="16.5" thickBot="1">
      <c r="A16" t="s">
        <v>61</v>
      </c>
      <c r="G16" s="3">
        <v>3</v>
      </c>
      <c r="H16" s="16">
        <v>2</v>
      </c>
      <c r="I16" s="224">
        <v>20</v>
      </c>
      <c r="J16" s="105">
        <f t="shared" si="7"/>
        <v>20</v>
      </c>
      <c r="K16" s="225">
        <f t="shared" si="8"/>
        <v>2293.8577924046085</v>
      </c>
      <c r="L16" s="225">
        <f t="shared" si="9"/>
        <v>452.12426790276174</v>
      </c>
      <c r="M16" s="226">
        <f t="shared" si="10"/>
        <v>548.41235087424684</v>
      </c>
      <c r="N16" s="126">
        <f>VLOOKUP(G16,'2.trip_production'!$AI$2:$AJ$1189,2)</f>
        <v>156000</v>
      </c>
      <c r="O16" s="142">
        <f>VLOOKUP(H16,'2.trip_production'!$AK$2:$AL$1189,2)</f>
        <v>257297.29729729731</v>
      </c>
      <c r="P16" s="4">
        <f t="shared" si="11"/>
        <v>590203410.37005067</v>
      </c>
      <c r="Q16" s="4">
        <f t="shared" si="0"/>
        <v>4026743002.2701826</v>
      </c>
      <c r="R16" s="128">
        <f t="shared" si="12"/>
        <v>0.14657091600762898</v>
      </c>
      <c r="S16" s="127">
        <f t="shared" si="1"/>
        <v>22865.062897190121</v>
      </c>
      <c r="U16" s="126">
        <f>VLOOKUP(G16,'2.trip_production'!$AM$2:$AN$1189,2)</f>
        <v>420000</v>
      </c>
      <c r="V16" s="4">
        <f>VLOOKUP(H16,'2.trip_production'!$AO$2:$AP$1189,2)</f>
        <v>765918.63176988857</v>
      </c>
      <c r="W16" s="4">
        <f t="shared" si="2"/>
        <v>346290400.66204584</v>
      </c>
      <c r="X16" s="4">
        <f t="shared" si="3"/>
        <v>10352705091.378618</v>
      </c>
      <c r="Y16" s="4">
        <f t="shared" si="13"/>
        <v>3.3449267375579426E-2</v>
      </c>
      <c r="Z16" s="127">
        <f t="shared" si="14"/>
        <v>14048.692297743359</v>
      </c>
      <c r="AB16" s="126">
        <f>VLOOKUP(G16,'2.trip_production'!$AQ$2:$AR$1189,2)</f>
        <v>255021.93548387097</v>
      </c>
      <c r="AC16" s="4">
        <f>VLOOKUP(H16,'2.trip_production'!$AS$2:$AT$1189,2)</f>
        <v>456000</v>
      </c>
      <c r="AD16" s="4">
        <f t="shared" si="4"/>
        <v>250076031.99865657</v>
      </c>
      <c r="AE16" s="4">
        <f t="shared" si="5"/>
        <v>9732787542.9025154</v>
      </c>
      <c r="AF16" s="4">
        <f t="shared" si="15"/>
        <v>2.5694183798455627E-2</v>
      </c>
      <c r="AG16" s="127">
        <f t="shared" si="16"/>
        <v>6552.580482960474</v>
      </c>
      <c r="AH16" s="230"/>
      <c r="AI16" s="228">
        <f t="shared" si="6"/>
        <v>0.99987660542401369</v>
      </c>
      <c r="AJ16" s="133">
        <f t="shared" si="17"/>
        <v>1.2339457598631309E-4</v>
      </c>
      <c r="AL16" s="126">
        <f t="shared" si="18"/>
        <v>22862.241472449023</v>
      </c>
      <c r="AM16" s="4">
        <f t="shared" si="19"/>
        <v>14046.958765314117</v>
      </c>
      <c r="AN16" s="127">
        <f t="shared" si="20"/>
        <v>6551.7719300701629</v>
      </c>
      <c r="AO16" s="4">
        <f t="shared" si="21"/>
        <v>43460.972167833308</v>
      </c>
      <c r="AP16" s="126">
        <v>0.13</v>
      </c>
      <c r="AQ16" s="4">
        <v>0.05</v>
      </c>
      <c r="AR16" s="127">
        <v>0.06</v>
      </c>
      <c r="AS16" s="233">
        <f t="shared" si="22"/>
        <v>4067.5456454882888</v>
      </c>
      <c r="AU16">
        <v>3</v>
      </c>
      <c r="AV16">
        <v>2</v>
      </c>
      <c r="AX16" s="126"/>
      <c r="AY16" s="174"/>
      <c r="AZ16" s="179"/>
      <c r="BA16" s="179"/>
      <c r="BB16" s="179"/>
      <c r="BC16" s="179"/>
      <c r="BD16" s="177"/>
    </row>
    <row r="17" spans="1:56" ht="16.5" thickBot="1">
      <c r="A17" t="s">
        <v>62</v>
      </c>
      <c r="G17" s="3">
        <v>3</v>
      </c>
      <c r="H17" s="16">
        <v>3</v>
      </c>
      <c r="I17" s="224">
        <v>2.5</v>
      </c>
      <c r="J17" s="105">
        <f t="shared" si="7"/>
        <v>2.5</v>
      </c>
      <c r="K17" s="225">
        <f t="shared" si="8"/>
        <v>20580.084915480234</v>
      </c>
      <c r="L17" s="225">
        <f t="shared" si="9"/>
        <v>33895.564770927151</v>
      </c>
      <c r="M17" s="226">
        <f t="shared" si="10"/>
        <v>50354.516822042409</v>
      </c>
      <c r="N17" s="126">
        <f>VLOOKUP(G17,'2.trip_production'!$AI$2:$AJ$1189,2)</f>
        <v>156000</v>
      </c>
      <c r="O17" s="142">
        <f>VLOOKUP(H17,'2.trip_production'!$AK$2:$AL$1189,2)</f>
        <v>128648.64864864865</v>
      </c>
      <c r="P17" s="4">
        <f t="shared" si="11"/>
        <v>2647600113.4509706</v>
      </c>
      <c r="Q17" s="4">
        <f t="shared" si="0"/>
        <v>4026743002.2701826</v>
      </c>
      <c r="R17" s="128">
        <f t="shared" si="12"/>
        <v>0.65750411982048917</v>
      </c>
      <c r="S17" s="127">
        <f t="shared" si="1"/>
        <v>102570.64269199631</v>
      </c>
      <c r="U17" s="126">
        <f>VLOOKUP(G17,'2.trip_production'!$AM$2:$AN$1189,2)</f>
        <v>420000</v>
      </c>
      <c r="V17" s="4">
        <f>VLOOKUP(H17,'2.trip_production'!$AO$2:$AP$1189,2)</f>
        <v>278966.05338170513</v>
      </c>
      <c r="W17" s="4">
        <f t="shared" si="2"/>
        <v>9455711931.2895069</v>
      </c>
      <c r="X17" s="4">
        <f t="shared" si="3"/>
        <v>10352705091.378618</v>
      </c>
      <c r="Y17" s="4">
        <f t="shared" si="13"/>
        <v>0.9133566394317465</v>
      </c>
      <c r="Z17" s="127">
        <f t="shared" si="14"/>
        <v>383609.78856133355</v>
      </c>
      <c r="AB17" s="126">
        <f>VLOOKUP(G17,'2.trip_production'!$AQ$2:$AR$1189,2)</f>
        <v>255021.93548387097</v>
      </c>
      <c r="AC17" s="4">
        <f>VLOOKUP(H17,'2.trip_production'!$AS$2:$AT$1189,2)</f>
        <v>180000</v>
      </c>
      <c r="AD17" s="4">
        <f t="shared" si="4"/>
        <v>9063813027.9676342</v>
      </c>
      <c r="AE17" s="4">
        <f t="shared" si="5"/>
        <v>9732787542.9025154</v>
      </c>
      <c r="AF17" s="4">
        <f t="shared" si="15"/>
        <v>0.93126588739495086</v>
      </c>
      <c r="AG17" s="127">
        <f t="shared" si="16"/>
        <v>237493.22905356501</v>
      </c>
      <c r="AH17" s="230"/>
      <c r="AI17" s="228">
        <f t="shared" si="6"/>
        <v>0.88079707797788243</v>
      </c>
      <c r="AJ17" s="133">
        <f t="shared" si="17"/>
        <v>0.11920292202211757</v>
      </c>
      <c r="AL17" s="126">
        <f t="shared" si="18"/>
        <v>90343.922369423788</v>
      </c>
      <c r="AM17" s="4">
        <f t="shared" si="19"/>
        <v>337882.38084853592</v>
      </c>
      <c r="AN17" s="127">
        <f t="shared" si="20"/>
        <v>209183.34218991199</v>
      </c>
      <c r="AO17" s="4">
        <f t="shared" si="21"/>
        <v>637409.64540787169</v>
      </c>
      <c r="AP17" s="126">
        <v>0.13</v>
      </c>
      <c r="AQ17" s="4">
        <v>0.05</v>
      </c>
      <c r="AR17" s="127">
        <v>0.06</v>
      </c>
      <c r="AS17" s="233">
        <f t="shared" si="22"/>
        <v>41189.829481846609</v>
      </c>
      <c r="AU17">
        <v>3</v>
      </c>
      <c r="AV17">
        <v>3</v>
      </c>
      <c r="AX17" s="126"/>
      <c r="AY17" s="192" t="s">
        <v>437</v>
      </c>
      <c r="AZ17" s="179"/>
      <c r="BA17" s="179"/>
      <c r="BB17" s="179"/>
      <c r="BC17" s="179"/>
      <c r="BD17" s="177"/>
    </row>
    <row r="18" spans="1:56" ht="16.5" thickBot="1">
      <c r="G18" s="3">
        <v>3</v>
      </c>
      <c r="H18" s="16">
        <v>4</v>
      </c>
      <c r="I18" s="224">
        <v>10</v>
      </c>
      <c r="J18" s="105">
        <f t="shared" si="7"/>
        <v>10</v>
      </c>
      <c r="K18" s="225">
        <f t="shared" si="8"/>
        <v>7957.3654327904278</v>
      </c>
      <c r="L18" s="225">
        <f t="shared" si="9"/>
        <v>2820.4485118873376</v>
      </c>
      <c r="M18" s="226">
        <f t="shared" si="10"/>
        <v>3752.957645599517</v>
      </c>
      <c r="N18" s="126">
        <f>VLOOKUP(G18,'2.trip_production'!$AI$2:$AJ$1189,2)</f>
        <v>156000</v>
      </c>
      <c r="O18" s="142">
        <f>VLOOKUP(H18,'2.trip_production'!$AK$2:$AL$1189,2)</f>
        <v>6432.4324324324325</v>
      </c>
      <c r="P18" s="4">
        <f t="shared" si="11"/>
        <v>51185215.486597888</v>
      </c>
      <c r="Q18" s="4">
        <f t="shared" si="0"/>
        <v>4026743002.2701826</v>
      </c>
      <c r="R18" s="128">
        <f t="shared" si="12"/>
        <v>1.2711319162345566E-2</v>
      </c>
      <c r="S18" s="127">
        <f t="shared" si="1"/>
        <v>1982.9657893259084</v>
      </c>
      <c r="U18" s="126">
        <f>VLOOKUP(G18,'2.trip_production'!$AM$2:$AN$1189,2)</f>
        <v>420000</v>
      </c>
      <c r="V18" s="4">
        <f>VLOOKUP(H18,'2.trip_production'!$AO$2:$AP$1189,2)</f>
        <v>67182.948950505306</v>
      </c>
      <c r="W18" s="4">
        <f t="shared" si="2"/>
        <v>189486048.39165565</v>
      </c>
      <c r="X18" s="4">
        <f t="shared" si="3"/>
        <v>10352705091.378618</v>
      </c>
      <c r="Y18" s="4">
        <f t="shared" si="13"/>
        <v>1.8303047050905876E-2</v>
      </c>
      <c r="Z18" s="127">
        <f t="shared" si="14"/>
        <v>7687.2797613804678</v>
      </c>
      <c r="AB18" s="126">
        <f>VLOOKUP(G18,'2.trip_production'!$AQ$2:$AR$1189,2)</f>
        <v>255021.93548387097</v>
      </c>
      <c r="AC18" s="4">
        <f>VLOOKUP(H18,'2.trip_production'!$AS$2:$AT$1189,2)</f>
        <v>40600</v>
      </c>
      <c r="AD18" s="4">
        <f t="shared" si="4"/>
        <v>152370080.41134039</v>
      </c>
      <c r="AE18" s="4">
        <f t="shared" si="5"/>
        <v>9732787542.9025154</v>
      </c>
      <c r="AF18" s="4">
        <f t="shared" si="15"/>
        <v>1.565533817929211E-2</v>
      </c>
      <c r="AG18" s="127">
        <f t="shared" si="16"/>
        <v>3992.4546431376148</v>
      </c>
      <c r="AH18" s="230"/>
      <c r="AI18" s="228">
        <f t="shared" si="6"/>
        <v>0.99330714907571516</v>
      </c>
      <c r="AJ18" s="133">
        <f t="shared" si="17"/>
        <v>6.6928509242848433E-3</v>
      </c>
      <c r="AL18" s="126">
        <f t="shared" si="18"/>
        <v>1969.6940949099933</v>
      </c>
      <c r="AM18" s="4">
        <f t="shared" si="19"/>
        <v>7635.8299439242764</v>
      </c>
      <c r="AN18" s="127">
        <f t="shared" si="20"/>
        <v>3965.7337393891257</v>
      </c>
      <c r="AO18" s="4">
        <f t="shared" si="21"/>
        <v>13571.257778223397</v>
      </c>
      <c r="AP18" s="126">
        <v>0.13</v>
      </c>
      <c r="AQ18" s="4">
        <v>0.05</v>
      </c>
      <c r="AR18" s="127">
        <v>0.06</v>
      </c>
      <c r="AS18" s="233">
        <f t="shared" si="22"/>
        <v>875.79575389786055</v>
      </c>
      <c r="AU18">
        <v>3</v>
      </c>
      <c r="AV18">
        <v>4</v>
      </c>
      <c r="AX18" s="126"/>
      <c r="AY18" s="174" t="s">
        <v>176</v>
      </c>
      <c r="AZ18" s="239" t="s">
        <v>161</v>
      </c>
      <c r="BA18" s="175" t="s">
        <v>162</v>
      </c>
      <c r="BB18" s="239" t="s">
        <v>163</v>
      </c>
      <c r="BC18" s="176" t="s">
        <v>164</v>
      </c>
      <c r="BD18" s="177" t="s">
        <v>438</v>
      </c>
    </row>
    <row r="19" spans="1:56" ht="16.5" thickBot="1">
      <c r="G19" s="3">
        <v>3</v>
      </c>
      <c r="H19" s="16">
        <v>5</v>
      </c>
      <c r="I19" s="224">
        <v>15</v>
      </c>
      <c r="J19" s="105">
        <f t="shared" si="7"/>
        <v>15</v>
      </c>
      <c r="K19" s="225">
        <f t="shared" si="8"/>
        <v>4267.3314005635884</v>
      </c>
      <c r="L19" s="225">
        <f t="shared" si="9"/>
        <v>1046.9417080807978</v>
      </c>
      <c r="M19" s="226">
        <f t="shared" si="10"/>
        <v>1326.3949666025098</v>
      </c>
      <c r="N19" s="126">
        <f>VLOOKUP(G19,'2.trip_production'!$AI$2:$AJ$1189,2)</f>
        <v>156000</v>
      </c>
      <c r="O19" s="142">
        <f>VLOOKUP(H19,'2.trip_production'!$AK$2:$AL$1189,2)</f>
        <v>0</v>
      </c>
      <c r="P19" s="4">
        <f t="shared" si="11"/>
        <v>0</v>
      </c>
      <c r="Q19" s="4">
        <f t="shared" si="0"/>
        <v>4026743002.2701826</v>
      </c>
      <c r="R19" s="128">
        <f t="shared" si="12"/>
        <v>0</v>
      </c>
      <c r="S19" s="127">
        <f t="shared" si="1"/>
        <v>0</v>
      </c>
      <c r="U19" s="126">
        <f>VLOOKUP(G19,'2.trip_production'!$AM$2:$AN$1189,2)</f>
        <v>420000</v>
      </c>
      <c r="V19" s="4">
        <f>VLOOKUP(H19,'2.trip_production'!$AO$2:$AP$1189,2)</f>
        <v>0</v>
      </c>
      <c r="W19" s="4">
        <f t="shared" si="2"/>
        <v>0</v>
      </c>
      <c r="X19" s="4">
        <f t="shared" si="3"/>
        <v>10352705091.378618</v>
      </c>
      <c r="Y19" s="4">
        <f t="shared" si="13"/>
        <v>0</v>
      </c>
      <c r="Z19" s="127">
        <f t="shared" si="14"/>
        <v>0</v>
      </c>
      <c r="AB19" s="126">
        <f>VLOOKUP(G19,'2.trip_production'!$AQ$2:$AR$1189,2)</f>
        <v>255021.93548387097</v>
      </c>
      <c r="AC19" s="4">
        <f>VLOOKUP(H19,'2.trip_production'!$AS$2:$AT$1189,2)</f>
        <v>0</v>
      </c>
      <c r="AD19" s="4">
        <f t="shared" si="4"/>
        <v>0</v>
      </c>
      <c r="AE19" s="4">
        <f t="shared" si="5"/>
        <v>9732787542.9025154</v>
      </c>
      <c r="AF19" s="4">
        <f t="shared" si="15"/>
        <v>0</v>
      </c>
      <c r="AG19" s="127">
        <f t="shared" si="16"/>
        <v>0</v>
      </c>
      <c r="AH19" s="230"/>
      <c r="AI19" s="228">
        <f t="shared" si="6"/>
        <v>0.9990889488055994</v>
      </c>
      <c r="AJ19" s="133">
        <f t="shared" si="17"/>
        <v>9.1105119440060278E-4</v>
      </c>
      <c r="AL19" s="126">
        <f t="shared" si="18"/>
        <v>0</v>
      </c>
      <c r="AM19" s="4">
        <f t="shared" si="19"/>
        <v>0</v>
      </c>
      <c r="AN19" s="127">
        <f t="shared" si="20"/>
        <v>0</v>
      </c>
      <c r="AO19" s="4">
        <f t="shared" si="21"/>
        <v>0</v>
      </c>
      <c r="AP19" s="126">
        <v>0.13</v>
      </c>
      <c r="AQ19" s="4">
        <v>0.05</v>
      </c>
      <c r="AR19" s="127">
        <v>0.06</v>
      </c>
      <c r="AS19" s="233">
        <f t="shared" si="22"/>
        <v>0</v>
      </c>
      <c r="AU19">
        <v>3</v>
      </c>
      <c r="AV19">
        <v>5</v>
      </c>
      <c r="AX19" s="126"/>
      <c r="AY19" s="178" t="s">
        <v>161</v>
      </c>
      <c r="AZ19" s="187">
        <f>(AZ12-AZ5)/AZ5</f>
        <v>-8.9025108995699251E-2</v>
      </c>
      <c r="BA19" s="187">
        <f>(BA12-BA5)/BA5</f>
        <v>8.6597265385170152E-4</v>
      </c>
      <c r="BB19" s="187">
        <f>(BB12-BB5)/BB5</f>
        <v>-3.4662279390066768E-3</v>
      </c>
      <c r="BC19" s="187">
        <f>(BC12-BC5)/BC5</f>
        <v>4.5920432734307182E-2</v>
      </c>
      <c r="BD19" s="188">
        <f>(BD12-BD5)/BD5</f>
        <v>-7.881637173840815E-2</v>
      </c>
    </row>
    <row r="20" spans="1:56" ht="16.5" thickBot="1">
      <c r="G20" s="3">
        <v>3</v>
      </c>
      <c r="H20" s="16">
        <v>6</v>
      </c>
      <c r="I20" s="224">
        <v>5</v>
      </c>
      <c r="J20" s="105">
        <f t="shared" si="7"/>
        <v>5</v>
      </c>
      <c r="K20" s="225">
        <f t="shared" si="8"/>
        <v>14923.85460429357</v>
      </c>
      <c r="L20" s="225">
        <f t="shared" si="9"/>
        <v>10996.64301857085</v>
      </c>
      <c r="M20" s="226">
        <f t="shared" si="10"/>
        <v>15577.324188348515</v>
      </c>
      <c r="N20" s="126">
        <f>VLOOKUP(G20,'2.trip_production'!$AI$2:$AJ$1189,2)</f>
        <v>156000</v>
      </c>
      <c r="O20" s="142">
        <f>VLOOKUP(H20,'2.trip_production'!$AK$2:$AL$1189,2)</f>
        <v>0</v>
      </c>
      <c r="P20" s="4">
        <f t="shared" si="11"/>
        <v>0</v>
      </c>
      <c r="Q20" s="4">
        <f t="shared" si="0"/>
        <v>4026743002.2701826</v>
      </c>
      <c r="R20" s="128">
        <f t="shared" si="12"/>
        <v>0</v>
      </c>
      <c r="S20" s="127">
        <f t="shared" si="1"/>
        <v>0</v>
      </c>
      <c r="U20" s="126">
        <f>VLOOKUP(G20,'2.trip_production'!$AM$2:$AN$1189,2)</f>
        <v>420000</v>
      </c>
      <c r="V20" s="4">
        <f>VLOOKUP(H20,'2.trip_production'!$AO$2:$AP$1189,2)</f>
        <v>0</v>
      </c>
      <c r="W20" s="4">
        <f t="shared" si="2"/>
        <v>0</v>
      </c>
      <c r="X20" s="4">
        <f t="shared" si="3"/>
        <v>10352705091.378618</v>
      </c>
      <c r="Y20" s="4">
        <f t="shared" si="13"/>
        <v>0</v>
      </c>
      <c r="Z20" s="127">
        <f t="shared" si="14"/>
        <v>0</v>
      </c>
      <c r="AB20" s="126">
        <f>VLOOKUP(G20,'2.trip_production'!$AQ$2:$AR$1189,2)</f>
        <v>255021.93548387097</v>
      </c>
      <c r="AC20" s="4">
        <f>VLOOKUP(H20,'2.trip_production'!$AS$2:$AT$1189,2)</f>
        <v>0</v>
      </c>
      <c r="AD20" s="4">
        <f t="shared" si="4"/>
        <v>0</v>
      </c>
      <c r="AE20" s="4">
        <f t="shared" si="5"/>
        <v>9732787542.9025154</v>
      </c>
      <c r="AF20" s="4">
        <f t="shared" si="15"/>
        <v>0</v>
      </c>
      <c r="AG20" s="127">
        <f t="shared" si="16"/>
        <v>0</v>
      </c>
      <c r="AH20" s="230"/>
      <c r="AI20" s="228">
        <f t="shared" si="6"/>
        <v>0.95257412682243314</v>
      </c>
      <c r="AJ20" s="133">
        <f t="shared" si="17"/>
        <v>4.7425873177566857E-2</v>
      </c>
      <c r="AL20" s="126">
        <f t="shared" si="18"/>
        <v>0</v>
      </c>
      <c r="AM20" s="4">
        <f t="shared" si="19"/>
        <v>0</v>
      </c>
      <c r="AN20" s="127">
        <f t="shared" si="20"/>
        <v>0</v>
      </c>
      <c r="AO20" s="4">
        <f t="shared" si="21"/>
        <v>0</v>
      </c>
      <c r="AP20" s="126">
        <v>0.13</v>
      </c>
      <c r="AQ20" s="4">
        <v>0.05</v>
      </c>
      <c r="AR20" s="127">
        <v>0.06</v>
      </c>
      <c r="AS20" s="233">
        <f t="shared" si="22"/>
        <v>0</v>
      </c>
      <c r="AU20">
        <v>3</v>
      </c>
      <c r="AV20">
        <v>6</v>
      </c>
      <c r="AX20" s="126"/>
      <c r="AY20" s="181" t="s">
        <v>162</v>
      </c>
      <c r="AZ20" s="187">
        <f t="shared" ref="AZ20:BC22" si="25">(AZ13-AZ6)/AZ6</f>
        <v>2.6606060642531945E-2</v>
      </c>
      <c r="BA20" s="187">
        <f t="shared" si="25"/>
        <v>-6.3409421726909804E-2</v>
      </c>
      <c r="BB20" s="187">
        <f t="shared" si="25"/>
        <v>2.2625511500167922E-2</v>
      </c>
      <c r="BC20" s="187">
        <f t="shared" si="25"/>
        <v>7.400545675698135E-2</v>
      </c>
      <c r="BD20" s="188">
        <f t="shared" ref="BD20:BD22" si="26">(BD13-BD6)/BD6</f>
        <v>-5.1113283627514619E-2</v>
      </c>
    </row>
    <row r="21" spans="1:56" ht="16.5" thickBot="1">
      <c r="G21" s="3">
        <v>4</v>
      </c>
      <c r="H21" s="16">
        <v>1</v>
      </c>
      <c r="I21" s="224">
        <v>20</v>
      </c>
      <c r="J21" s="105">
        <f t="shared" si="7"/>
        <v>20</v>
      </c>
      <c r="K21" s="225">
        <f t="shared" si="8"/>
        <v>2293.8577924046085</v>
      </c>
      <c r="L21" s="225">
        <f t="shared" si="9"/>
        <v>452.12426790276174</v>
      </c>
      <c r="M21" s="226">
        <f t="shared" si="10"/>
        <v>548.41235087424684</v>
      </c>
      <c r="N21" s="126">
        <f>VLOOKUP(G21,'2.trip_production'!$AI$2:$AJ$1189,2)</f>
        <v>120000</v>
      </c>
      <c r="O21" s="142">
        <f>VLOOKUP(H21,'2.trip_production'!$AK$2:$AL$1189,2)</f>
        <v>321621.6216216216</v>
      </c>
      <c r="P21" s="4">
        <f t="shared" si="11"/>
        <v>737754262.96256328</v>
      </c>
      <c r="Q21" s="4">
        <f t="shared" si="0"/>
        <v>2484041988.7371206</v>
      </c>
      <c r="R21" s="128">
        <f t="shared" si="12"/>
        <v>0.29699750097124378</v>
      </c>
      <c r="S21" s="127">
        <f t="shared" si="1"/>
        <v>35639.700116549255</v>
      </c>
      <c r="U21" s="126">
        <f>VLOOKUP(G21,'2.trip_production'!$AM$2:$AN$1189,2)</f>
        <v>324000</v>
      </c>
      <c r="V21" s="4">
        <f>VLOOKUP(H21,'2.trip_production'!$AO$2:$AP$1189,2)</f>
        <v>798932.36589790101</v>
      </c>
      <c r="W21" s="4">
        <f t="shared" si="2"/>
        <v>361216711.03540987</v>
      </c>
      <c r="X21" s="4">
        <f t="shared" si="3"/>
        <v>3771520499.478714</v>
      </c>
      <c r="Y21" s="4">
        <f t="shared" si="13"/>
        <v>9.5774823730995481E-2</v>
      </c>
      <c r="Z21" s="127">
        <f t="shared" si="14"/>
        <v>31031.042888842538</v>
      </c>
      <c r="AB21" s="126">
        <f>VLOOKUP(G21,'2.trip_production'!$AQ$2:$AR$1189,2)</f>
        <v>196516.90322580643</v>
      </c>
      <c r="AC21" s="4">
        <f>VLOOKUP(H21,'2.trip_production'!$AS$2:$AT$1189,2)</f>
        <v>486000</v>
      </c>
      <c r="AD21" s="4">
        <f t="shared" si="4"/>
        <v>266528402.52488396</v>
      </c>
      <c r="AE21" s="4">
        <f t="shared" si="5"/>
        <v>3236530193.7063751</v>
      </c>
      <c r="AF21" s="4">
        <f t="shared" si="15"/>
        <v>8.2350043587779351E-2</v>
      </c>
      <c r="AG21" s="127">
        <f t="shared" si="16"/>
        <v>16183.175546380575</v>
      </c>
      <c r="AH21" s="230"/>
      <c r="AI21" s="228">
        <f t="shared" si="6"/>
        <v>0.99987660542401369</v>
      </c>
      <c r="AJ21" s="133">
        <f t="shared" si="17"/>
        <v>1.2339457598631309E-4</v>
      </c>
      <c r="AL21" s="126">
        <f t="shared" si="18"/>
        <v>35635.302370865094</v>
      </c>
      <c r="AM21" s="4">
        <f t="shared" si="19"/>
        <v>31027.213826462856</v>
      </c>
      <c r="AN21" s="127">
        <f t="shared" si="20"/>
        <v>16181.178630295917</v>
      </c>
      <c r="AO21" s="4">
        <f t="shared" si="21"/>
        <v>82843.694827623869</v>
      </c>
      <c r="AP21" s="126">
        <v>0.13</v>
      </c>
      <c r="AQ21" s="4">
        <v>0.05</v>
      </c>
      <c r="AR21" s="127">
        <v>0.06</v>
      </c>
      <c r="AS21" s="233">
        <f t="shared" si="22"/>
        <v>7154.8207173533601</v>
      </c>
      <c r="AU21">
        <v>4</v>
      </c>
      <c r="AV21">
        <v>1</v>
      </c>
      <c r="AX21" s="126"/>
      <c r="AY21" s="181" t="s">
        <v>163</v>
      </c>
      <c r="AZ21" s="187">
        <f t="shared" si="25"/>
        <v>-2.6596054599248915E-2</v>
      </c>
      <c r="BA21" s="187">
        <f t="shared" si="25"/>
        <v>-2.5495040857587605E-2</v>
      </c>
      <c r="BB21" s="187">
        <f t="shared" si="25"/>
        <v>-0.10235119392544066</v>
      </c>
      <c r="BC21" s="187">
        <f t="shared" si="25"/>
        <v>3.3606837640776585E-2</v>
      </c>
      <c r="BD21" s="188">
        <f t="shared" si="26"/>
        <v>-9.1220394071491073E-2</v>
      </c>
    </row>
    <row r="22" spans="1:56" ht="16.5" thickBot="1">
      <c r="G22" s="3">
        <v>4</v>
      </c>
      <c r="H22" s="16">
        <v>2</v>
      </c>
      <c r="I22" s="224">
        <v>20</v>
      </c>
      <c r="J22" s="105">
        <f t="shared" si="7"/>
        <v>20</v>
      </c>
      <c r="K22" s="225">
        <f t="shared" si="8"/>
        <v>2293.8577924046085</v>
      </c>
      <c r="L22" s="225">
        <f t="shared" si="9"/>
        <v>452.12426790276174</v>
      </c>
      <c r="M22" s="226">
        <f t="shared" si="10"/>
        <v>548.41235087424684</v>
      </c>
      <c r="N22" s="126">
        <f>VLOOKUP(G22,'2.trip_production'!$AI$2:$AJ$1189,2)</f>
        <v>120000</v>
      </c>
      <c r="O22" s="142">
        <f>VLOOKUP(H22,'2.trip_production'!$AK$2:$AL$1189,2)</f>
        <v>257297.29729729731</v>
      </c>
      <c r="P22" s="4">
        <f t="shared" si="11"/>
        <v>590203410.37005067</v>
      </c>
      <c r="Q22" s="4">
        <f t="shared" si="0"/>
        <v>2484041988.7371206</v>
      </c>
      <c r="R22" s="128">
        <f t="shared" si="12"/>
        <v>0.23759800077699503</v>
      </c>
      <c r="S22" s="127">
        <f t="shared" si="1"/>
        <v>28511.760093239402</v>
      </c>
      <c r="U22" s="126">
        <f>VLOOKUP(G22,'2.trip_production'!$AM$2:$AN$1189,2)</f>
        <v>324000</v>
      </c>
      <c r="V22" s="4">
        <f>VLOOKUP(H22,'2.trip_production'!$AO$2:$AP$1189,2)</f>
        <v>765918.63176988857</v>
      </c>
      <c r="W22" s="4">
        <f t="shared" si="2"/>
        <v>346290400.66204584</v>
      </c>
      <c r="X22" s="4">
        <f t="shared" si="3"/>
        <v>3771520499.478714</v>
      </c>
      <c r="Y22" s="4">
        <f t="shared" si="13"/>
        <v>9.1817186386739469E-2</v>
      </c>
      <c r="Z22" s="127">
        <f t="shared" si="14"/>
        <v>29748.768389303586</v>
      </c>
      <c r="AB22" s="126">
        <f>VLOOKUP(G22,'2.trip_production'!$AQ$2:$AR$1189,2)</f>
        <v>196516.90322580643</v>
      </c>
      <c r="AC22" s="4">
        <f>VLOOKUP(H22,'2.trip_production'!$AS$2:$AT$1189,2)</f>
        <v>456000</v>
      </c>
      <c r="AD22" s="4">
        <f t="shared" si="4"/>
        <v>250076031.99865657</v>
      </c>
      <c r="AE22" s="4">
        <f t="shared" si="5"/>
        <v>3236530193.7063751</v>
      </c>
      <c r="AF22" s="4">
        <f t="shared" si="15"/>
        <v>7.7266707563842366E-2</v>
      </c>
      <c r="AG22" s="127">
        <f t="shared" si="16"/>
        <v>15184.214092900296</v>
      </c>
      <c r="AH22" s="230"/>
      <c r="AI22" s="228">
        <f t="shared" si="6"/>
        <v>0.99987660542401369</v>
      </c>
      <c r="AJ22" s="133">
        <f t="shared" si="17"/>
        <v>1.2339457598631309E-4</v>
      </c>
      <c r="AL22" s="126">
        <f t="shared" si="18"/>
        <v>28508.241896692074</v>
      </c>
      <c r="AM22" s="4">
        <f t="shared" si="19"/>
        <v>29745.097552642073</v>
      </c>
      <c r="AN22" s="127">
        <f t="shared" si="20"/>
        <v>15182.340443240617</v>
      </c>
      <c r="AO22" s="4">
        <f t="shared" si="21"/>
        <v>73435.679892574757</v>
      </c>
      <c r="AP22" s="126">
        <v>0.13</v>
      </c>
      <c r="AQ22" s="4">
        <v>0.05</v>
      </c>
      <c r="AR22" s="127">
        <v>0.06</v>
      </c>
      <c r="AS22" s="233">
        <f t="shared" si="22"/>
        <v>6104.2667507965098</v>
      </c>
      <c r="AU22">
        <v>4</v>
      </c>
      <c r="AV22">
        <v>2</v>
      </c>
      <c r="AX22" s="126"/>
      <c r="AY22" s="189" t="s">
        <v>164</v>
      </c>
      <c r="AZ22" s="190">
        <f t="shared" si="25"/>
        <v>-8.0729981162420028E-2</v>
      </c>
      <c r="BA22" s="190">
        <f t="shared" si="25"/>
        <v>0.96755837598506422</v>
      </c>
      <c r="BB22" s="190">
        <f t="shared" si="25"/>
        <v>-6.8267833003102657E-2</v>
      </c>
      <c r="BC22" s="190">
        <f t="shared" si="25"/>
        <v>-0.11925667777343892</v>
      </c>
      <c r="BD22" s="191">
        <f t="shared" si="26"/>
        <v>2.9387089093940427E-2</v>
      </c>
    </row>
    <row r="23" spans="1:56" ht="16.5" thickBot="1">
      <c r="G23" s="3">
        <v>4</v>
      </c>
      <c r="H23" s="16">
        <v>3</v>
      </c>
      <c r="I23" s="224">
        <v>10</v>
      </c>
      <c r="J23" s="105">
        <f t="shared" si="7"/>
        <v>10</v>
      </c>
      <c r="K23" s="225">
        <f t="shared" si="8"/>
        <v>7957.3654327904278</v>
      </c>
      <c r="L23" s="225">
        <f t="shared" si="9"/>
        <v>2820.4485118873376</v>
      </c>
      <c r="M23" s="226">
        <f t="shared" si="10"/>
        <v>3752.957645599517</v>
      </c>
      <c r="N23" s="126">
        <f>VLOOKUP(G23,'2.trip_production'!$AI$2:$AJ$1189,2)</f>
        <v>120000</v>
      </c>
      <c r="O23" s="142">
        <f>VLOOKUP(H23,'2.trip_production'!$AK$2:$AL$1189,2)</f>
        <v>128648.64864864865</v>
      </c>
      <c r="P23" s="4">
        <f t="shared" si="11"/>
        <v>1023704309.7319578</v>
      </c>
      <c r="Q23" s="4">
        <f t="shared" si="0"/>
        <v>2484041988.7371206</v>
      </c>
      <c r="R23" s="128">
        <f t="shared" si="12"/>
        <v>0.41211232111756935</v>
      </c>
      <c r="S23" s="127">
        <f t="shared" si="1"/>
        <v>49453.478534108319</v>
      </c>
      <c r="U23" s="126">
        <f>VLOOKUP(G23,'2.trip_production'!$AM$2:$AN$1189,2)</f>
        <v>324000</v>
      </c>
      <c r="V23" s="4">
        <f>VLOOKUP(H23,'2.trip_production'!$AO$2:$AP$1189,2)</f>
        <v>278966.05338170513</v>
      </c>
      <c r="W23" s="4">
        <f t="shared" si="2"/>
        <v>786809390.12751389</v>
      </c>
      <c r="X23" s="4">
        <f t="shared" si="3"/>
        <v>3771520499.478714</v>
      </c>
      <c r="Y23" s="4">
        <f t="shared" si="13"/>
        <v>0.20861861687779873</v>
      </c>
      <c r="Z23" s="127">
        <f t="shared" si="14"/>
        <v>67592.431868406784</v>
      </c>
      <c r="AB23" s="126">
        <f>VLOOKUP(G23,'2.trip_production'!$AQ$2:$AR$1189,2)</f>
        <v>196516.90322580643</v>
      </c>
      <c r="AC23" s="4">
        <f>VLOOKUP(H23,'2.trip_production'!$AS$2:$AT$1189,2)</f>
        <v>180000</v>
      </c>
      <c r="AD23" s="4">
        <f t="shared" si="4"/>
        <v>675532376.20791304</v>
      </c>
      <c r="AE23" s="4">
        <f t="shared" si="5"/>
        <v>3236530193.7063751</v>
      </c>
      <c r="AF23" s="4">
        <f t="shared" si="15"/>
        <v>0.20872117229789044</v>
      </c>
      <c r="AG23" s="127">
        <f t="shared" si="16"/>
        <v>41017.238417641405</v>
      </c>
      <c r="AH23" s="230"/>
      <c r="AI23" s="228">
        <f t="shared" si="6"/>
        <v>0.99330714907571516</v>
      </c>
      <c r="AJ23" s="133">
        <f t="shared" si="17"/>
        <v>6.6928509242848433E-3</v>
      </c>
      <c r="AL23" s="126">
        <f t="shared" si="18"/>
        <v>49122.493774592214</v>
      </c>
      <c r="AM23" s="4">
        <f t="shared" si="19"/>
        <v>67140.045798301653</v>
      </c>
      <c r="AN23" s="127">
        <f t="shared" si="20"/>
        <v>40742.716155586284</v>
      </c>
      <c r="AO23" s="4">
        <f t="shared" si="21"/>
        <v>157005.25572848017</v>
      </c>
      <c r="AP23" s="126">
        <v>0.13</v>
      </c>
      <c r="AQ23" s="4">
        <v>0.05</v>
      </c>
      <c r="AR23" s="127">
        <v>0.06</v>
      </c>
      <c r="AS23" s="233">
        <f t="shared" si="22"/>
        <v>12187.489449947247</v>
      </c>
      <c r="AU23">
        <v>4</v>
      </c>
      <c r="AV23">
        <v>3</v>
      </c>
      <c r="AX23" s="126"/>
    </row>
    <row r="24" spans="1:56" ht="16.5" thickBot="1">
      <c r="G24" s="3">
        <v>4</v>
      </c>
      <c r="H24" s="16">
        <v>4</v>
      </c>
      <c r="I24" s="224">
        <v>2.5</v>
      </c>
      <c r="J24" s="105">
        <f t="shared" si="7"/>
        <v>2.5</v>
      </c>
      <c r="K24" s="225">
        <f t="shared" si="8"/>
        <v>20580.084915480234</v>
      </c>
      <c r="L24" s="225">
        <f t="shared" si="9"/>
        <v>33895.564770927151</v>
      </c>
      <c r="M24" s="226">
        <f t="shared" si="10"/>
        <v>50354.516822042409</v>
      </c>
      <c r="N24" s="126">
        <f>VLOOKUP(G24,'2.trip_production'!$AI$2:$AJ$1189,2)</f>
        <v>120000</v>
      </c>
      <c r="O24" s="142">
        <f>VLOOKUP(H24,'2.trip_production'!$AK$2:$AL$1189,2)</f>
        <v>6432.4324324324325</v>
      </c>
      <c r="P24" s="4">
        <f t="shared" si="11"/>
        <v>132380005.67254853</v>
      </c>
      <c r="Q24" s="4">
        <f t="shared" si="0"/>
        <v>2484041988.7371206</v>
      </c>
      <c r="R24" s="128">
        <f t="shared" si="12"/>
        <v>5.329217713419173E-2</v>
      </c>
      <c r="S24" s="127">
        <f t="shared" si="1"/>
        <v>6395.0612561030075</v>
      </c>
      <c r="U24" s="126">
        <f>VLOOKUP(G24,'2.trip_production'!$AM$2:$AN$1189,2)</f>
        <v>324000</v>
      </c>
      <c r="V24" s="4">
        <f>VLOOKUP(H24,'2.trip_production'!$AO$2:$AP$1189,2)</f>
        <v>67182.948950505306</v>
      </c>
      <c r="W24" s="4">
        <f t="shared" si="2"/>
        <v>2277203997.6537447</v>
      </c>
      <c r="X24" s="4">
        <f t="shared" si="3"/>
        <v>3771520499.478714</v>
      </c>
      <c r="Y24" s="4">
        <f t="shared" si="13"/>
        <v>0.60378937300446645</v>
      </c>
      <c r="Z24" s="127">
        <f t="shared" si="14"/>
        <v>195627.75685344712</v>
      </c>
      <c r="AB24" s="126">
        <f>VLOOKUP(G24,'2.trip_production'!$AQ$2:$AR$1189,2)</f>
        <v>196516.90322580643</v>
      </c>
      <c r="AC24" s="4">
        <f>VLOOKUP(H24,'2.trip_production'!$AS$2:$AT$1189,2)</f>
        <v>40600</v>
      </c>
      <c r="AD24" s="4">
        <f t="shared" si="4"/>
        <v>2044393382.9749217</v>
      </c>
      <c r="AE24" s="4">
        <f t="shared" si="5"/>
        <v>3236530193.7063751</v>
      </c>
      <c r="AF24" s="4">
        <f t="shared" si="15"/>
        <v>0.63166207655048789</v>
      </c>
      <c r="AG24" s="127">
        <f t="shared" si="16"/>
        <v>124132.27516888415</v>
      </c>
      <c r="AH24" s="230"/>
      <c r="AI24" s="228">
        <f t="shared" si="6"/>
        <v>0.88079707797788243</v>
      </c>
      <c r="AJ24" s="133">
        <f t="shared" si="17"/>
        <v>0.11920292202211757</v>
      </c>
      <c r="AL24" s="126">
        <f t="shared" si="18"/>
        <v>5632.7512678650955</v>
      </c>
      <c r="AM24" s="4">
        <f t="shared" si="19"/>
        <v>172308.35660788388</v>
      </c>
      <c r="AN24" s="127">
        <f t="shared" si="20"/>
        <v>109335.34525149962</v>
      </c>
      <c r="AO24" s="4">
        <f t="shared" si="21"/>
        <v>287276.45312724856</v>
      </c>
      <c r="AP24" s="126">
        <v>0.13</v>
      </c>
      <c r="AQ24" s="4">
        <v>0.05</v>
      </c>
      <c r="AR24" s="127">
        <v>0.06</v>
      </c>
      <c r="AS24" s="233">
        <f t="shared" si="22"/>
        <v>15907.796210306631</v>
      </c>
      <c r="AU24">
        <v>4</v>
      </c>
      <c r="AV24">
        <v>4</v>
      </c>
      <c r="AX24" s="126"/>
    </row>
    <row r="25" spans="1:56" ht="18.75" thickBot="1">
      <c r="A25" t="s">
        <v>63</v>
      </c>
      <c r="D25" t="s">
        <v>64</v>
      </c>
      <c r="G25" s="3">
        <v>4</v>
      </c>
      <c r="H25" s="16">
        <v>5</v>
      </c>
      <c r="I25" s="224">
        <v>15</v>
      </c>
      <c r="J25" s="105">
        <f t="shared" si="7"/>
        <v>15</v>
      </c>
      <c r="K25" s="225">
        <f t="shared" si="8"/>
        <v>4267.3314005635884</v>
      </c>
      <c r="L25" s="225">
        <f t="shared" si="9"/>
        <v>1046.9417080807978</v>
      </c>
      <c r="M25" s="226">
        <f t="shared" si="10"/>
        <v>1326.3949666025098</v>
      </c>
      <c r="N25" s="126">
        <f>VLOOKUP(G25,'2.trip_production'!$AI$2:$AJ$1189,2)</f>
        <v>120000</v>
      </c>
      <c r="O25" s="142">
        <f>VLOOKUP(H25,'2.trip_production'!$AK$2:$AL$1189,2)</f>
        <v>0</v>
      </c>
      <c r="P25" s="4">
        <f t="shared" si="11"/>
        <v>0</v>
      </c>
      <c r="Q25" s="4">
        <f t="shared" si="0"/>
        <v>2484041988.7371206</v>
      </c>
      <c r="R25" s="128">
        <f t="shared" si="12"/>
        <v>0</v>
      </c>
      <c r="S25" s="127">
        <f t="shared" si="1"/>
        <v>0</v>
      </c>
      <c r="U25" s="126">
        <f>VLOOKUP(G25,'2.trip_production'!$AM$2:$AN$1189,2)</f>
        <v>324000</v>
      </c>
      <c r="V25" s="4">
        <f>VLOOKUP(H25,'2.trip_production'!$AO$2:$AP$1189,2)</f>
        <v>0</v>
      </c>
      <c r="W25" s="4">
        <f t="shared" si="2"/>
        <v>0</v>
      </c>
      <c r="X25" s="4">
        <f t="shared" si="3"/>
        <v>3771520499.478714</v>
      </c>
      <c r="Y25" s="4">
        <f t="shared" si="13"/>
        <v>0</v>
      </c>
      <c r="Z25" s="127">
        <f t="shared" si="14"/>
        <v>0</v>
      </c>
      <c r="AB25" s="126">
        <f>VLOOKUP(G25,'2.trip_production'!$AQ$2:$AR$1189,2)</f>
        <v>196516.90322580643</v>
      </c>
      <c r="AC25" s="4">
        <f>VLOOKUP(H25,'2.trip_production'!$AS$2:$AT$1189,2)</f>
        <v>0</v>
      </c>
      <c r="AD25" s="4">
        <f t="shared" si="4"/>
        <v>0</v>
      </c>
      <c r="AE25" s="4">
        <f t="shared" si="5"/>
        <v>3236530193.7063751</v>
      </c>
      <c r="AF25" s="4">
        <f t="shared" si="15"/>
        <v>0</v>
      </c>
      <c r="AG25" s="127">
        <f t="shared" si="16"/>
        <v>0</v>
      </c>
      <c r="AH25" s="230"/>
      <c r="AI25" s="228">
        <f t="shared" si="6"/>
        <v>0.9990889488055994</v>
      </c>
      <c r="AJ25" s="133">
        <f t="shared" si="17"/>
        <v>9.1105119440060278E-4</v>
      </c>
      <c r="AL25" s="126">
        <f t="shared" si="18"/>
        <v>0</v>
      </c>
      <c r="AM25" s="4">
        <f t="shared" si="19"/>
        <v>0</v>
      </c>
      <c r="AN25" s="127">
        <f t="shared" si="20"/>
        <v>0</v>
      </c>
      <c r="AO25" s="4">
        <f t="shared" si="21"/>
        <v>0</v>
      </c>
      <c r="AP25" s="126">
        <v>0.13</v>
      </c>
      <c r="AQ25" s="4">
        <v>0.05</v>
      </c>
      <c r="AR25" s="127">
        <v>0.06</v>
      </c>
      <c r="AS25" s="233">
        <f t="shared" si="22"/>
        <v>0</v>
      </c>
      <c r="AU25">
        <v>4</v>
      </c>
      <c r="AV25">
        <v>5</v>
      </c>
      <c r="AX25" s="126"/>
    </row>
    <row r="26" spans="1:56" ht="18.75" thickBot="1">
      <c r="A26" t="s">
        <v>65</v>
      </c>
      <c r="D26" t="s">
        <v>66</v>
      </c>
      <c r="G26" s="3">
        <v>4</v>
      </c>
      <c r="H26" s="16">
        <v>6</v>
      </c>
      <c r="I26" s="224">
        <v>5</v>
      </c>
      <c r="J26" s="105">
        <f t="shared" si="7"/>
        <v>5</v>
      </c>
      <c r="K26" s="225">
        <f t="shared" si="8"/>
        <v>14923.85460429357</v>
      </c>
      <c r="L26" s="225">
        <f t="shared" si="9"/>
        <v>10996.64301857085</v>
      </c>
      <c r="M26" s="226">
        <f t="shared" si="10"/>
        <v>15577.324188348515</v>
      </c>
      <c r="N26" s="126">
        <f>VLOOKUP(G26,'2.trip_production'!$AI$2:$AJ$1189,2)</f>
        <v>120000</v>
      </c>
      <c r="O26" s="142">
        <f>VLOOKUP(H26,'2.trip_production'!$AK$2:$AL$1189,2)</f>
        <v>0</v>
      </c>
      <c r="P26" s="4">
        <f t="shared" si="11"/>
        <v>0</v>
      </c>
      <c r="Q26" s="4">
        <f t="shared" si="0"/>
        <v>2484041988.7371206</v>
      </c>
      <c r="R26" s="128">
        <f t="shared" si="12"/>
        <v>0</v>
      </c>
      <c r="S26" s="127">
        <f t="shared" si="1"/>
        <v>0</v>
      </c>
      <c r="U26" s="126">
        <f>VLOOKUP(G26,'2.trip_production'!$AM$2:$AN$1189,2)</f>
        <v>324000</v>
      </c>
      <c r="V26" s="4">
        <f>VLOOKUP(H26,'2.trip_production'!$AO$2:$AP$1189,2)</f>
        <v>0</v>
      </c>
      <c r="W26" s="4">
        <f t="shared" si="2"/>
        <v>0</v>
      </c>
      <c r="X26" s="4">
        <f t="shared" si="3"/>
        <v>3771520499.478714</v>
      </c>
      <c r="Y26" s="4">
        <f t="shared" si="13"/>
        <v>0</v>
      </c>
      <c r="Z26" s="127">
        <f t="shared" si="14"/>
        <v>0</v>
      </c>
      <c r="AB26" s="126">
        <f>VLOOKUP(G26,'2.trip_production'!$AQ$2:$AR$1189,2)</f>
        <v>196516.90322580643</v>
      </c>
      <c r="AC26" s="4">
        <f>VLOOKUP(H26,'2.trip_production'!$AS$2:$AT$1189,2)</f>
        <v>0</v>
      </c>
      <c r="AD26" s="4">
        <f t="shared" si="4"/>
        <v>0</v>
      </c>
      <c r="AE26" s="4">
        <f t="shared" si="5"/>
        <v>3236530193.7063751</v>
      </c>
      <c r="AF26" s="4">
        <f t="shared" si="15"/>
        <v>0</v>
      </c>
      <c r="AG26" s="127">
        <f t="shared" si="16"/>
        <v>0</v>
      </c>
      <c r="AH26" s="230"/>
      <c r="AI26" s="228">
        <f t="shared" si="6"/>
        <v>0.95257412682243314</v>
      </c>
      <c r="AJ26" s="133">
        <f t="shared" si="17"/>
        <v>4.7425873177566857E-2</v>
      </c>
      <c r="AL26" s="126">
        <f t="shared" si="18"/>
        <v>0</v>
      </c>
      <c r="AM26" s="4">
        <f t="shared" si="19"/>
        <v>0</v>
      </c>
      <c r="AN26" s="127">
        <f t="shared" si="20"/>
        <v>0</v>
      </c>
      <c r="AO26" s="4">
        <f t="shared" si="21"/>
        <v>0</v>
      </c>
      <c r="AP26" s="126">
        <v>0.13</v>
      </c>
      <c r="AQ26" s="4">
        <v>0.05</v>
      </c>
      <c r="AR26" s="127">
        <v>0.06</v>
      </c>
      <c r="AS26" s="233">
        <f t="shared" si="22"/>
        <v>0</v>
      </c>
      <c r="AU26">
        <v>4</v>
      </c>
      <c r="AV26">
        <v>6</v>
      </c>
      <c r="AX26" s="126"/>
    </row>
    <row r="27" spans="1:56" ht="18.75" thickBot="1">
      <c r="A27" t="s">
        <v>67</v>
      </c>
      <c r="G27" s="3">
        <v>5</v>
      </c>
      <c r="H27" s="16">
        <v>1</v>
      </c>
      <c r="I27" s="224">
        <v>5</v>
      </c>
      <c r="J27" s="105">
        <f t="shared" si="7"/>
        <v>5</v>
      </c>
      <c r="K27" s="225">
        <f t="shared" si="8"/>
        <v>14923.85460429357</v>
      </c>
      <c r="L27" s="225">
        <f t="shared" si="9"/>
        <v>10996.64301857085</v>
      </c>
      <c r="M27" s="226">
        <f t="shared" si="10"/>
        <v>15577.324188348515</v>
      </c>
      <c r="N27" s="126">
        <f>VLOOKUP(G27,'2.trip_production'!$AI$2:$AJ$1189,2)</f>
        <v>0</v>
      </c>
      <c r="O27" s="142">
        <f>VLOOKUP(H27,'2.trip_production'!$AK$2:$AL$1189,2)</f>
        <v>321621.6216216216</v>
      </c>
      <c r="P27" s="4">
        <f t="shared" si="11"/>
        <v>4799834318.6782017</v>
      </c>
      <c r="Q27" s="4">
        <f t="shared" si="0"/>
        <v>9216137512.5401382</v>
      </c>
      <c r="R27" s="128">
        <f t="shared" si="12"/>
        <v>0.52080758475524069</v>
      </c>
      <c r="S27" s="127">
        <f t="shared" si="1"/>
        <v>0</v>
      </c>
      <c r="U27" s="126">
        <f>VLOOKUP(G27,'2.trip_production'!$AM$2:$AN$1189,2)</f>
        <v>0</v>
      </c>
      <c r="V27" s="4">
        <f>VLOOKUP(H27,'2.trip_production'!$AO$2:$AP$1189,2)</f>
        <v>798932.36589790101</v>
      </c>
      <c r="W27" s="4">
        <f t="shared" si="2"/>
        <v>8785574023.761446</v>
      </c>
      <c r="X27" s="4">
        <f t="shared" si="3"/>
        <v>17570505626.359276</v>
      </c>
      <c r="Y27" s="4">
        <f t="shared" si="13"/>
        <v>0.50001828123724146</v>
      </c>
      <c r="Z27" s="127">
        <f t="shared" si="14"/>
        <v>0</v>
      </c>
      <c r="AB27" s="126">
        <f>VLOOKUP(G27,'2.trip_production'!$AQ$2:$AR$1189,2)</f>
        <v>0</v>
      </c>
      <c r="AC27" s="4">
        <f>VLOOKUP(H27,'2.trip_production'!$AS$2:$AT$1189,2)</f>
        <v>486000</v>
      </c>
      <c r="AD27" s="4">
        <f t="shared" si="4"/>
        <v>7570579555.5373783</v>
      </c>
      <c r="AE27" s="4">
        <f t="shared" si="5"/>
        <v>14966442115.056814</v>
      </c>
      <c r="AF27" s="4">
        <f t="shared" si="15"/>
        <v>0.50583695826552422</v>
      </c>
      <c r="AG27" s="127">
        <f t="shared" si="16"/>
        <v>0</v>
      </c>
      <c r="AH27" s="230"/>
      <c r="AI27" s="228">
        <f t="shared" si="6"/>
        <v>0.95257412682243314</v>
      </c>
      <c r="AJ27" s="133">
        <f t="shared" si="17"/>
        <v>4.7425873177566857E-2</v>
      </c>
      <c r="AL27" s="126">
        <f t="shared" si="18"/>
        <v>0</v>
      </c>
      <c r="AM27" s="4">
        <f t="shared" si="19"/>
        <v>0</v>
      </c>
      <c r="AN27" s="127">
        <f t="shared" si="20"/>
        <v>0</v>
      </c>
      <c r="AO27" s="4">
        <f t="shared" si="21"/>
        <v>0</v>
      </c>
      <c r="AP27" s="126">
        <v>0.13</v>
      </c>
      <c r="AQ27" s="4">
        <v>0.05</v>
      </c>
      <c r="AR27" s="127">
        <v>0.06</v>
      </c>
      <c r="AS27" s="233">
        <f t="shared" si="22"/>
        <v>0</v>
      </c>
      <c r="AU27">
        <v>5</v>
      </c>
      <c r="AV27">
        <v>1</v>
      </c>
      <c r="AX27" s="126"/>
    </row>
    <row r="28" spans="1:56" ht="16.5" thickBot="1">
      <c r="G28" s="3">
        <v>5</v>
      </c>
      <c r="H28" s="16">
        <v>2</v>
      </c>
      <c r="I28" s="224">
        <v>5</v>
      </c>
      <c r="J28" s="105">
        <f t="shared" si="7"/>
        <v>5</v>
      </c>
      <c r="K28" s="225">
        <f t="shared" si="8"/>
        <v>14923.85460429357</v>
      </c>
      <c r="L28" s="225">
        <f t="shared" si="9"/>
        <v>10996.64301857085</v>
      </c>
      <c r="M28" s="226">
        <f t="shared" si="10"/>
        <v>15577.324188348515</v>
      </c>
      <c r="N28" s="126">
        <f>VLOOKUP(G28,'2.trip_production'!$AI$2:$AJ$1189,2)</f>
        <v>0</v>
      </c>
      <c r="O28" s="142">
        <f>VLOOKUP(H28,'2.trip_production'!$AK$2:$AL$1189,2)</f>
        <v>257297.29729729731</v>
      </c>
      <c r="P28" s="4">
        <f t="shared" si="11"/>
        <v>3839867454.9425621</v>
      </c>
      <c r="Q28" s="4">
        <f t="shared" si="0"/>
        <v>9216137512.5401382</v>
      </c>
      <c r="R28" s="128">
        <f t="shared" si="12"/>
        <v>0.41664606780419267</v>
      </c>
      <c r="S28" s="127">
        <f t="shared" si="1"/>
        <v>0</v>
      </c>
      <c r="U28" s="126">
        <f>VLOOKUP(G28,'2.trip_production'!$AM$2:$AN$1189,2)</f>
        <v>0</v>
      </c>
      <c r="V28" s="4">
        <f>VLOOKUP(H28,'2.trip_production'!$AO$2:$AP$1189,2)</f>
        <v>765918.63176988857</v>
      </c>
      <c r="W28" s="4">
        <f t="shared" si="2"/>
        <v>8422533774.8456831</v>
      </c>
      <c r="X28" s="4">
        <f t="shared" si="3"/>
        <v>17570505626.359276</v>
      </c>
      <c r="Y28" s="4">
        <f t="shared" si="13"/>
        <v>0.47935636878942156</v>
      </c>
      <c r="Z28" s="127">
        <f t="shared" si="14"/>
        <v>0</v>
      </c>
      <c r="AB28" s="126">
        <f>VLOOKUP(G28,'2.trip_production'!$AQ$2:$AR$1189,2)</f>
        <v>0</v>
      </c>
      <c r="AC28" s="4">
        <f>VLOOKUP(H28,'2.trip_production'!$AS$2:$AT$1189,2)</f>
        <v>456000</v>
      </c>
      <c r="AD28" s="4">
        <f t="shared" si="4"/>
        <v>7103259829.8869228</v>
      </c>
      <c r="AE28" s="4">
        <f t="shared" si="5"/>
        <v>14966442115.056814</v>
      </c>
      <c r="AF28" s="4">
        <f t="shared" si="15"/>
        <v>0.47461245466888696</v>
      </c>
      <c r="AG28" s="127">
        <f t="shared" si="16"/>
        <v>0</v>
      </c>
      <c r="AH28" s="230"/>
      <c r="AI28" s="228">
        <f t="shared" si="6"/>
        <v>0.95257412682243314</v>
      </c>
      <c r="AJ28" s="133">
        <f t="shared" si="17"/>
        <v>4.7425873177566857E-2</v>
      </c>
      <c r="AL28" s="126">
        <f t="shared" si="18"/>
        <v>0</v>
      </c>
      <c r="AM28" s="4">
        <f t="shared" si="19"/>
        <v>0</v>
      </c>
      <c r="AN28" s="127">
        <f t="shared" si="20"/>
        <v>0</v>
      </c>
      <c r="AO28" s="4">
        <f t="shared" si="21"/>
        <v>0</v>
      </c>
      <c r="AP28" s="126">
        <v>0.13</v>
      </c>
      <c r="AQ28" s="4">
        <v>0.05</v>
      </c>
      <c r="AR28" s="127">
        <v>0.06</v>
      </c>
      <c r="AS28" s="233">
        <f t="shared" si="22"/>
        <v>0</v>
      </c>
      <c r="AU28">
        <v>5</v>
      </c>
      <c r="AV28">
        <v>2</v>
      </c>
      <c r="AX28" s="126"/>
    </row>
    <row r="29" spans="1:56" ht="16.5" thickBot="1">
      <c r="G29" s="3">
        <v>5</v>
      </c>
      <c r="H29" s="16">
        <v>3</v>
      </c>
      <c r="I29" s="224">
        <v>15</v>
      </c>
      <c r="J29" s="105">
        <f t="shared" si="7"/>
        <v>15</v>
      </c>
      <c r="K29" s="225">
        <f t="shared" si="8"/>
        <v>4267.3314005635884</v>
      </c>
      <c r="L29" s="225">
        <f t="shared" si="9"/>
        <v>1046.9417080807978</v>
      </c>
      <c r="M29" s="226">
        <f t="shared" si="10"/>
        <v>1326.3949666025098</v>
      </c>
      <c r="N29" s="126">
        <f>VLOOKUP(G29,'2.trip_production'!$AI$2:$AJ$1189,2)</f>
        <v>0</v>
      </c>
      <c r="O29" s="142">
        <f>VLOOKUP(H29,'2.trip_production'!$AK$2:$AL$1189,2)</f>
        <v>128648.64864864865</v>
      </c>
      <c r="P29" s="4">
        <f t="shared" si="11"/>
        <v>548986418.01845086</v>
      </c>
      <c r="Q29" s="4">
        <f t="shared" si="0"/>
        <v>9216137512.5401382</v>
      </c>
      <c r="R29" s="128">
        <f t="shared" si="12"/>
        <v>5.9567949943396627E-2</v>
      </c>
      <c r="S29" s="127">
        <f t="shared" si="1"/>
        <v>0</v>
      </c>
      <c r="U29" s="126">
        <f>VLOOKUP(G29,'2.trip_production'!$AM$2:$AN$1189,2)</f>
        <v>0</v>
      </c>
      <c r="V29" s="4">
        <f>VLOOKUP(H29,'2.trip_production'!$AO$2:$AP$1189,2)</f>
        <v>278966.05338170513</v>
      </c>
      <c r="W29" s="4">
        <f t="shared" si="2"/>
        <v>292061196.4240014</v>
      </c>
      <c r="X29" s="4">
        <f t="shared" si="3"/>
        <v>17570505626.359276</v>
      </c>
      <c r="Y29" s="4">
        <f t="shared" si="13"/>
        <v>1.6622241990910672E-2</v>
      </c>
      <c r="Z29" s="127">
        <f t="shared" si="14"/>
        <v>0</v>
      </c>
      <c r="AB29" s="126">
        <f>VLOOKUP(G29,'2.trip_production'!$AQ$2:$AR$1189,2)</f>
        <v>0</v>
      </c>
      <c r="AC29" s="4">
        <f>VLOOKUP(H29,'2.trip_production'!$AS$2:$AT$1189,2)</f>
        <v>180000</v>
      </c>
      <c r="AD29" s="4">
        <f t="shared" si="4"/>
        <v>238751093.98845178</v>
      </c>
      <c r="AE29" s="4">
        <f t="shared" si="5"/>
        <v>14966442115.056814</v>
      </c>
      <c r="AF29" s="4">
        <f t="shared" si="15"/>
        <v>1.5952428249347186E-2</v>
      </c>
      <c r="AG29" s="127">
        <f t="shared" si="16"/>
        <v>0</v>
      </c>
      <c r="AH29" s="230"/>
      <c r="AI29" s="228">
        <f t="shared" si="6"/>
        <v>0.9990889488055994</v>
      </c>
      <c r="AJ29" s="133">
        <f t="shared" si="17"/>
        <v>9.1105119440060278E-4</v>
      </c>
      <c r="AL29" s="126">
        <f t="shared" si="18"/>
        <v>0</v>
      </c>
      <c r="AM29" s="4">
        <f t="shared" si="19"/>
        <v>0</v>
      </c>
      <c r="AN29" s="127">
        <f t="shared" si="20"/>
        <v>0</v>
      </c>
      <c r="AO29" s="4">
        <f t="shared" si="21"/>
        <v>0</v>
      </c>
      <c r="AP29" s="126">
        <v>0.13</v>
      </c>
      <c r="AQ29" s="4">
        <v>0.05</v>
      </c>
      <c r="AR29" s="127">
        <v>0.06</v>
      </c>
      <c r="AS29" s="233">
        <f t="shared" si="22"/>
        <v>0</v>
      </c>
      <c r="AU29">
        <v>5</v>
      </c>
      <c r="AV29">
        <v>3</v>
      </c>
      <c r="AX29" s="126"/>
    </row>
    <row r="30" spans="1:56" ht="21.75" thickBot="1">
      <c r="A30" s="328" t="s">
        <v>80</v>
      </c>
      <c r="B30" s="329"/>
      <c r="C30" s="330"/>
      <c r="G30" s="3">
        <v>5</v>
      </c>
      <c r="H30" s="16">
        <v>4</v>
      </c>
      <c r="I30" s="224">
        <v>15</v>
      </c>
      <c r="J30" s="105">
        <f t="shared" si="7"/>
        <v>15</v>
      </c>
      <c r="K30" s="225">
        <f t="shared" si="8"/>
        <v>4267.3314005635884</v>
      </c>
      <c r="L30" s="225">
        <f t="shared" si="9"/>
        <v>1046.9417080807978</v>
      </c>
      <c r="M30" s="226">
        <f t="shared" si="10"/>
        <v>1326.3949666025098</v>
      </c>
      <c r="N30" s="126">
        <f>VLOOKUP(G30,'2.trip_production'!$AI$2:$AJ$1189,2)</f>
        <v>0</v>
      </c>
      <c r="O30" s="142">
        <f>VLOOKUP(H30,'2.trip_production'!$AK$2:$AL$1189,2)</f>
        <v>6432.4324324324325</v>
      </c>
      <c r="P30" s="4">
        <f t="shared" si="11"/>
        <v>27449320.900922541</v>
      </c>
      <c r="Q30" s="4">
        <f t="shared" si="0"/>
        <v>9216137512.5401382</v>
      </c>
      <c r="R30" s="128">
        <f t="shared" si="12"/>
        <v>2.9783974971698312E-3</v>
      </c>
      <c r="S30" s="127">
        <f t="shared" si="1"/>
        <v>0</v>
      </c>
      <c r="U30" s="126">
        <f>VLOOKUP(G30,'2.trip_production'!$AM$2:$AN$1189,2)</f>
        <v>0</v>
      </c>
      <c r="V30" s="4">
        <f>VLOOKUP(H30,'2.trip_production'!$AO$2:$AP$1189,2)</f>
        <v>67182.948950505306</v>
      </c>
      <c r="W30" s="4">
        <f t="shared" si="2"/>
        <v>70336631.328147069</v>
      </c>
      <c r="X30" s="4">
        <f t="shared" si="3"/>
        <v>17570505626.359276</v>
      </c>
      <c r="Y30" s="4">
        <f t="shared" si="13"/>
        <v>4.0031079824264159E-3</v>
      </c>
      <c r="Z30" s="127">
        <f t="shared" si="14"/>
        <v>0</v>
      </c>
      <c r="AB30" s="126">
        <f>VLOOKUP(G30,'2.trip_production'!$AQ$2:$AR$1189,2)</f>
        <v>0</v>
      </c>
      <c r="AC30" s="4">
        <f>VLOOKUP(H30,'2.trip_production'!$AS$2:$AT$1189,2)</f>
        <v>40600</v>
      </c>
      <c r="AD30" s="4">
        <f t="shared" si="4"/>
        <v>53851635.644061901</v>
      </c>
      <c r="AE30" s="4">
        <f t="shared" si="5"/>
        <v>14966442115.056814</v>
      </c>
      <c r="AF30" s="4">
        <f t="shared" si="15"/>
        <v>3.598158816241643E-3</v>
      </c>
      <c r="AG30" s="127">
        <f t="shared" si="16"/>
        <v>0</v>
      </c>
      <c r="AH30" s="230"/>
      <c r="AI30" s="228">
        <f t="shared" si="6"/>
        <v>0.9990889488055994</v>
      </c>
      <c r="AJ30" s="133">
        <f t="shared" si="17"/>
        <v>9.1105119440060278E-4</v>
      </c>
      <c r="AL30" s="126">
        <f t="shared" si="18"/>
        <v>0</v>
      </c>
      <c r="AM30" s="4">
        <f t="shared" si="19"/>
        <v>0</v>
      </c>
      <c r="AN30" s="127">
        <f t="shared" si="20"/>
        <v>0</v>
      </c>
      <c r="AO30" s="4">
        <f t="shared" si="21"/>
        <v>0</v>
      </c>
      <c r="AP30" s="126">
        <v>0.13</v>
      </c>
      <c r="AQ30" s="4">
        <v>0.05</v>
      </c>
      <c r="AR30" s="127">
        <v>0.06</v>
      </c>
      <c r="AS30" s="233">
        <f t="shared" si="22"/>
        <v>0</v>
      </c>
      <c r="AU30">
        <v>5</v>
      </c>
      <c r="AV30">
        <v>4</v>
      </c>
      <c r="AX30" s="126"/>
    </row>
    <row r="31" spans="1:56" ht="21.75" thickBot="1">
      <c r="A31" s="105"/>
      <c r="B31" s="34" t="s">
        <v>84</v>
      </c>
      <c r="C31" s="35"/>
      <c r="G31" s="3">
        <v>5</v>
      </c>
      <c r="H31" s="16">
        <v>5</v>
      </c>
      <c r="I31" s="224">
        <v>2.5</v>
      </c>
      <c r="J31" s="105">
        <f t="shared" si="7"/>
        <v>2.5</v>
      </c>
      <c r="K31" s="225">
        <f t="shared" si="8"/>
        <v>20580.084915480234</v>
      </c>
      <c r="L31" s="225">
        <f t="shared" si="9"/>
        <v>33895.564770927151</v>
      </c>
      <c r="M31" s="226">
        <f t="shared" si="10"/>
        <v>50354.516822042409</v>
      </c>
      <c r="N31" s="126">
        <f>VLOOKUP(G31,'2.trip_production'!$AI$2:$AJ$1189,2)</f>
        <v>0</v>
      </c>
      <c r="O31" s="142">
        <f>VLOOKUP(H31,'2.trip_production'!$AK$2:$AL$1189,2)</f>
        <v>0</v>
      </c>
      <c r="P31" s="4">
        <f t="shared" si="11"/>
        <v>0</v>
      </c>
      <c r="Q31" s="4">
        <f t="shared" si="0"/>
        <v>9216137512.5401382</v>
      </c>
      <c r="R31" s="128">
        <f t="shared" si="12"/>
        <v>0</v>
      </c>
      <c r="S31" s="127">
        <f t="shared" si="1"/>
        <v>0</v>
      </c>
      <c r="U31" s="126">
        <f>VLOOKUP(G31,'2.trip_production'!$AM$2:$AN$1189,2)</f>
        <v>0</v>
      </c>
      <c r="V31" s="4">
        <f>VLOOKUP(H31,'2.trip_production'!$AO$2:$AP$1189,2)</f>
        <v>0</v>
      </c>
      <c r="W31" s="4">
        <f t="shared" si="2"/>
        <v>0</v>
      </c>
      <c r="X31" s="4">
        <f t="shared" si="3"/>
        <v>17570505626.359276</v>
      </c>
      <c r="Y31" s="4">
        <f t="shared" si="13"/>
        <v>0</v>
      </c>
      <c r="Z31" s="127">
        <f t="shared" si="14"/>
        <v>0</v>
      </c>
      <c r="AB31" s="126">
        <f>VLOOKUP(G31,'2.trip_production'!$AQ$2:$AR$1189,2)</f>
        <v>0</v>
      </c>
      <c r="AC31" s="4">
        <f>VLOOKUP(H31,'2.trip_production'!$AS$2:$AT$1189,2)</f>
        <v>0</v>
      </c>
      <c r="AD31" s="4">
        <f t="shared" si="4"/>
        <v>0</v>
      </c>
      <c r="AE31" s="4">
        <f t="shared" si="5"/>
        <v>14966442115.056814</v>
      </c>
      <c r="AF31" s="4">
        <f t="shared" si="15"/>
        <v>0</v>
      </c>
      <c r="AG31" s="127">
        <f t="shared" si="16"/>
        <v>0</v>
      </c>
      <c r="AH31" s="230"/>
      <c r="AI31" s="228">
        <f t="shared" si="6"/>
        <v>0.88079707797788243</v>
      </c>
      <c r="AJ31" s="133">
        <f t="shared" si="17"/>
        <v>0.11920292202211757</v>
      </c>
      <c r="AL31" s="126">
        <f t="shared" si="18"/>
        <v>0</v>
      </c>
      <c r="AM31" s="4">
        <f t="shared" si="19"/>
        <v>0</v>
      </c>
      <c r="AN31" s="127">
        <f t="shared" si="20"/>
        <v>0</v>
      </c>
      <c r="AO31" s="4">
        <f t="shared" si="21"/>
        <v>0</v>
      </c>
      <c r="AP31" s="126">
        <v>0.13</v>
      </c>
      <c r="AQ31" s="4">
        <v>0.05</v>
      </c>
      <c r="AR31" s="127">
        <v>0.06</v>
      </c>
      <c r="AS31" s="233">
        <f t="shared" si="22"/>
        <v>0</v>
      </c>
      <c r="AU31">
        <v>5</v>
      </c>
      <c r="AV31">
        <v>5</v>
      </c>
      <c r="AX31" s="126"/>
    </row>
    <row r="32" spans="1:56" ht="16.5" thickBot="1">
      <c r="A32" s="37"/>
      <c r="B32" s="331" t="s">
        <v>86</v>
      </c>
      <c r="C32" s="332"/>
      <c r="G32" s="3">
        <v>5</v>
      </c>
      <c r="H32" s="16">
        <v>6</v>
      </c>
      <c r="I32" s="224">
        <v>10</v>
      </c>
      <c r="J32" s="105">
        <f t="shared" si="7"/>
        <v>10</v>
      </c>
      <c r="K32" s="225">
        <f t="shared" si="8"/>
        <v>7957.3654327904278</v>
      </c>
      <c r="L32" s="225">
        <f t="shared" si="9"/>
        <v>2820.4485118873376</v>
      </c>
      <c r="M32" s="226">
        <f t="shared" si="10"/>
        <v>3752.957645599517</v>
      </c>
      <c r="N32" s="126">
        <f>VLOOKUP(G32,'2.trip_production'!$AI$2:$AJ$1189,2)</f>
        <v>0</v>
      </c>
      <c r="O32" s="142">
        <f>VLOOKUP(H32,'2.trip_production'!$AK$2:$AL$1189,2)</f>
        <v>0</v>
      </c>
      <c r="P32" s="4">
        <f t="shared" si="11"/>
        <v>0</v>
      </c>
      <c r="Q32" s="4">
        <f t="shared" si="0"/>
        <v>9216137512.5401382</v>
      </c>
      <c r="R32" s="128">
        <f t="shared" si="12"/>
        <v>0</v>
      </c>
      <c r="S32" s="127">
        <f t="shared" si="1"/>
        <v>0</v>
      </c>
      <c r="U32" s="126">
        <f>VLOOKUP(G32,'2.trip_production'!$AM$2:$AN$1189,2)</f>
        <v>0</v>
      </c>
      <c r="V32" s="4">
        <f>VLOOKUP(H32,'2.trip_production'!$AO$2:$AP$1189,2)</f>
        <v>0</v>
      </c>
      <c r="W32" s="4">
        <f t="shared" si="2"/>
        <v>0</v>
      </c>
      <c r="X32" s="4">
        <f t="shared" si="3"/>
        <v>17570505626.359276</v>
      </c>
      <c r="Y32" s="4">
        <f t="shared" si="13"/>
        <v>0</v>
      </c>
      <c r="Z32" s="127">
        <f t="shared" si="14"/>
        <v>0</v>
      </c>
      <c r="AB32" s="126">
        <f>VLOOKUP(G32,'2.trip_production'!$AQ$2:$AR$1189,2)</f>
        <v>0</v>
      </c>
      <c r="AC32" s="4">
        <f>VLOOKUP(H32,'2.trip_production'!$AS$2:$AT$1189,2)</f>
        <v>0</v>
      </c>
      <c r="AD32" s="4">
        <f t="shared" si="4"/>
        <v>0</v>
      </c>
      <c r="AE32" s="4">
        <f t="shared" si="5"/>
        <v>14966442115.056814</v>
      </c>
      <c r="AF32" s="4">
        <f t="shared" si="15"/>
        <v>0</v>
      </c>
      <c r="AG32" s="127">
        <f t="shared" si="16"/>
        <v>0</v>
      </c>
      <c r="AH32" s="230"/>
      <c r="AI32" s="228">
        <f t="shared" si="6"/>
        <v>0.99330714907571516</v>
      </c>
      <c r="AJ32" s="133">
        <f t="shared" si="17"/>
        <v>6.6928509242848433E-3</v>
      </c>
      <c r="AL32" s="126">
        <f t="shared" si="18"/>
        <v>0</v>
      </c>
      <c r="AM32" s="4">
        <f t="shared" si="19"/>
        <v>0</v>
      </c>
      <c r="AN32" s="127">
        <f t="shared" si="20"/>
        <v>0</v>
      </c>
      <c r="AO32" s="4">
        <f t="shared" si="21"/>
        <v>0</v>
      </c>
      <c r="AP32" s="126">
        <v>0.13</v>
      </c>
      <c r="AQ32" s="4">
        <v>0.05</v>
      </c>
      <c r="AR32" s="127">
        <v>0.06</v>
      </c>
      <c r="AS32" s="233">
        <f t="shared" si="22"/>
        <v>0</v>
      </c>
      <c r="AU32">
        <v>5</v>
      </c>
      <c r="AV32">
        <v>6</v>
      </c>
      <c r="AX32" s="126"/>
    </row>
    <row r="33" spans="1:50" ht="16.5" thickBot="1">
      <c r="A33" s="38"/>
      <c r="B33" s="39" t="s">
        <v>89</v>
      </c>
      <c r="C33" s="40"/>
      <c r="G33" s="3">
        <v>6</v>
      </c>
      <c r="H33" s="16">
        <v>1</v>
      </c>
      <c r="I33" s="224">
        <v>15</v>
      </c>
      <c r="J33" s="105">
        <f t="shared" si="7"/>
        <v>15</v>
      </c>
      <c r="K33" s="225">
        <f t="shared" si="8"/>
        <v>4267.3314005635884</v>
      </c>
      <c r="L33" s="225">
        <f t="shared" si="9"/>
        <v>1046.9417080807978</v>
      </c>
      <c r="M33" s="226">
        <f t="shared" si="10"/>
        <v>1326.3949666025098</v>
      </c>
      <c r="N33" s="126">
        <f>VLOOKUP(G33,'2.trip_production'!$AI$2:$AJ$1189,2)</f>
        <v>0</v>
      </c>
      <c r="O33" s="142">
        <f>VLOOKUP(H33,'2.trip_production'!$AK$2:$AL$1189,2)</f>
        <v>321621.6216216216</v>
      </c>
      <c r="P33" s="4">
        <f t="shared" si="11"/>
        <v>1372466045.0461271</v>
      </c>
      <c r="Q33" s="4">
        <f t="shared" si="0"/>
        <v>4486369294.9278736</v>
      </c>
      <c r="R33" s="128">
        <f t="shared" si="12"/>
        <v>0.30591909734176082</v>
      </c>
      <c r="S33" s="127">
        <f t="shared" si="1"/>
        <v>0</v>
      </c>
      <c r="U33" s="126">
        <f>VLOOKUP(G33,'2.trip_production'!$AM$2:$AN$1189,2)</f>
        <v>0</v>
      </c>
      <c r="V33" s="4">
        <f>VLOOKUP(H33,'2.trip_production'!$AO$2:$AP$1189,2)</f>
        <v>798932.36589790101</v>
      </c>
      <c r="W33" s="4">
        <f t="shared" si="2"/>
        <v>836435615.79418135</v>
      </c>
      <c r="X33" s="4">
        <f t="shared" si="3"/>
        <v>5444784786.2720232</v>
      </c>
      <c r="Y33" s="4">
        <f t="shared" si="13"/>
        <v>0.15362142832588954</v>
      </c>
      <c r="Z33" s="127">
        <f t="shared" si="14"/>
        <v>0</v>
      </c>
      <c r="AB33" s="126">
        <f>VLOOKUP(G33,'2.trip_production'!$AQ$2:$AR$1189,2)</f>
        <v>0</v>
      </c>
      <c r="AC33" s="4">
        <f>VLOOKUP(H33,'2.trip_production'!$AS$2:$AT$1189,2)</f>
        <v>486000</v>
      </c>
      <c r="AD33" s="4">
        <f t="shared" si="4"/>
        <v>644627953.76881981</v>
      </c>
      <c r="AE33" s="4">
        <f t="shared" si="5"/>
        <v>4685821774.4892464</v>
      </c>
      <c r="AF33" s="4">
        <f t="shared" si="15"/>
        <v>0.13756988310531382</v>
      </c>
      <c r="AG33" s="127">
        <f t="shared" si="16"/>
        <v>0</v>
      </c>
      <c r="AH33" s="230"/>
      <c r="AI33" s="228">
        <f t="shared" si="6"/>
        <v>0.9990889488055994</v>
      </c>
      <c r="AJ33" s="133">
        <f t="shared" si="17"/>
        <v>9.1105119440060278E-4</v>
      </c>
      <c r="AL33" s="126">
        <f t="shared" si="18"/>
        <v>0</v>
      </c>
      <c r="AM33" s="4">
        <f t="shared" si="19"/>
        <v>0</v>
      </c>
      <c r="AN33" s="127">
        <f t="shared" si="20"/>
        <v>0</v>
      </c>
      <c r="AO33" s="4">
        <f t="shared" si="21"/>
        <v>0</v>
      </c>
      <c r="AP33" s="126">
        <v>0.13</v>
      </c>
      <c r="AQ33" s="4">
        <v>0.05</v>
      </c>
      <c r="AR33" s="127">
        <v>0.06</v>
      </c>
      <c r="AS33" s="233">
        <f t="shared" si="22"/>
        <v>0</v>
      </c>
      <c r="AU33">
        <v>6</v>
      </c>
      <c r="AV33">
        <v>1</v>
      </c>
      <c r="AX33" s="126"/>
    </row>
    <row r="34" spans="1:50" ht="16.5" thickBot="1">
      <c r="A34" s="125"/>
      <c r="B34" s="313" t="s">
        <v>313</v>
      </c>
      <c r="C34" s="314"/>
      <c r="G34" s="3">
        <v>6</v>
      </c>
      <c r="H34" s="16">
        <v>2</v>
      </c>
      <c r="I34" s="224">
        <v>15</v>
      </c>
      <c r="J34" s="105">
        <f t="shared" si="7"/>
        <v>15</v>
      </c>
      <c r="K34" s="225">
        <f t="shared" si="8"/>
        <v>4267.3314005635884</v>
      </c>
      <c r="L34" s="225">
        <f t="shared" si="9"/>
        <v>1046.9417080807978</v>
      </c>
      <c r="M34" s="226">
        <f t="shared" si="10"/>
        <v>1326.3949666025098</v>
      </c>
      <c r="N34" s="126">
        <f>VLOOKUP(G34,'2.trip_production'!$AI$2:$AJ$1189,2)</f>
        <v>0</v>
      </c>
      <c r="O34" s="142">
        <f>VLOOKUP(H34,'2.trip_production'!$AK$2:$AL$1189,2)</f>
        <v>257297.29729729731</v>
      </c>
      <c r="P34" s="4">
        <f t="shared" si="11"/>
        <v>1097972836.0369017</v>
      </c>
      <c r="Q34" s="4">
        <f t="shared" si="0"/>
        <v>4486369294.9278736</v>
      </c>
      <c r="R34" s="128">
        <f t="shared" si="12"/>
        <v>0.24473527787340868</v>
      </c>
      <c r="S34" s="127">
        <f t="shared" si="1"/>
        <v>0</v>
      </c>
      <c r="U34" s="126">
        <f>VLOOKUP(G34,'2.trip_production'!$AM$2:$AN$1189,2)</f>
        <v>0</v>
      </c>
      <c r="V34" s="4">
        <f>VLOOKUP(H34,'2.trip_production'!$AO$2:$AP$1189,2)</f>
        <v>765918.63176988857</v>
      </c>
      <c r="W34" s="4">
        <f t="shared" si="2"/>
        <v>801872160.5960747</v>
      </c>
      <c r="X34" s="4">
        <f t="shared" si="3"/>
        <v>5444784786.2720232</v>
      </c>
      <c r="Y34" s="4">
        <f t="shared" si="13"/>
        <v>0.14727343541986104</v>
      </c>
      <c r="Z34" s="127">
        <f t="shared" si="14"/>
        <v>0</v>
      </c>
      <c r="AB34" s="126">
        <f>VLOOKUP(G34,'2.trip_production'!$AQ$2:$AR$1189,2)</f>
        <v>0</v>
      </c>
      <c r="AC34" s="4">
        <f>VLOOKUP(H34,'2.trip_production'!$AS$2:$AT$1189,2)</f>
        <v>456000</v>
      </c>
      <c r="AD34" s="4">
        <f t="shared" si="4"/>
        <v>604836104.77074444</v>
      </c>
      <c r="AE34" s="4">
        <f t="shared" si="5"/>
        <v>4685821774.4892464</v>
      </c>
      <c r="AF34" s="4">
        <f t="shared" si="15"/>
        <v>0.12907791501239321</v>
      </c>
      <c r="AG34" s="127">
        <f t="shared" si="16"/>
        <v>0</v>
      </c>
      <c r="AH34" s="230"/>
      <c r="AI34" s="228">
        <f t="shared" si="6"/>
        <v>0.9990889488055994</v>
      </c>
      <c r="AJ34" s="133">
        <f t="shared" si="17"/>
        <v>9.1105119440060278E-4</v>
      </c>
      <c r="AL34" s="126">
        <f t="shared" si="18"/>
        <v>0</v>
      </c>
      <c r="AM34" s="4">
        <f t="shared" si="19"/>
        <v>0</v>
      </c>
      <c r="AN34" s="127">
        <f t="shared" si="20"/>
        <v>0</v>
      </c>
      <c r="AO34" s="4">
        <f t="shared" si="21"/>
        <v>0</v>
      </c>
      <c r="AP34" s="126">
        <v>0.13</v>
      </c>
      <c r="AQ34" s="4">
        <v>0.05</v>
      </c>
      <c r="AR34" s="127">
        <v>0.06</v>
      </c>
      <c r="AS34" s="233">
        <f t="shared" si="22"/>
        <v>0</v>
      </c>
      <c r="AU34">
        <v>6</v>
      </c>
      <c r="AV34">
        <v>2</v>
      </c>
      <c r="AX34" s="126"/>
    </row>
    <row r="35" spans="1:50" ht="16.5" thickBot="1">
      <c r="G35" s="3">
        <v>6</v>
      </c>
      <c r="H35" s="16">
        <v>3</v>
      </c>
      <c r="I35" s="224">
        <v>5</v>
      </c>
      <c r="J35" s="105">
        <f t="shared" si="7"/>
        <v>5</v>
      </c>
      <c r="K35" s="225">
        <f t="shared" si="8"/>
        <v>14923.85460429357</v>
      </c>
      <c r="L35" s="225">
        <f t="shared" si="9"/>
        <v>10996.64301857085</v>
      </c>
      <c r="M35" s="226">
        <f t="shared" si="10"/>
        <v>15577.324188348515</v>
      </c>
      <c r="N35" s="126">
        <f>VLOOKUP(G35,'2.trip_production'!$AI$2:$AJ$1189,2)</f>
        <v>0</v>
      </c>
      <c r="O35" s="142">
        <f>VLOOKUP(H35,'2.trip_production'!$AK$2:$AL$1189,2)</f>
        <v>128648.64864864865</v>
      </c>
      <c r="P35" s="4">
        <f t="shared" si="11"/>
        <v>1919933727.4712811</v>
      </c>
      <c r="Q35" s="4">
        <f t="shared" si="0"/>
        <v>4486369294.9278736</v>
      </c>
      <c r="R35" s="128">
        <f t="shared" si="12"/>
        <v>0.42794821408079098</v>
      </c>
      <c r="S35" s="127">
        <f t="shared" si="1"/>
        <v>0</v>
      </c>
      <c r="U35" s="126">
        <f>VLOOKUP(G35,'2.trip_production'!$AM$2:$AN$1189,2)</f>
        <v>0</v>
      </c>
      <c r="V35" s="4">
        <f>VLOOKUP(H35,'2.trip_production'!$AO$2:$AP$1189,2)</f>
        <v>278966.05338170513</v>
      </c>
      <c r="W35" s="4">
        <f t="shared" si="2"/>
        <v>3067690103.338191</v>
      </c>
      <c r="X35" s="4">
        <f t="shared" si="3"/>
        <v>5444784786.2720232</v>
      </c>
      <c r="Y35" s="4">
        <f t="shared" si="13"/>
        <v>0.56341806402941419</v>
      </c>
      <c r="Z35" s="127">
        <f t="shared" si="14"/>
        <v>0</v>
      </c>
      <c r="AB35" s="126">
        <f>VLOOKUP(G35,'2.trip_production'!$AQ$2:$AR$1189,2)</f>
        <v>0</v>
      </c>
      <c r="AC35" s="4">
        <f>VLOOKUP(H35,'2.trip_production'!$AS$2:$AT$1189,2)</f>
        <v>180000</v>
      </c>
      <c r="AD35" s="4">
        <f t="shared" si="4"/>
        <v>2803918353.9027328</v>
      </c>
      <c r="AE35" s="4">
        <f t="shared" si="5"/>
        <v>4685821774.4892464</v>
      </c>
      <c r="AF35" s="4">
        <f t="shared" si="15"/>
        <v>0.59838348295019383</v>
      </c>
      <c r="AG35" s="127">
        <f t="shared" si="16"/>
        <v>0</v>
      </c>
      <c r="AH35" s="230"/>
      <c r="AI35" s="228">
        <f t="shared" si="6"/>
        <v>0.95257412682243314</v>
      </c>
      <c r="AJ35" s="133">
        <f t="shared" si="17"/>
        <v>4.7425873177566857E-2</v>
      </c>
      <c r="AL35" s="126">
        <f t="shared" si="18"/>
        <v>0</v>
      </c>
      <c r="AM35" s="4">
        <f t="shared" si="19"/>
        <v>0</v>
      </c>
      <c r="AN35" s="127">
        <f t="shared" si="20"/>
        <v>0</v>
      </c>
      <c r="AO35" s="4">
        <f t="shared" si="21"/>
        <v>0</v>
      </c>
      <c r="AP35" s="126">
        <v>0.13</v>
      </c>
      <c r="AQ35" s="4">
        <v>0.05</v>
      </c>
      <c r="AR35" s="127">
        <v>0.06</v>
      </c>
      <c r="AS35" s="233">
        <f t="shared" si="22"/>
        <v>0</v>
      </c>
      <c r="AU35">
        <v>6</v>
      </c>
      <c r="AV35">
        <v>3</v>
      </c>
      <c r="AX35" s="126"/>
    </row>
    <row r="36" spans="1:50" ht="16.5" thickBot="1">
      <c r="A36" s="10" t="s">
        <v>451</v>
      </c>
      <c r="G36" s="3">
        <v>6</v>
      </c>
      <c r="H36" s="16">
        <v>4</v>
      </c>
      <c r="I36" s="224">
        <v>5</v>
      </c>
      <c r="J36" s="105">
        <f t="shared" si="7"/>
        <v>5</v>
      </c>
      <c r="K36" s="225">
        <f t="shared" si="8"/>
        <v>14923.85460429357</v>
      </c>
      <c r="L36" s="225">
        <f t="shared" si="9"/>
        <v>10996.64301857085</v>
      </c>
      <c r="M36" s="226">
        <f t="shared" si="10"/>
        <v>15577.324188348515</v>
      </c>
      <c r="N36" s="126">
        <f>VLOOKUP(G36,'2.trip_production'!$AI$2:$AJ$1189,2)</f>
        <v>0</v>
      </c>
      <c r="O36" s="142">
        <f>VLOOKUP(H36,'2.trip_production'!$AK$2:$AL$1189,2)</f>
        <v>6432.4324324324325</v>
      </c>
      <c r="P36" s="4">
        <f t="shared" si="11"/>
        <v>95996686.37356405</v>
      </c>
      <c r="Q36" s="4">
        <f t="shared" si="0"/>
        <v>4486369294.9278736</v>
      </c>
      <c r="R36" s="128">
        <f t="shared" si="12"/>
        <v>2.1397410704039551E-2</v>
      </c>
      <c r="S36" s="127">
        <f t="shared" si="1"/>
        <v>0</v>
      </c>
      <c r="U36" s="126">
        <f>VLOOKUP(G36,'2.trip_production'!$AM$2:$AN$1189,2)</f>
        <v>0</v>
      </c>
      <c r="V36" s="4">
        <f>VLOOKUP(H36,'2.trip_production'!$AO$2:$AP$1189,2)</f>
        <v>67182.948950505306</v>
      </c>
      <c r="W36" s="4">
        <f t="shared" si="2"/>
        <v>738786906.543576</v>
      </c>
      <c r="X36" s="4">
        <f t="shared" si="3"/>
        <v>5444784786.2720232</v>
      </c>
      <c r="Y36" s="4">
        <f t="shared" si="13"/>
        <v>0.13568707222483523</v>
      </c>
      <c r="Z36" s="127">
        <f t="shared" si="14"/>
        <v>0</v>
      </c>
      <c r="AB36" s="126">
        <f>VLOOKUP(G36,'2.trip_production'!$AQ$2:$AR$1189,2)</f>
        <v>0</v>
      </c>
      <c r="AC36" s="4">
        <f>VLOOKUP(H36,'2.trip_production'!$AS$2:$AT$1189,2)</f>
        <v>40600</v>
      </c>
      <c r="AD36" s="4">
        <f t="shared" si="4"/>
        <v>632439362.04694974</v>
      </c>
      <c r="AE36" s="4">
        <f t="shared" si="5"/>
        <v>4685821774.4892464</v>
      </c>
      <c r="AF36" s="4">
        <f t="shared" si="15"/>
        <v>0.13496871893209927</v>
      </c>
      <c r="AG36" s="127">
        <f t="shared" si="16"/>
        <v>0</v>
      </c>
      <c r="AH36" s="230"/>
      <c r="AI36" s="228">
        <f t="shared" si="6"/>
        <v>0.95257412682243314</v>
      </c>
      <c r="AJ36" s="133">
        <f t="shared" si="17"/>
        <v>4.7425873177566857E-2</v>
      </c>
      <c r="AL36" s="126">
        <f t="shared" si="18"/>
        <v>0</v>
      </c>
      <c r="AM36" s="4">
        <f t="shared" si="19"/>
        <v>0</v>
      </c>
      <c r="AN36" s="127">
        <f t="shared" si="20"/>
        <v>0</v>
      </c>
      <c r="AO36" s="4">
        <f t="shared" si="21"/>
        <v>0</v>
      </c>
      <c r="AP36" s="126">
        <v>0.13</v>
      </c>
      <c r="AQ36" s="4">
        <v>0.05</v>
      </c>
      <c r="AR36" s="127">
        <v>0.06</v>
      </c>
      <c r="AS36" s="233">
        <f t="shared" si="22"/>
        <v>0</v>
      </c>
      <c r="AU36">
        <v>6</v>
      </c>
      <c r="AV36">
        <v>4</v>
      </c>
      <c r="AX36" s="126"/>
    </row>
    <row r="37" spans="1:50" ht="16.5" thickBot="1">
      <c r="G37" s="3">
        <v>6</v>
      </c>
      <c r="H37" s="16">
        <v>5</v>
      </c>
      <c r="I37" s="224">
        <v>10</v>
      </c>
      <c r="J37" s="105">
        <f t="shared" si="7"/>
        <v>10</v>
      </c>
      <c r="K37" s="225">
        <f t="shared" si="8"/>
        <v>7957.3654327904278</v>
      </c>
      <c r="L37" s="225">
        <f t="shared" si="9"/>
        <v>2820.4485118873376</v>
      </c>
      <c r="M37" s="226">
        <f t="shared" si="10"/>
        <v>3752.957645599517</v>
      </c>
      <c r="N37" s="126">
        <f>VLOOKUP(G37,'2.trip_production'!$AI$2:$AJ$1189,2)</f>
        <v>0</v>
      </c>
      <c r="O37" s="142">
        <f>VLOOKUP(H37,'2.trip_production'!$AK$2:$AL$1189,2)</f>
        <v>0</v>
      </c>
      <c r="P37" s="4">
        <f t="shared" si="11"/>
        <v>0</v>
      </c>
      <c r="Q37" s="4">
        <f t="shared" si="0"/>
        <v>4486369294.9278736</v>
      </c>
      <c r="R37" s="128">
        <f t="shared" si="12"/>
        <v>0</v>
      </c>
      <c r="S37" s="127">
        <f t="shared" si="1"/>
        <v>0</v>
      </c>
      <c r="U37" s="126">
        <f>VLOOKUP(G37,'2.trip_production'!$AM$2:$AN$1189,2)</f>
        <v>0</v>
      </c>
      <c r="V37" s="4">
        <f>VLOOKUP(H37,'2.trip_production'!$AO$2:$AP$1189,2)</f>
        <v>0</v>
      </c>
      <c r="W37" s="4">
        <f t="shared" si="2"/>
        <v>0</v>
      </c>
      <c r="X37" s="4">
        <f t="shared" si="3"/>
        <v>5444784786.2720232</v>
      </c>
      <c r="Y37" s="4">
        <f t="shared" si="13"/>
        <v>0</v>
      </c>
      <c r="Z37" s="127">
        <f t="shared" si="14"/>
        <v>0</v>
      </c>
      <c r="AB37" s="126">
        <f>VLOOKUP(G37,'2.trip_production'!$AQ$2:$AR$1189,2)</f>
        <v>0</v>
      </c>
      <c r="AC37" s="4">
        <f>VLOOKUP(H37,'2.trip_production'!$AS$2:$AT$1189,2)</f>
        <v>0</v>
      </c>
      <c r="AD37" s="4">
        <f t="shared" si="4"/>
        <v>0</v>
      </c>
      <c r="AE37" s="4">
        <f t="shared" si="5"/>
        <v>4685821774.4892464</v>
      </c>
      <c r="AF37" s="4">
        <f t="shared" si="15"/>
        <v>0</v>
      </c>
      <c r="AG37" s="127">
        <f t="shared" si="16"/>
        <v>0</v>
      </c>
      <c r="AH37" s="230"/>
      <c r="AI37" s="228">
        <f t="shared" si="6"/>
        <v>0.99330714907571516</v>
      </c>
      <c r="AJ37" s="133">
        <f t="shared" si="17"/>
        <v>6.6928509242848433E-3</v>
      </c>
      <c r="AL37" s="126">
        <f t="shared" si="18"/>
        <v>0</v>
      </c>
      <c r="AM37" s="4">
        <f t="shared" si="19"/>
        <v>0</v>
      </c>
      <c r="AN37" s="127">
        <f t="shared" si="20"/>
        <v>0</v>
      </c>
      <c r="AO37" s="4">
        <f t="shared" si="21"/>
        <v>0</v>
      </c>
      <c r="AP37" s="126">
        <v>0.13</v>
      </c>
      <c r="AQ37" s="4">
        <v>0.05</v>
      </c>
      <c r="AR37" s="127">
        <v>0.06</v>
      </c>
      <c r="AS37" s="233">
        <f t="shared" si="22"/>
        <v>0</v>
      </c>
      <c r="AU37">
        <v>6</v>
      </c>
      <c r="AV37">
        <v>5</v>
      </c>
      <c r="AX37" s="126"/>
    </row>
    <row r="38" spans="1:50" ht="16.5" thickBot="1">
      <c r="G38" s="3">
        <v>6</v>
      </c>
      <c r="H38" s="16">
        <v>6</v>
      </c>
      <c r="I38" s="224">
        <v>2.5</v>
      </c>
      <c r="J38" s="105">
        <f t="shared" si="7"/>
        <v>2.5</v>
      </c>
      <c r="K38" s="225">
        <f t="shared" si="8"/>
        <v>20580.084915480234</v>
      </c>
      <c r="L38" s="225">
        <f t="shared" si="9"/>
        <v>33895.564770927151</v>
      </c>
      <c r="M38" s="226">
        <f t="shared" si="10"/>
        <v>50354.516822042409</v>
      </c>
      <c r="N38" s="129">
        <f>VLOOKUP(G38,'2.trip_production'!$AI$2:$AJ$1189,2)</f>
        <v>0</v>
      </c>
      <c r="O38" s="227">
        <f>VLOOKUP(H38,'2.trip_production'!$AK$2:$AL$1189,2)</f>
        <v>0</v>
      </c>
      <c r="P38" s="130">
        <f t="shared" si="11"/>
        <v>0</v>
      </c>
      <c r="Q38" s="130">
        <f t="shared" si="0"/>
        <v>4486369294.9278736</v>
      </c>
      <c r="R38" s="131">
        <f t="shared" si="12"/>
        <v>0</v>
      </c>
      <c r="S38" s="132">
        <f t="shared" si="1"/>
        <v>0</v>
      </c>
      <c r="U38" s="129">
        <f>VLOOKUP(G38,'2.trip_production'!$AM$2:$AN$1189,2)</f>
        <v>0</v>
      </c>
      <c r="V38" s="130">
        <f>VLOOKUP(H38,'2.trip_production'!$AO$2:$AP$1189,2)</f>
        <v>0</v>
      </c>
      <c r="W38" s="130">
        <f t="shared" si="2"/>
        <v>0</v>
      </c>
      <c r="X38" s="130">
        <f t="shared" si="3"/>
        <v>5444784786.2720232</v>
      </c>
      <c r="Y38" s="130">
        <f t="shared" si="13"/>
        <v>0</v>
      </c>
      <c r="Z38" s="132">
        <f t="shared" si="14"/>
        <v>0</v>
      </c>
      <c r="AB38" s="129">
        <f>VLOOKUP(G38,'2.trip_production'!$AQ$2:$AR$1189,2)</f>
        <v>0</v>
      </c>
      <c r="AC38" s="130">
        <f>VLOOKUP(H38,'2.trip_production'!$AS$2:$AT$1189,2)</f>
        <v>0</v>
      </c>
      <c r="AD38" s="130">
        <f t="shared" si="4"/>
        <v>0</v>
      </c>
      <c r="AE38" s="130">
        <f t="shared" si="5"/>
        <v>4685821774.4892464</v>
      </c>
      <c r="AF38" s="130">
        <f t="shared" si="15"/>
        <v>0</v>
      </c>
      <c r="AG38" s="132">
        <f t="shared" si="16"/>
        <v>0</v>
      </c>
      <c r="AH38" s="230"/>
      <c r="AI38" s="231">
        <f t="shared" si="6"/>
        <v>0.88079707797788243</v>
      </c>
      <c r="AJ38" s="232">
        <f t="shared" si="17"/>
        <v>0.11920292202211757</v>
      </c>
      <c r="AK38" s="132"/>
      <c r="AL38" s="129">
        <f t="shared" si="18"/>
        <v>0</v>
      </c>
      <c r="AM38" s="130">
        <f t="shared" si="19"/>
        <v>0</v>
      </c>
      <c r="AN38" s="132">
        <f t="shared" si="20"/>
        <v>0</v>
      </c>
      <c r="AO38" s="4">
        <f t="shared" si="21"/>
        <v>0</v>
      </c>
      <c r="AP38" s="129">
        <v>0.13</v>
      </c>
      <c r="AQ38" s="130">
        <v>0.05</v>
      </c>
      <c r="AR38" s="132">
        <v>0.06</v>
      </c>
      <c r="AS38" s="233">
        <f t="shared" si="22"/>
        <v>0</v>
      </c>
      <c r="AU38">
        <v>6</v>
      </c>
      <c r="AV38">
        <v>6</v>
      </c>
      <c r="AX38" s="126"/>
    </row>
    <row r="45" spans="1:50" ht="15.75">
      <c r="A45" t="s">
        <v>318</v>
      </c>
      <c r="B45" s="105">
        <v>1</v>
      </c>
    </row>
    <row r="46" spans="1:50" ht="15.75">
      <c r="A46" t="s">
        <v>319</v>
      </c>
      <c r="B46" s="105">
        <v>-0.6</v>
      </c>
    </row>
  </sheetData>
  <mergeCells count="3">
    <mergeCell ref="A30:C30"/>
    <mergeCell ref="B32:C32"/>
    <mergeCell ref="B34:C34"/>
  </mergeCells>
  <conditionalFormatting sqref="AS3:AS38">
    <cfRule type="dataBar" priority="1">
      <dataBar>
        <cfvo type="min" val="0"/>
        <cfvo type="max" val="0"/>
        <color rgb="FF63C384"/>
      </dataBar>
    </cfRule>
  </conditionalFormatting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74"/>
  <sheetViews>
    <sheetView workbookViewId="0">
      <selection activeCell="I36" sqref="I36"/>
    </sheetView>
  </sheetViews>
  <sheetFormatPr defaultRowHeight="15"/>
  <cols>
    <col min="1" max="1" width="10.42578125" customWidth="1"/>
    <col min="4" max="4" width="16.7109375" bestFit="1" customWidth="1"/>
    <col min="5" max="5" width="11.140625" customWidth="1"/>
    <col min="6" max="6" width="12.85546875" customWidth="1"/>
    <col min="7" max="7" width="18.28515625" bestFit="1" customWidth="1"/>
    <col min="8" max="8" width="10.5703125" customWidth="1"/>
    <col min="9" max="9" width="13.7109375" bestFit="1" customWidth="1"/>
    <col min="10" max="10" width="11.5703125" customWidth="1"/>
    <col min="11" max="11" width="10.5703125" bestFit="1" customWidth="1"/>
    <col min="13" max="13" width="22.5703125" bestFit="1" customWidth="1"/>
    <col min="14" max="14" width="31.7109375" bestFit="1" customWidth="1"/>
    <col min="15" max="15" width="22.5703125" customWidth="1"/>
    <col min="16" max="16" width="16.5703125" customWidth="1"/>
    <col min="25" max="25" width="16" customWidth="1"/>
    <col min="33" max="33" width="9.28515625" bestFit="1" customWidth="1"/>
    <col min="34" max="34" width="16.5703125" customWidth="1"/>
    <col min="39" max="39" width="11" bestFit="1" customWidth="1"/>
    <col min="40" max="40" width="12.5703125" bestFit="1" customWidth="1"/>
  </cols>
  <sheetData>
    <row r="1" spans="1:40" ht="15.75" thickBot="1">
      <c r="G1" s="82" t="s">
        <v>424</v>
      </c>
      <c r="M1" s="106" t="s">
        <v>432</v>
      </c>
      <c r="N1" s="194" t="s">
        <v>400</v>
      </c>
      <c r="R1" t="s">
        <v>186</v>
      </c>
      <c r="AA1" t="s">
        <v>186</v>
      </c>
      <c r="AJ1" t="s">
        <v>186</v>
      </c>
    </row>
    <row r="2" spans="1:40" ht="21">
      <c r="G2" s="328" t="s">
        <v>191</v>
      </c>
      <c r="H2" s="329"/>
      <c r="I2" s="330"/>
      <c r="M2" s="106">
        <v>0</v>
      </c>
      <c r="N2" s="194" t="s">
        <v>394</v>
      </c>
      <c r="P2" s="1" t="s">
        <v>81</v>
      </c>
      <c r="Q2" s="2" t="s">
        <v>82</v>
      </c>
      <c r="R2" s="100">
        <v>0</v>
      </c>
      <c r="S2" s="2"/>
      <c r="T2" s="2"/>
      <c r="U2" s="2"/>
      <c r="V2" s="2"/>
      <c r="W2" s="2"/>
      <c r="X2" s="15"/>
      <c r="Y2" s="1" t="s">
        <v>81</v>
      </c>
      <c r="Z2" s="2" t="s">
        <v>83</v>
      </c>
      <c r="AA2" s="254">
        <v>0</v>
      </c>
      <c r="AB2" s="2"/>
      <c r="AC2" s="2"/>
      <c r="AD2" s="2"/>
      <c r="AE2" s="2"/>
      <c r="AF2" s="2"/>
      <c r="AG2" s="15"/>
      <c r="AH2" s="1" t="s">
        <v>182</v>
      </c>
      <c r="AI2" s="2" t="s">
        <v>183</v>
      </c>
      <c r="AJ2" s="254">
        <v>0.5</v>
      </c>
      <c r="AK2" s="2"/>
      <c r="AL2" s="2"/>
      <c r="AM2" s="2"/>
      <c r="AN2" s="15"/>
    </row>
    <row r="3" spans="1:40" ht="21">
      <c r="G3" s="33"/>
      <c r="H3" s="34" t="s">
        <v>84</v>
      </c>
      <c r="I3" s="35"/>
      <c r="M3" s="106">
        <v>0.65</v>
      </c>
      <c r="N3" s="194" t="s">
        <v>395</v>
      </c>
      <c r="P3" s="3" t="s">
        <v>85</v>
      </c>
      <c r="Q3" s="36">
        <f>'3.trip_distribution_mode_choice'!AS6*(1-R2)</f>
        <v>97.870175846427514</v>
      </c>
      <c r="R3" s="4"/>
      <c r="S3" s="4"/>
      <c r="T3" s="4"/>
      <c r="U3" s="4"/>
      <c r="V3" s="4"/>
      <c r="W3" s="4"/>
      <c r="X3" s="16"/>
      <c r="Y3" s="3" t="s">
        <v>85</v>
      </c>
      <c r="Z3" s="36">
        <f>'3.trip_distribution_mode_choice'!AS5*(1-AA2)</f>
        <v>1176.8766605807659</v>
      </c>
      <c r="AA3" s="4"/>
      <c r="AB3" s="4"/>
      <c r="AC3" s="4"/>
      <c r="AD3" s="4"/>
      <c r="AE3" s="4"/>
      <c r="AF3" s="4"/>
      <c r="AG3" s="16"/>
      <c r="AH3" s="3" t="s">
        <v>85</v>
      </c>
      <c r="AI3" s="36">
        <f>'3.trip_distribution_mode_choice'!AS4*(1-AJ2)</f>
        <v>5132.758157319875</v>
      </c>
      <c r="AJ3" s="4"/>
      <c r="AK3" s="4"/>
      <c r="AL3" s="4"/>
      <c r="AM3" s="4"/>
      <c r="AN3" s="16"/>
    </row>
    <row r="4" spans="1:40">
      <c r="G4" s="37"/>
      <c r="H4" s="331" t="s">
        <v>86</v>
      </c>
      <c r="I4" s="332"/>
      <c r="M4" s="106">
        <v>0.75</v>
      </c>
      <c r="N4" s="194" t="s">
        <v>396</v>
      </c>
      <c r="P4" s="3"/>
      <c r="Q4" s="4"/>
      <c r="R4" s="4"/>
      <c r="S4" s="4"/>
      <c r="T4" s="4"/>
      <c r="X4" s="16"/>
      <c r="Y4" s="3"/>
      <c r="Z4" s="4"/>
      <c r="AA4" s="4"/>
      <c r="AB4" s="4"/>
      <c r="AC4" s="4"/>
      <c r="AD4" s="4"/>
      <c r="AE4" s="4"/>
      <c r="AF4" s="4"/>
      <c r="AG4" s="16"/>
      <c r="AH4" s="3"/>
      <c r="AI4" s="4"/>
      <c r="AJ4" s="4"/>
    </row>
    <row r="5" spans="1:40">
      <c r="G5" s="38"/>
      <c r="H5" s="39" t="s">
        <v>89</v>
      </c>
      <c r="I5" s="40"/>
      <c r="M5" s="106">
        <v>0.85</v>
      </c>
      <c r="N5" s="194" t="s">
        <v>397</v>
      </c>
      <c r="P5" s="49" t="s">
        <v>90</v>
      </c>
      <c r="Q5" s="2">
        <v>1</v>
      </c>
      <c r="R5" s="2">
        <v>2</v>
      </c>
      <c r="S5" s="15">
        <v>3</v>
      </c>
      <c r="X5" s="16"/>
      <c r="Y5" s="49" t="s">
        <v>90</v>
      </c>
      <c r="Z5" s="2">
        <v>1</v>
      </c>
      <c r="AA5" s="2">
        <v>2</v>
      </c>
      <c r="AB5" s="15">
        <v>3</v>
      </c>
      <c r="AC5" s="4"/>
      <c r="AD5" s="4"/>
      <c r="AE5" s="4"/>
      <c r="AF5" s="4"/>
      <c r="AG5" s="16"/>
      <c r="AH5" s="18" t="s">
        <v>90</v>
      </c>
      <c r="AI5" s="79">
        <v>1</v>
      </c>
      <c r="AJ5" s="77">
        <v>2</v>
      </c>
      <c r="AN5" s="16"/>
    </row>
    <row r="6" spans="1:40" ht="15.75" thickBot="1">
      <c r="G6" s="41"/>
      <c r="H6" s="313" t="s">
        <v>92</v>
      </c>
      <c r="I6" s="314"/>
      <c r="M6" s="106">
        <v>0.95</v>
      </c>
      <c r="N6" s="194" t="s">
        <v>398</v>
      </c>
      <c r="P6" s="49" t="s">
        <v>93</v>
      </c>
      <c r="Q6" s="255">
        <v>0</v>
      </c>
      <c r="R6" s="255">
        <v>97.870175846427514</v>
      </c>
      <c r="S6" s="15"/>
      <c r="T6" s="4"/>
      <c r="U6" s="285" t="s">
        <v>87</v>
      </c>
      <c r="V6" s="286"/>
      <c r="W6" s="287"/>
      <c r="X6" s="16"/>
      <c r="Y6" s="49" t="s">
        <v>93</v>
      </c>
      <c r="Z6" s="255">
        <v>1176.8766605807657</v>
      </c>
      <c r="AA6" s="255">
        <v>0</v>
      </c>
      <c r="AB6" s="15"/>
      <c r="AC6" s="4"/>
      <c r="AD6" s="285" t="s">
        <v>87</v>
      </c>
      <c r="AE6" s="286"/>
      <c r="AF6" s="287"/>
      <c r="AG6" s="16"/>
      <c r="AH6" s="49" t="s">
        <v>93</v>
      </c>
      <c r="AI6" s="255">
        <v>2591.539429216697</v>
      </c>
      <c r="AJ6" s="15"/>
      <c r="AK6" s="4"/>
      <c r="AL6" s="285" t="s">
        <v>87</v>
      </c>
      <c r="AM6" s="287"/>
      <c r="AN6" s="16"/>
    </row>
    <row r="7" spans="1:40" ht="15.75" thickBot="1">
      <c r="F7" s="127"/>
      <c r="G7" s="250"/>
      <c r="H7" s="43"/>
      <c r="I7" s="44"/>
      <c r="M7" s="106">
        <v>1</v>
      </c>
      <c r="N7" s="194" t="s">
        <v>399</v>
      </c>
      <c r="P7" s="47" t="s">
        <v>94</v>
      </c>
      <c r="Q7" s="69"/>
      <c r="R7" s="69"/>
      <c r="S7" s="251">
        <f>Q3-SUM(Q6:R6)</f>
        <v>0</v>
      </c>
      <c r="T7" s="1" t="s">
        <v>91</v>
      </c>
      <c r="U7" s="3">
        <v>1</v>
      </c>
      <c r="V7" s="4">
        <v>2</v>
      </c>
      <c r="W7" s="16">
        <v>3</v>
      </c>
      <c r="X7" s="49" t="s">
        <v>88</v>
      </c>
      <c r="Y7" s="47" t="s">
        <v>94</v>
      </c>
      <c r="Z7" s="69"/>
      <c r="AA7" s="69"/>
      <c r="AB7" s="252">
        <f>Z3-SUM(Z6:AA6)</f>
        <v>0</v>
      </c>
      <c r="AC7" s="49" t="s">
        <v>91</v>
      </c>
      <c r="AD7" s="3">
        <v>1</v>
      </c>
      <c r="AE7" s="4">
        <v>2</v>
      </c>
      <c r="AF7" s="16">
        <v>3</v>
      </c>
      <c r="AG7" s="49" t="s">
        <v>88</v>
      </c>
      <c r="AH7" s="47" t="s">
        <v>94</v>
      </c>
      <c r="AI7" s="6"/>
      <c r="AJ7" s="252">
        <f>AI3-AI6</f>
        <v>2541.2187281031779</v>
      </c>
      <c r="AK7" s="15" t="s">
        <v>91</v>
      </c>
      <c r="AL7" s="3">
        <v>1</v>
      </c>
      <c r="AM7" s="16">
        <v>2</v>
      </c>
      <c r="AN7" s="49" t="s">
        <v>88</v>
      </c>
    </row>
    <row r="8" spans="1:40" ht="15.75" thickBot="1">
      <c r="F8" s="127"/>
      <c r="G8" s="249" t="s">
        <v>95</v>
      </c>
      <c r="H8" s="333">
        <f>X8+AG8+AN8</f>
        <v>17.099386744375735</v>
      </c>
      <c r="I8" s="334"/>
      <c r="P8" s="18" t="s">
        <v>185</v>
      </c>
      <c r="Q8" s="51">
        <f>SUM(Q57:Q75)</f>
        <v>49.22045098460778</v>
      </c>
      <c r="R8" s="51">
        <f t="shared" ref="R8:S8" si="0">SUM(R57:R75)</f>
        <v>32.938687292733043</v>
      </c>
      <c r="S8" s="50">
        <f t="shared" si="0"/>
        <v>56.150187758174745</v>
      </c>
      <c r="T8" s="5">
        <f>MIN(Q8:S8)</f>
        <v>32.938687292733043</v>
      </c>
      <c r="U8" s="5">
        <f>(Q8-$T$8)*Q6</f>
        <v>0</v>
      </c>
      <c r="V8" s="6">
        <f t="shared" ref="V8" si="1">(R8-$T$8)*R6</f>
        <v>0</v>
      </c>
      <c r="W8" s="17">
        <f>(S8-$T$8)*S7</f>
        <v>0</v>
      </c>
      <c r="X8" s="253">
        <f>SUM(U8:W8)</f>
        <v>0</v>
      </c>
      <c r="Y8" s="18" t="s">
        <v>185</v>
      </c>
      <c r="Z8" s="51">
        <f>SUM(Z57:Z74)</f>
        <v>32.077593841750641</v>
      </c>
      <c r="AA8" s="51">
        <f>SUM(AA57:AA74)</f>
        <v>32.75226791016842</v>
      </c>
      <c r="AB8" s="50">
        <f>SUM(AB57:AB74)</f>
        <v>73.293044901031891</v>
      </c>
      <c r="AC8" s="47">
        <f>MIN(Z8:AB8)</f>
        <v>32.077593841750641</v>
      </c>
      <c r="AD8" s="5">
        <f>(Z8-$AC$8)*Z6</f>
        <v>0</v>
      </c>
      <c r="AE8" s="6">
        <f t="shared" ref="AE8" si="2">(AA8-$AC$8)*AA6</f>
        <v>0</v>
      </c>
      <c r="AF8" s="17">
        <f>(AB8-$AC$8)*AB7</f>
        <v>0</v>
      </c>
      <c r="AG8" s="253">
        <f>SUM(AD8:AF8)</f>
        <v>0</v>
      </c>
      <c r="AH8" s="47" t="s">
        <v>185</v>
      </c>
      <c r="AI8" s="6">
        <f>SUM(AI57:AI74)</f>
        <v>29.483521091508081</v>
      </c>
      <c r="AJ8" s="6">
        <f>SUM(AJ57:AJ74)</f>
        <v>29.476922933459008</v>
      </c>
      <c r="AK8" s="47">
        <f>MIN(AH8:AJ9)</f>
        <v>29.476922933459008</v>
      </c>
      <c r="AL8" s="5">
        <f>(AI8-$AK$8)*AI6</f>
        <v>17.099386744375735</v>
      </c>
      <c r="AM8" s="17">
        <f>(AJ8-$AK$8)*AJ7</f>
        <v>0</v>
      </c>
      <c r="AN8" s="253">
        <f>SUM(AL8:AM8)</f>
        <v>17.099386744375735</v>
      </c>
    </row>
    <row r="10" spans="1:40">
      <c r="A10" s="10" t="s">
        <v>454</v>
      </c>
    </row>
    <row r="14" spans="1:40">
      <c r="Q14" t="s">
        <v>456</v>
      </c>
      <c r="R14" t="s">
        <v>457</v>
      </c>
      <c r="S14" t="s">
        <v>458</v>
      </c>
    </row>
    <row r="15" spans="1:40">
      <c r="I15" s="1" t="s">
        <v>96</v>
      </c>
      <c r="J15" s="15" t="s">
        <v>97</v>
      </c>
      <c r="Q15" s="10" t="s">
        <v>98</v>
      </c>
      <c r="V15" t="s">
        <v>96</v>
      </c>
      <c r="W15" t="s">
        <v>97</v>
      </c>
      <c r="Z15" s="10" t="s">
        <v>98</v>
      </c>
      <c r="AE15" t="s">
        <v>96</v>
      </c>
      <c r="AF15" t="s">
        <v>97</v>
      </c>
      <c r="AI15" s="96" t="s">
        <v>98</v>
      </c>
      <c r="AJ15" s="15"/>
    </row>
    <row r="16" spans="1:40">
      <c r="I16" s="3">
        <v>1</v>
      </c>
      <c r="J16" s="16">
        <v>2</v>
      </c>
      <c r="Q16" s="1"/>
      <c r="R16" s="2"/>
      <c r="S16" s="15">
        <v>1</v>
      </c>
      <c r="V16">
        <v>1</v>
      </c>
      <c r="W16">
        <v>2</v>
      </c>
      <c r="Z16" s="1"/>
      <c r="AA16" s="2"/>
      <c r="AB16" s="15">
        <v>1</v>
      </c>
      <c r="AE16">
        <v>1</v>
      </c>
      <c r="AF16">
        <v>2</v>
      </c>
      <c r="AI16" s="1">
        <v>1</v>
      </c>
      <c r="AJ16" s="15"/>
    </row>
    <row r="17" spans="9:36">
      <c r="I17" s="3">
        <v>1</v>
      </c>
      <c r="J17" s="16">
        <v>3</v>
      </c>
      <c r="Q17" s="3">
        <v>1</v>
      </c>
      <c r="R17" s="4"/>
      <c r="S17" s="16"/>
      <c r="V17">
        <v>1</v>
      </c>
      <c r="W17">
        <v>3</v>
      </c>
      <c r="Z17" s="3">
        <v>1</v>
      </c>
      <c r="AA17" s="4"/>
      <c r="AB17" s="16"/>
      <c r="AE17">
        <v>1</v>
      </c>
      <c r="AF17">
        <v>3</v>
      </c>
      <c r="AI17" s="3"/>
      <c r="AJ17" s="16"/>
    </row>
    <row r="18" spans="9:36">
      <c r="I18" s="3">
        <v>1</v>
      </c>
      <c r="J18" s="16">
        <v>5</v>
      </c>
      <c r="Q18" s="3"/>
      <c r="R18" s="4">
        <v>1</v>
      </c>
      <c r="S18" s="16"/>
      <c r="V18">
        <v>1</v>
      </c>
      <c r="W18">
        <v>5</v>
      </c>
      <c r="Z18" s="3"/>
      <c r="AA18" s="4">
        <v>1</v>
      </c>
      <c r="AB18" s="16"/>
      <c r="AE18">
        <v>1</v>
      </c>
      <c r="AF18">
        <v>5</v>
      </c>
      <c r="AI18" s="3"/>
      <c r="AJ18" s="16">
        <v>1</v>
      </c>
    </row>
    <row r="19" spans="9:36">
      <c r="I19" s="3">
        <v>2</v>
      </c>
      <c r="J19" s="16">
        <v>1</v>
      </c>
      <c r="Q19" s="3"/>
      <c r="R19" s="4"/>
      <c r="S19" s="16"/>
      <c r="V19">
        <v>2</v>
      </c>
      <c r="W19">
        <v>1</v>
      </c>
      <c r="Z19" s="3"/>
      <c r="AA19" s="4"/>
      <c r="AB19" s="16"/>
      <c r="AE19">
        <v>2</v>
      </c>
      <c r="AF19">
        <v>1</v>
      </c>
      <c r="AI19" s="3"/>
      <c r="AJ19" s="16"/>
    </row>
    <row r="20" spans="9:36">
      <c r="I20" s="3">
        <v>2</v>
      </c>
      <c r="J20" s="16">
        <v>4</v>
      </c>
      <c r="Q20" s="3"/>
      <c r="R20" s="4"/>
      <c r="S20" s="16">
        <v>1</v>
      </c>
      <c r="V20">
        <v>2</v>
      </c>
      <c r="W20">
        <v>4</v>
      </c>
      <c r="Z20" s="3"/>
      <c r="AA20" s="4"/>
      <c r="AB20" s="16">
        <v>1</v>
      </c>
      <c r="AE20">
        <v>2</v>
      </c>
      <c r="AF20">
        <v>4</v>
      </c>
      <c r="AI20" s="3"/>
      <c r="AJ20" s="16"/>
    </row>
    <row r="21" spans="9:36">
      <c r="I21" s="3">
        <v>2</v>
      </c>
      <c r="J21" s="16">
        <v>5</v>
      </c>
      <c r="Q21" s="3"/>
      <c r="R21" s="4"/>
      <c r="S21" s="16"/>
      <c r="V21">
        <v>2</v>
      </c>
      <c r="W21">
        <v>5</v>
      </c>
      <c r="Z21" s="3"/>
      <c r="AA21" s="4"/>
      <c r="AB21" s="16"/>
      <c r="AE21">
        <v>2</v>
      </c>
      <c r="AF21">
        <v>5</v>
      </c>
      <c r="AI21" s="3"/>
      <c r="AJ21" s="16"/>
    </row>
    <row r="22" spans="9:36">
      <c r="I22" s="3">
        <v>3</v>
      </c>
      <c r="J22" s="16">
        <v>1</v>
      </c>
      <c r="Q22" s="3"/>
      <c r="R22" s="4"/>
      <c r="S22" s="16"/>
      <c r="V22">
        <v>3</v>
      </c>
      <c r="W22">
        <v>1</v>
      </c>
      <c r="Z22" s="3"/>
      <c r="AA22" s="4"/>
      <c r="AB22" s="16"/>
      <c r="AE22">
        <v>3</v>
      </c>
      <c r="AF22">
        <v>1</v>
      </c>
      <c r="AI22" s="3"/>
      <c r="AJ22" s="16"/>
    </row>
    <row r="23" spans="9:36">
      <c r="I23" s="3">
        <v>3</v>
      </c>
      <c r="J23" s="16">
        <v>4</v>
      </c>
      <c r="Q23" s="3">
        <v>1</v>
      </c>
      <c r="R23" s="4"/>
      <c r="S23" s="16"/>
      <c r="V23">
        <v>3</v>
      </c>
      <c r="W23">
        <v>4</v>
      </c>
      <c r="Z23" s="3"/>
      <c r="AA23" s="4"/>
      <c r="AB23" s="16"/>
      <c r="AE23">
        <v>3</v>
      </c>
      <c r="AF23">
        <v>4</v>
      </c>
      <c r="AI23" s="3"/>
      <c r="AJ23" s="16"/>
    </row>
    <row r="24" spans="9:36">
      <c r="I24" s="3">
        <v>3</v>
      </c>
      <c r="J24" s="16">
        <v>6</v>
      </c>
      <c r="Q24" s="3"/>
      <c r="R24" s="4"/>
      <c r="S24" s="16"/>
      <c r="V24">
        <v>3</v>
      </c>
      <c r="W24">
        <v>6</v>
      </c>
      <c r="Z24" s="3"/>
      <c r="AA24" s="4"/>
      <c r="AB24" s="16"/>
      <c r="AE24">
        <v>3</v>
      </c>
      <c r="AF24">
        <v>6</v>
      </c>
      <c r="AI24" s="3"/>
      <c r="AJ24" s="16"/>
    </row>
    <row r="25" spans="9:36">
      <c r="I25" s="3">
        <v>4</v>
      </c>
      <c r="J25" s="16">
        <v>2</v>
      </c>
      <c r="Q25" s="3"/>
      <c r="R25" s="4"/>
      <c r="S25" s="16"/>
      <c r="V25">
        <v>4</v>
      </c>
      <c r="W25">
        <v>2</v>
      </c>
      <c r="Z25" s="3"/>
      <c r="AA25" s="4"/>
      <c r="AB25" s="16"/>
      <c r="AE25">
        <v>4</v>
      </c>
      <c r="AF25">
        <v>2</v>
      </c>
      <c r="AI25" s="3"/>
      <c r="AJ25" s="16"/>
    </row>
    <row r="26" spans="9:36">
      <c r="I26" s="3">
        <v>4</v>
      </c>
      <c r="J26" s="16">
        <v>3</v>
      </c>
      <c r="Q26" s="3"/>
      <c r="R26" s="4"/>
      <c r="S26" s="16"/>
      <c r="V26">
        <v>4</v>
      </c>
      <c r="W26">
        <v>3</v>
      </c>
      <c r="Z26" s="3"/>
      <c r="AA26" s="4"/>
      <c r="AB26" s="16">
        <v>1</v>
      </c>
      <c r="AE26">
        <v>4</v>
      </c>
      <c r="AF26">
        <v>3</v>
      </c>
      <c r="AI26" s="3"/>
      <c r="AJ26" s="16"/>
    </row>
    <row r="27" spans="9:36">
      <c r="I27" s="3">
        <v>4</v>
      </c>
      <c r="J27" s="16">
        <v>6</v>
      </c>
      <c r="Q27" s="3"/>
      <c r="R27" s="4"/>
      <c r="S27" s="16"/>
      <c r="V27">
        <v>4</v>
      </c>
      <c r="W27">
        <v>6</v>
      </c>
      <c r="Z27" s="3"/>
      <c r="AA27" s="4"/>
      <c r="AB27" s="16"/>
      <c r="AE27">
        <v>4</v>
      </c>
      <c r="AF27">
        <v>6</v>
      </c>
      <c r="AI27" s="3"/>
      <c r="AJ27" s="16"/>
    </row>
    <row r="28" spans="9:36">
      <c r="I28" s="3">
        <v>5</v>
      </c>
      <c r="J28" s="16">
        <v>1</v>
      </c>
      <c r="Q28" s="3"/>
      <c r="R28" s="4"/>
      <c r="S28" s="16"/>
      <c r="V28">
        <v>5</v>
      </c>
      <c r="W28">
        <v>1</v>
      </c>
      <c r="Z28" s="3"/>
      <c r="AA28" s="4"/>
      <c r="AB28" s="16"/>
      <c r="AE28">
        <v>5</v>
      </c>
      <c r="AF28">
        <v>1</v>
      </c>
      <c r="AI28" s="3"/>
      <c r="AJ28" s="16"/>
    </row>
    <row r="29" spans="9:36">
      <c r="I29" s="3">
        <v>5</v>
      </c>
      <c r="J29" s="16">
        <v>2</v>
      </c>
      <c r="Q29" s="3"/>
      <c r="R29" s="4"/>
      <c r="S29" s="16"/>
      <c r="V29">
        <v>5</v>
      </c>
      <c r="W29">
        <v>2</v>
      </c>
      <c r="Z29" s="3"/>
      <c r="AA29" s="4"/>
      <c r="AB29" s="16"/>
      <c r="AE29">
        <v>5</v>
      </c>
      <c r="AF29">
        <v>2</v>
      </c>
      <c r="AI29" s="3"/>
      <c r="AJ29" s="16">
        <v>1</v>
      </c>
    </row>
    <row r="30" spans="9:36">
      <c r="I30" s="3">
        <v>5</v>
      </c>
      <c r="J30" s="16">
        <v>6</v>
      </c>
      <c r="Q30" s="3"/>
      <c r="R30" s="4">
        <v>1</v>
      </c>
      <c r="S30" s="16"/>
      <c r="V30">
        <v>5</v>
      </c>
      <c r="W30">
        <v>6</v>
      </c>
      <c r="Z30" s="3"/>
      <c r="AA30" s="4">
        <v>1</v>
      </c>
      <c r="AB30" s="16"/>
      <c r="AE30">
        <v>5</v>
      </c>
      <c r="AF30">
        <v>6</v>
      </c>
      <c r="AI30" s="3"/>
      <c r="AJ30" s="16"/>
    </row>
    <row r="31" spans="9:36">
      <c r="I31" s="3">
        <v>6</v>
      </c>
      <c r="J31" s="16">
        <v>3</v>
      </c>
      <c r="Q31" s="3"/>
      <c r="R31" s="4"/>
      <c r="S31" s="16"/>
      <c r="V31">
        <v>6</v>
      </c>
      <c r="W31">
        <v>3</v>
      </c>
      <c r="Z31" s="3"/>
      <c r="AA31" s="4">
        <v>1</v>
      </c>
      <c r="AB31" s="16"/>
      <c r="AE31">
        <v>6</v>
      </c>
      <c r="AF31">
        <v>3</v>
      </c>
      <c r="AI31" s="3"/>
      <c r="AJ31" s="16"/>
    </row>
    <row r="32" spans="9:36">
      <c r="I32" s="3">
        <v>6</v>
      </c>
      <c r="J32" s="16">
        <v>4</v>
      </c>
      <c r="Q32" s="3"/>
      <c r="R32" s="4">
        <v>1</v>
      </c>
      <c r="S32" s="16"/>
      <c r="V32">
        <v>6</v>
      </c>
      <c r="W32">
        <v>4</v>
      </c>
      <c r="Z32" s="3"/>
      <c r="AA32" s="4"/>
      <c r="AB32" s="16"/>
      <c r="AE32">
        <v>6</v>
      </c>
      <c r="AF32">
        <v>4</v>
      </c>
      <c r="AI32" s="3"/>
      <c r="AJ32" s="16"/>
    </row>
    <row r="33" spans="1:36">
      <c r="I33" s="5">
        <v>6</v>
      </c>
      <c r="J33" s="17">
        <v>5</v>
      </c>
      <c r="L33" s="45" t="s">
        <v>189</v>
      </c>
      <c r="M33" s="45">
        <v>10</v>
      </c>
      <c r="Q33" s="5"/>
      <c r="R33" s="6"/>
      <c r="S33" s="17"/>
      <c r="V33">
        <v>6</v>
      </c>
      <c r="W33">
        <v>5</v>
      </c>
      <c r="Z33" s="5"/>
      <c r="AA33" s="6"/>
      <c r="AB33" s="17"/>
      <c r="AE33">
        <v>6</v>
      </c>
      <c r="AF33">
        <v>5</v>
      </c>
      <c r="AI33" s="5"/>
      <c r="AJ33" s="17"/>
    </row>
    <row r="36" spans="1:36">
      <c r="A36" s="45" t="s">
        <v>99</v>
      </c>
      <c r="B36" s="45" t="s">
        <v>100</v>
      </c>
      <c r="C36" s="45" t="s">
        <v>101</v>
      </c>
      <c r="D36" s="45" t="s">
        <v>102</v>
      </c>
      <c r="E36" s="45" t="s">
        <v>103</v>
      </c>
      <c r="F36" s="45" t="s">
        <v>104</v>
      </c>
      <c r="G36" t="s">
        <v>105</v>
      </c>
      <c r="H36" t="s">
        <v>96</v>
      </c>
      <c r="I36" t="s">
        <v>97</v>
      </c>
      <c r="J36" s="46" t="s">
        <v>106</v>
      </c>
      <c r="K36" t="s">
        <v>107</v>
      </c>
      <c r="L36" t="s">
        <v>190</v>
      </c>
      <c r="M36" t="s">
        <v>108</v>
      </c>
      <c r="N36" t="s">
        <v>192</v>
      </c>
      <c r="O36" t="s">
        <v>188</v>
      </c>
      <c r="Q36" t="s">
        <v>184</v>
      </c>
      <c r="Z36" t="s">
        <v>184</v>
      </c>
      <c r="AI36" t="s">
        <v>184</v>
      </c>
    </row>
    <row r="37" spans="1:36">
      <c r="A37" s="45">
        <v>1</v>
      </c>
      <c r="B37" s="45">
        <v>1</v>
      </c>
      <c r="C37" s="45">
        <v>10</v>
      </c>
      <c r="D37" s="45">
        <v>4</v>
      </c>
      <c r="E37" s="45">
        <v>35</v>
      </c>
      <c r="F37" s="45">
        <v>900</v>
      </c>
      <c r="G37">
        <v>4</v>
      </c>
      <c r="H37">
        <v>1</v>
      </c>
      <c r="I37">
        <v>2</v>
      </c>
      <c r="J37" s="136">
        <f>C37/E37*60</f>
        <v>17.142857142857142</v>
      </c>
      <c r="K37" s="135">
        <f>SUM(Q37:EC37)</f>
        <v>2591.539429216697</v>
      </c>
      <c r="L37">
        <v>0</v>
      </c>
      <c r="M37" s="98">
        <f>J37*(1+A37*POWER(K37/(D37*F37),B37))+L37/$M$33</f>
        <v>29.483521091508081</v>
      </c>
      <c r="N37" s="99">
        <f t="shared" ref="N37:N54" si="3">K37/(F37*D37)</f>
        <v>0.71987206367130474</v>
      </c>
      <c r="O37" s="98" t="str">
        <f>VLOOKUP(N37,$M$2:$N$7,2,TRUE)</f>
        <v>B</v>
      </c>
      <c r="Q37" s="1">
        <f t="shared" ref="Q37:R52" si="4">Q$6*Q16</f>
        <v>0</v>
      </c>
      <c r="R37" s="2">
        <f t="shared" si="4"/>
        <v>0</v>
      </c>
      <c r="S37" s="15">
        <f t="shared" ref="S37:S54" si="5">S$7*S16</f>
        <v>0</v>
      </c>
      <c r="Z37" s="1">
        <f t="shared" ref="Z37:AA52" si="6">Z$6*Z16</f>
        <v>0</v>
      </c>
      <c r="AA37" s="2">
        <f t="shared" si="6"/>
        <v>0</v>
      </c>
      <c r="AB37" s="15">
        <f t="shared" ref="AB37:AB54" si="7">AB$7*AB16</f>
        <v>0</v>
      </c>
      <c r="AI37" s="1">
        <f t="shared" ref="AI37" si="8">AI$6*AI16</f>
        <v>2591.539429216697</v>
      </c>
      <c r="AJ37" s="15">
        <f>AJ$7*AJ16</f>
        <v>0</v>
      </c>
    </row>
    <row r="38" spans="1:36">
      <c r="A38" s="45">
        <v>1</v>
      </c>
      <c r="B38" s="45">
        <v>1</v>
      </c>
      <c r="C38" s="45">
        <v>20</v>
      </c>
      <c r="D38" s="45">
        <v>4</v>
      </c>
      <c r="E38" s="45">
        <v>45</v>
      </c>
      <c r="F38" s="45">
        <v>1450</v>
      </c>
      <c r="G38">
        <v>2</v>
      </c>
      <c r="H38">
        <v>1</v>
      </c>
      <c r="I38">
        <v>3</v>
      </c>
      <c r="J38" s="136">
        <f t="shared" ref="J38:J54" si="9">C38/E38*60</f>
        <v>26.666666666666664</v>
      </c>
      <c r="K38" s="135">
        <f t="shared" ref="K38:K54" si="10">SUM(Q38:EC38)</f>
        <v>1176.8766605807657</v>
      </c>
      <c r="L38">
        <v>0</v>
      </c>
      <c r="M38" s="98">
        <f t="shared" ref="M38:M54" si="11">J38*(1+A38*POWER(K38/(D38*F38),B38))+L38/$M$33</f>
        <v>32.077593841750641</v>
      </c>
      <c r="N38" s="99">
        <f t="shared" si="3"/>
        <v>0.20290976906564925</v>
      </c>
      <c r="O38" s="98" t="str">
        <f t="shared" ref="O38:O54" si="12">VLOOKUP(N38,$M$2:$N$7,2,TRUE)</f>
        <v>A</v>
      </c>
      <c r="Q38" s="3">
        <f t="shared" si="4"/>
        <v>0</v>
      </c>
      <c r="R38" s="4">
        <f t="shared" si="4"/>
        <v>0</v>
      </c>
      <c r="S38" s="16">
        <f t="shared" si="5"/>
        <v>0</v>
      </c>
      <c r="Z38" s="3">
        <f t="shared" si="6"/>
        <v>1176.8766605807657</v>
      </c>
      <c r="AA38" s="4">
        <f t="shared" si="6"/>
        <v>0</v>
      </c>
      <c r="AB38" s="16">
        <f t="shared" si="7"/>
        <v>0</v>
      </c>
      <c r="AI38" s="3">
        <f t="shared" ref="AI38" si="13">AI$6*AI17</f>
        <v>0</v>
      </c>
      <c r="AJ38" s="16">
        <f t="shared" ref="AJ38:AJ54" si="14">AJ$7*AJ17</f>
        <v>0</v>
      </c>
    </row>
    <row r="39" spans="1:36">
      <c r="A39" s="45">
        <v>1</v>
      </c>
      <c r="B39" s="45">
        <v>1</v>
      </c>
      <c r="C39" s="45">
        <v>5</v>
      </c>
      <c r="D39" s="45">
        <v>4</v>
      </c>
      <c r="E39" s="45">
        <v>35</v>
      </c>
      <c r="F39" s="45">
        <v>900</v>
      </c>
      <c r="G39">
        <v>4</v>
      </c>
      <c r="H39">
        <v>1</v>
      </c>
      <c r="I39">
        <v>5</v>
      </c>
      <c r="J39" s="136">
        <f t="shared" si="9"/>
        <v>8.5714285714285712</v>
      </c>
      <c r="K39" s="135">
        <f t="shared" si="10"/>
        <v>2639.0889039496055</v>
      </c>
      <c r="L39">
        <v>0</v>
      </c>
      <c r="M39" s="98">
        <f t="shared" si="11"/>
        <v>14.854973580832393</v>
      </c>
      <c r="N39" s="99">
        <f t="shared" si="3"/>
        <v>0.73308025109711261</v>
      </c>
      <c r="O39" s="98" t="str">
        <f t="shared" si="12"/>
        <v>B</v>
      </c>
      <c r="Q39" s="3">
        <f t="shared" si="4"/>
        <v>0</v>
      </c>
      <c r="R39" s="4">
        <f t="shared" si="4"/>
        <v>97.870175846427514</v>
      </c>
      <c r="S39" s="16">
        <f t="shared" si="5"/>
        <v>0</v>
      </c>
      <c r="Z39" s="3">
        <f t="shared" si="6"/>
        <v>0</v>
      </c>
      <c r="AA39" s="4">
        <f t="shared" si="6"/>
        <v>0</v>
      </c>
      <c r="AB39" s="16">
        <f t="shared" si="7"/>
        <v>0</v>
      </c>
      <c r="AI39" s="3">
        <f t="shared" ref="AI39" si="15">AI$6*AI18</f>
        <v>0</v>
      </c>
      <c r="AJ39" s="16">
        <f t="shared" si="14"/>
        <v>2541.2187281031779</v>
      </c>
    </row>
    <row r="40" spans="1:36">
      <c r="A40" s="45">
        <v>1</v>
      </c>
      <c r="B40" s="45">
        <v>1</v>
      </c>
      <c r="C40" s="45">
        <v>10</v>
      </c>
      <c r="D40" s="45">
        <v>4</v>
      </c>
      <c r="E40" s="45">
        <v>35</v>
      </c>
      <c r="F40" s="45">
        <v>900</v>
      </c>
      <c r="G40">
        <v>4</v>
      </c>
      <c r="H40">
        <v>2</v>
      </c>
      <c r="I40">
        <v>1</v>
      </c>
      <c r="J40" s="136">
        <f t="shared" si="9"/>
        <v>17.142857142857142</v>
      </c>
      <c r="K40" s="135">
        <f t="shared" si="10"/>
        <v>0</v>
      </c>
      <c r="L40">
        <v>0</v>
      </c>
      <c r="M40" s="98">
        <f t="shared" si="11"/>
        <v>17.142857142857142</v>
      </c>
      <c r="N40" s="99">
        <f t="shared" si="3"/>
        <v>0</v>
      </c>
      <c r="O40" s="98" t="str">
        <f t="shared" si="12"/>
        <v>A</v>
      </c>
      <c r="Q40" s="3">
        <f t="shared" si="4"/>
        <v>0</v>
      </c>
      <c r="R40" s="4">
        <f t="shared" si="4"/>
        <v>0</v>
      </c>
      <c r="S40" s="16">
        <f t="shared" si="5"/>
        <v>0</v>
      </c>
      <c r="Z40" s="3">
        <f t="shared" si="6"/>
        <v>0</v>
      </c>
      <c r="AA40" s="4">
        <f t="shared" si="6"/>
        <v>0</v>
      </c>
      <c r="AB40" s="16">
        <f t="shared" si="7"/>
        <v>0</v>
      </c>
      <c r="AI40" s="3">
        <f t="shared" ref="AI40" si="16">AI$6*AI19</f>
        <v>0</v>
      </c>
      <c r="AJ40" s="16">
        <f t="shared" si="14"/>
        <v>0</v>
      </c>
    </row>
    <row r="41" spans="1:36">
      <c r="A41" s="45">
        <v>1</v>
      </c>
      <c r="B41" s="45">
        <v>1</v>
      </c>
      <c r="C41" s="45">
        <v>20</v>
      </c>
      <c r="D41" s="45">
        <v>4</v>
      </c>
      <c r="E41" s="45">
        <v>45</v>
      </c>
      <c r="F41" s="45">
        <v>1450</v>
      </c>
      <c r="G41">
        <v>2</v>
      </c>
      <c r="H41">
        <v>2</v>
      </c>
      <c r="I41">
        <v>4</v>
      </c>
      <c r="J41" s="136">
        <f t="shared" si="9"/>
        <v>26.666666666666664</v>
      </c>
      <c r="K41" s="135">
        <f t="shared" si="10"/>
        <v>0</v>
      </c>
      <c r="L41">
        <v>0</v>
      </c>
      <c r="M41" s="98">
        <f t="shared" si="11"/>
        <v>26.666666666666664</v>
      </c>
      <c r="N41" s="99">
        <f t="shared" si="3"/>
        <v>0</v>
      </c>
      <c r="O41" s="98" t="str">
        <f t="shared" si="12"/>
        <v>A</v>
      </c>
      <c r="Q41" s="3">
        <f t="shared" si="4"/>
        <v>0</v>
      </c>
      <c r="R41" s="4">
        <f t="shared" si="4"/>
        <v>0</v>
      </c>
      <c r="S41" s="16">
        <f t="shared" si="5"/>
        <v>0</v>
      </c>
      <c r="Z41" s="3">
        <f t="shared" si="6"/>
        <v>0</v>
      </c>
      <c r="AA41" s="4">
        <f t="shared" si="6"/>
        <v>0</v>
      </c>
      <c r="AB41" s="16">
        <f t="shared" si="7"/>
        <v>0</v>
      </c>
      <c r="AI41" s="3">
        <f t="shared" ref="AI41" si="17">AI$6*AI20</f>
        <v>0</v>
      </c>
      <c r="AJ41" s="16">
        <f t="shared" si="14"/>
        <v>0</v>
      </c>
    </row>
    <row r="42" spans="1:36">
      <c r="A42" s="45">
        <v>1</v>
      </c>
      <c r="B42" s="45">
        <v>1</v>
      </c>
      <c r="C42" s="45">
        <v>5</v>
      </c>
      <c r="D42" s="45">
        <v>4</v>
      </c>
      <c r="E42" s="45">
        <v>35</v>
      </c>
      <c r="F42" s="45">
        <v>900</v>
      </c>
      <c r="G42">
        <v>4</v>
      </c>
      <c r="H42">
        <v>2</v>
      </c>
      <c r="I42">
        <v>5</v>
      </c>
      <c r="J42" s="136">
        <f t="shared" si="9"/>
        <v>8.5714285714285712</v>
      </c>
      <c r="K42" s="135">
        <f t="shared" si="10"/>
        <v>0</v>
      </c>
      <c r="L42">
        <v>0</v>
      </c>
      <c r="M42" s="98">
        <f t="shared" si="11"/>
        <v>8.5714285714285712</v>
      </c>
      <c r="N42" s="99">
        <f t="shared" si="3"/>
        <v>0</v>
      </c>
      <c r="O42" s="98" t="str">
        <f t="shared" si="12"/>
        <v>A</v>
      </c>
      <c r="Q42" s="3">
        <f t="shared" si="4"/>
        <v>0</v>
      </c>
      <c r="R42" s="4">
        <f t="shared" si="4"/>
        <v>0</v>
      </c>
      <c r="S42" s="16">
        <f t="shared" si="5"/>
        <v>0</v>
      </c>
      <c r="Z42" s="3">
        <f t="shared" si="6"/>
        <v>0</v>
      </c>
      <c r="AA42" s="4">
        <f t="shared" si="6"/>
        <v>0</v>
      </c>
      <c r="AB42" s="16">
        <f t="shared" si="7"/>
        <v>0</v>
      </c>
      <c r="AI42" s="3">
        <f t="shared" ref="AI42" si="18">AI$6*AI21</f>
        <v>0</v>
      </c>
      <c r="AJ42" s="16">
        <f t="shared" si="14"/>
        <v>0</v>
      </c>
    </row>
    <row r="43" spans="1:36">
      <c r="A43" s="45">
        <v>1</v>
      </c>
      <c r="B43" s="45">
        <v>1</v>
      </c>
      <c r="C43" s="45">
        <v>20</v>
      </c>
      <c r="D43" s="45">
        <v>4</v>
      </c>
      <c r="E43" s="45">
        <v>45</v>
      </c>
      <c r="F43" s="45">
        <v>1450</v>
      </c>
      <c r="G43">
        <v>2</v>
      </c>
      <c r="H43">
        <v>3</v>
      </c>
      <c r="I43">
        <v>1</v>
      </c>
      <c r="J43" s="136">
        <f t="shared" si="9"/>
        <v>26.666666666666664</v>
      </c>
      <c r="K43" s="135">
        <f t="shared" si="10"/>
        <v>0</v>
      </c>
      <c r="L43">
        <v>0</v>
      </c>
      <c r="M43" s="98">
        <f t="shared" si="11"/>
        <v>26.666666666666664</v>
      </c>
      <c r="N43" s="99">
        <f t="shared" si="3"/>
        <v>0</v>
      </c>
      <c r="O43" s="98" t="str">
        <f t="shared" si="12"/>
        <v>A</v>
      </c>
      <c r="Q43" s="3">
        <f t="shared" si="4"/>
        <v>0</v>
      </c>
      <c r="R43" s="4">
        <f t="shared" si="4"/>
        <v>0</v>
      </c>
      <c r="S43" s="16">
        <f t="shared" si="5"/>
        <v>0</v>
      </c>
      <c r="Z43" s="3">
        <f t="shared" si="6"/>
        <v>0</v>
      </c>
      <c r="AA43" s="4">
        <f t="shared" si="6"/>
        <v>0</v>
      </c>
      <c r="AB43" s="16">
        <f t="shared" si="7"/>
        <v>0</v>
      </c>
      <c r="AI43" s="3">
        <f t="shared" ref="AI43" si="19">AI$6*AI22</f>
        <v>0</v>
      </c>
      <c r="AJ43" s="16">
        <f t="shared" si="14"/>
        <v>0</v>
      </c>
    </row>
    <row r="44" spans="1:36">
      <c r="A44" s="45">
        <v>1</v>
      </c>
      <c r="B44" s="45">
        <v>1</v>
      </c>
      <c r="C44" s="45">
        <v>10</v>
      </c>
      <c r="D44" s="45">
        <v>4</v>
      </c>
      <c r="E44" s="45">
        <v>35</v>
      </c>
      <c r="F44" s="45">
        <v>900</v>
      </c>
      <c r="G44">
        <v>4</v>
      </c>
      <c r="H44">
        <v>3</v>
      </c>
      <c r="I44">
        <v>4</v>
      </c>
      <c r="J44" s="136">
        <f t="shared" si="9"/>
        <v>17.142857142857142</v>
      </c>
      <c r="K44" s="135">
        <f t="shared" si="10"/>
        <v>0</v>
      </c>
      <c r="L44">
        <v>0</v>
      </c>
      <c r="M44" s="98">
        <f t="shared" si="11"/>
        <v>17.142857142857142</v>
      </c>
      <c r="N44" s="99">
        <f t="shared" si="3"/>
        <v>0</v>
      </c>
      <c r="O44" s="98" t="str">
        <f t="shared" si="12"/>
        <v>A</v>
      </c>
      <c r="Q44" s="3">
        <f t="shared" si="4"/>
        <v>0</v>
      </c>
      <c r="R44" s="4">
        <f t="shared" si="4"/>
        <v>0</v>
      </c>
      <c r="S44" s="16">
        <f t="shared" si="5"/>
        <v>0</v>
      </c>
      <c r="Z44" s="3">
        <f t="shared" si="6"/>
        <v>0</v>
      </c>
      <c r="AA44" s="4">
        <f t="shared" si="6"/>
        <v>0</v>
      </c>
      <c r="AB44" s="16">
        <f t="shared" si="7"/>
        <v>0</v>
      </c>
      <c r="AI44" s="3">
        <f t="shared" ref="AI44" si="20">AI$6*AI23</f>
        <v>0</v>
      </c>
      <c r="AJ44" s="16">
        <f t="shared" si="14"/>
        <v>0</v>
      </c>
    </row>
    <row r="45" spans="1:36">
      <c r="A45" s="45">
        <v>1</v>
      </c>
      <c r="B45" s="45">
        <v>1</v>
      </c>
      <c r="C45" s="45">
        <v>5</v>
      </c>
      <c r="D45" s="45">
        <v>4</v>
      </c>
      <c r="E45" s="45">
        <v>35</v>
      </c>
      <c r="F45" s="45">
        <v>900</v>
      </c>
      <c r="G45">
        <v>4</v>
      </c>
      <c r="H45">
        <v>3</v>
      </c>
      <c r="I45">
        <v>6</v>
      </c>
      <c r="J45" s="136">
        <f t="shared" si="9"/>
        <v>8.5714285714285712</v>
      </c>
      <c r="K45" s="135">
        <f t="shared" si="10"/>
        <v>0</v>
      </c>
      <c r="L45">
        <v>0</v>
      </c>
      <c r="M45" s="98">
        <f t="shared" si="11"/>
        <v>8.5714285714285712</v>
      </c>
      <c r="N45" s="99">
        <f t="shared" si="3"/>
        <v>0</v>
      </c>
      <c r="O45" s="98" t="str">
        <f t="shared" si="12"/>
        <v>A</v>
      </c>
      <c r="Q45" s="3">
        <f t="shared" si="4"/>
        <v>0</v>
      </c>
      <c r="R45" s="4">
        <f t="shared" si="4"/>
        <v>0</v>
      </c>
      <c r="S45" s="16">
        <f t="shared" si="5"/>
        <v>0</v>
      </c>
      <c r="Z45" s="3">
        <f t="shared" si="6"/>
        <v>0</v>
      </c>
      <c r="AA45" s="4">
        <f t="shared" si="6"/>
        <v>0</v>
      </c>
      <c r="AB45" s="16">
        <f t="shared" si="7"/>
        <v>0</v>
      </c>
      <c r="AI45" s="3">
        <f t="shared" ref="AI45" si="21">AI$6*AI24</f>
        <v>0</v>
      </c>
      <c r="AJ45" s="16">
        <f t="shared" si="14"/>
        <v>0</v>
      </c>
    </row>
    <row r="46" spans="1:36">
      <c r="A46" s="45">
        <v>1</v>
      </c>
      <c r="B46" s="45">
        <v>1</v>
      </c>
      <c r="C46" s="45">
        <v>20</v>
      </c>
      <c r="D46" s="45">
        <v>4</v>
      </c>
      <c r="E46" s="45">
        <v>45</v>
      </c>
      <c r="F46" s="45">
        <v>1450</v>
      </c>
      <c r="G46">
        <v>2</v>
      </c>
      <c r="H46">
        <v>4</v>
      </c>
      <c r="I46">
        <v>2</v>
      </c>
      <c r="J46" s="136">
        <f t="shared" si="9"/>
        <v>26.666666666666664</v>
      </c>
      <c r="K46" s="135">
        <f t="shared" si="10"/>
        <v>0</v>
      </c>
      <c r="L46">
        <v>0</v>
      </c>
      <c r="M46" s="98">
        <f t="shared" si="11"/>
        <v>26.666666666666664</v>
      </c>
      <c r="N46" s="99">
        <f t="shared" si="3"/>
        <v>0</v>
      </c>
      <c r="O46" s="98" t="str">
        <f t="shared" si="12"/>
        <v>A</v>
      </c>
      <c r="Q46" s="3">
        <f t="shared" si="4"/>
        <v>0</v>
      </c>
      <c r="R46" s="4">
        <f t="shared" si="4"/>
        <v>0</v>
      </c>
      <c r="S46" s="16">
        <f t="shared" si="5"/>
        <v>0</v>
      </c>
      <c r="Z46" s="3">
        <f t="shared" si="6"/>
        <v>0</v>
      </c>
      <c r="AA46" s="4">
        <f t="shared" si="6"/>
        <v>0</v>
      </c>
      <c r="AB46" s="16">
        <f t="shared" si="7"/>
        <v>0</v>
      </c>
      <c r="AI46" s="3">
        <f t="shared" ref="AI46" si="22">AI$6*AI25</f>
        <v>0</v>
      </c>
      <c r="AJ46" s="16">
        <f t="shared" si="14"/>
        <v>0</v>
      </c>
    </row>
    <row r="47" spans="1:36">
      <c r="A47" s="45">
        <v>1</v>
      </c>
      <c r="B47" s="45">
        <v>1</v>
      </c>
      <c r="C47" s="45">
        <v>10</v>
      </c>
      <c r="D47" s="45">
        <v>4</v>
      </c>
      <c r="E47" s="45">
        <v>35</v>
      </c>
      <c r="F47" s="45">
        <v>900</v>
      </c>
      <c r="G47">
        <v>4</v>
      </c>
      <c r="H47">
        <v>4</v>
      </c>
      <c r="I47">
        <v>3</v>
      </c>
      <c r="J47" s="136">
        <f t="shared" si="9"/>
        <v>17.142857142857142</v>
      </c>
      <c r="K47" s="135">
        <f t="shared" si="10"/>
        <v>0</v>
      </c>
      <c r="L47">
        <v>0</v>
      </c>
      <c r="M47" s="98">
        <f t="shared" si="11"/>
        <v>17.142857142857142</v>
      </c>
      <c r="N47" s="99">
        <f t="shared" si="3"/>
        <v>0</v>
      </c>
      <c r="O47" s="98" t="str">
        <f t="shared" si="12"/>
        <v>A</v>
      </c>
      <c r="Q47" s="3">
        <f t="shared" si="4"/>
        <v>0</v>
      </c>
      <c r="R47" s="4">
        <f t="shared" si="4"/>
        <v>0</v>
      </c>
      <c r="S47" s="16">
        <f t="shared" si="5"/>
        <v>0</v>
      </c>
      <c r="Z47" s="3">
        <f t="shared" si="6"/>
        <v>0</v>
      </c>
      <c r="AA47" s="4">
        <f t="shared" si="6"/>
        <v>0</v>
      </c>
      <c r="AB47" s="16">
        <f t="shared" si="7"/>
        <v>0</v>
      </c>
      <c r="AI47" s="3">
        <f t="shared" ref="AI47" si="23">AI$6*AI26</f>
        <v>0</v>
      </c>
      <c r="AJ47" s="16">
        <f t="shared" si="14"/>
        <v>0</v>
      </c>
    </row>
    <row r="48" spans="1:36">
      <c r="A48" s="45">
        <v>1</v>
      </c>
      <c r="B48" s="45">
        <v>1</v>
      </c>
      <c r="C48" s="45">
        <v>5</v>
      </c>
      <c r="D48" s="45">
        <v>4</v>
      </c>
      <c r="E48" s="45">
        <v>35</v>
      </c>
      <c r="F48" s="45">
        <v>900</v>
      </c>
      <c r="G48">
        <v>4</v>
      </c>
      <c r="H48">
        <v>4</v>
      </c>
      <c r="I48">
        <v>6</v>
      </c>
      <c r="J48" s="136">
        <f t="shared" si="9"/>
        <v>8.5714285714285712</v>
      </c>
      <c r="K48" s="135">
        <f t="shared" si="10"/>
        <v>0</v>
      </c>
      <c r="L48">
        <v>0</v>
      </c>
      <c r="M48" s="98">
        <f t="shared" si="11"/>
        <v>8.5714285714285712</v>
      </c>
      <c r="N48" s="99">
        <f t="shared" si="3"/>
        <v>0</v>
      </c>
      <c r="O48" s="98" t="str">
        <f t="shared" si="12"/>
        <v>A</v>
      </c>
      <c r="Q48" s="3">
        <f t="shared" si="4"/>
        <v>0</v>
      </c>
      <c r="R48" s="4">
        <f t="shared" si="4"/>
        <v>0</v>
      </c>
      <c r="S48" s="16">
        <f t="shared" si="5"/>
        <v>0</v>
      </c>
      <c r="Z48" s="3">
        <f t="shared" si="6"/>
        <v>0</v>
      </c>
      <c r="AA48" s="4">
        <f t="shared" si="6"/>
        <v>0</v>
      </c>
      <c r="AB48" s="16">
        <f t="shared" si="7"/>
        <v>0</v>
      </c>
      <c r="AI48" s="3">
        <f t="shared" ref="AI48" si="24">AI$6*AI27</f>
        <v>0</v>
      </c>
      <c r="AJ48" s="16">
        <f t="shared" si="14"/>
        <v>0</v>
      </c>
    </row>
    <row r="49" spans="1:36">
      <c r="A49" s="45">
        <v>1</v>
      </c>
      <c r="B49" s="45">
        <v>1</v>
      </c>
      <c r="C49" s="45">
        <v>5</v>
      </c>
      <c r="D49" s="45">
        <v>4</v>
      </c>
      <c r="E49" s="45">
        <v>35</v>
      </c>
      <c r="F49" s="45">
        <v>900</v>
      </c>
      <c r="G49">
        <v>4</v>
      </c>
      <c r="H49">
        <v>5</v>
      </c>
      <c r="I49">
        <v>1</v>
      </c>
      <c r="J49" s="136">
        <f t="shared" si="9"/>
        <v>8.5714285714285712</v>
      </c>
      <c r="K49" s="135">
        <f t="shared" si="10"/>
        <v>0</v>
      </c>
      <c r="L49">
        <v>0</v>
      </c>
      <c r="M49" s="98">
        <f t="shared" si="11"/>
        <v>8.5714285714285712</v>
      </c>
      <c r="N49" s="99">
        <f t="shared" si="3"/>
        <v>0</v>
      </c>
      <c r="O49" s="98" t="str">
        <f t="shared" si="12"/>
        <v>A</v>
      </c>
      <c r="Q49" s="3">
        <f t="shared" si="4"/>
        <v>0</v>
      </c>
      <c r="R49" s="4">
        <f t="shared" si="4"/>
        <v>0</v>
      </c>
      <c r="S49" s="16">
        <f t="shared" si="5"/>
        <v>0</v>
      </c>
      <c r="Z49" s="3">
        <f t="shared" si="6"/>
        <v>0</v>
      </c>
      <c r="AA49" s="4">
        <f t="shared" si="6"/>
        <v>0</v>
      </c>
      <c r="AB49" s="16">
        <f t="shared" si="7"/>
        <v>0</v>
      </c>
      <c r="AI49" s="3">
        <f t="shared" ref="AI49" si="25">AI$6*AI28</f>
        <v>0</v>
      </c>
      <c r="AJ49" s="16">
        <f t="shared" si="14"/>
        <v>0</v>
      </c>
    </row>
    <row r="50" spans="1:36">
      <c r="A50" s="45">
        <v>1</v>
      </c>
      <c r="B50" s="45">
        <v>1</v>
      </c>
      <c r="C50" s="45">
        <v>5</v>
      </c>
      <c r="D50" s="45">
        <v>4</v>
      </c>
      <c r="E50" s="45">
        <v>35</v>
      </c>
      <c r="F50" s="45">
        <v>900</v>
      </c>
      <c r="G50">
        <v>4</v>
      </c>
      <c r="H50">
        <v>5</v>
      </c>
      <c r="I50">
        <v>2</v>
      </c>
      <c r="J50" s="136">
        <f t="shared" si="9"/>
        <v>8.5714285714285712</v>
      </c>
      <c r="K50" s="135">
        <f t="shared" si="10"/>
        <v>2541.2187281031779</v>
      </c>
      <c r="L50">
        <v>0</v>
      </c>
      <c r="M50" s="98">
        <f t="shared" si="11"/>
        <v>14.621949352626613</v>
      </c>
      <c r="N50" s="99">
        <f t="shared" si="3"/>
        <v>0.70589409113977164</v>
      </c>
      <c r="O50" s="98" t="str">
        <f t="shared" si="12"/>
        <v>B</v>
      </c>
      <c r="Q50" s="3">
        <f t="shared" si="4"/>
        <v>0</v>
      </c>
      <c r="R50" s="4">
        <f t="shared" si="4"/>
        <v>0</v>
      </c>
      <c r="S50" s="16">
        <f t="shared" si="5"/>
        <v>0</v>
      </c>
      <c r="Z50" s="3">
        <f t="shared" si="6"/>
        <v>0</v>
      </c>
      <c r="AA50" s="4">
        <f t="shared" si="6"/>
        <v>0</v>
      </c>
      <c r="AB50" s="16">
        <f t="shared" si="7"/>
        <v>0</v>
      </c>
      <c r="AI50" s="3">
        <f t="shared" ref="AI50" si="26">AI$6*AI29</f>
        <v>0</v>
      </c>
      <c r="AJ50" s="16">
        <f t="shared" si="14"/>
        <v>2541.2187281031779</v>
      </c>
    </row>
    <row r="51" spans="1:36">
      <c r="A51" s="45">
        <v>1</v>
      </c>
      <c r="B51" s="45">
        <v>1</v>
      </c>
      <c r="C51" s="45">
        <v>10</v>
      </c>
      <c r="D51" s="45">
        <v>5</v>
      </c>
      <c r="E51" s="45">
        <v>65</v>
      </c>
      <c r="F51" s="45">
        <v>1900</v>
      </c>
      <c r="G51">
        <v>1</v>
      </c>
      <c r="H51">
        <v>5</v>
      </c>
      <c r="I51">
        <v>6</v>
      </c>
      <c r="J51" s="136">
        <f t="shared" si="9"/>
        <v>9.2307692307692317</v>
      </c>
      <c r="K51" s="135">
        <f t="shared" si="10"/>
        <v>97.870175846427514</v>
      </c>
      <c r="L51">
        <v>0</v>
      </c>
      <c r="M51" s="98">
        <f t="shared" si="11"/>
        <v>9.3258657579074598</v>
      </c>
      <c r="N51" s="99">
        <f t="shared" si="3"/>
        <v>1.0302123773308159E-2</v>
      </c>
      <c r="O51" s="98" t="str">
        <f t="shared" si="12"/>
        <v>A</v>
      </c>
      <c r="Q51" s="3">
        <f t="shared" si="4"/>
        <v>0</v>
      </c>
      <c r="R51" s="4">
        <f t="shared" si="4"/>
        <v>97.870175846427514</v>
      </c>
      <c r="S51" s="16">
        <f t="shared" si="5"/>
        <v>0</v>
      </c>
      <c r="Z51" s="3">
        <f t="shared" si="6"/>
        <v>0</v>
      </c>
      <c r="AA51" s="4">
        <f t="shared" si="6"/>
        <v>0</v>
      </c>
      <c r="AB51" s="16">
        <f t="shared" si="7"/>
        <v>0</v>
      </c>
      <c r="AI51" s="3">
        <f t="shared" ref="AI51" si="27">AI$6*AI30</f>
        <v>0</v>
      </c>
      <c r="AJ51" s="16">
        <f t="shared" si="14"/>
        <v>0</v>
      </c>
    </row>
    <row r="52" spans="1:36">
      <c r="A52" s="45">
        <v>1</v>
      </c>
      <c r="B52" s="45">
        <v>1</v>
      </c>
      <c r="C52" s="45">
        <v>5</v>
      </c>
      <c r="D52" s="45">
        <v>4</v>
      </c>
      <c r="E52" s="45">
        <v>35</v>
      </c>
      <c r="F52" s="45">
        <v>900</v>
      </c>
      <c r="G52">
        <v>4</v>
      </c>
      <c r="H52">
        <v>6</v>
      </c>
      <c r="I52">
        <v>3</v>
      </c>
      <c r="J52" s="136">
        <f t="shared" si="9"/>
        <v>8.5714285714285712</v>
      </c>
      <c r="K52" s="135">
        <f t="shared" si="10"/>
        <v>0</v>
      </c>
      <c r="L52">
        <v>0</v>
      </c>
      <c r="M52" s="98">
        <f t="shared" si="11"/>
        <v>8.5714285714285712</v>
      </c>
      <c r="N52" s="99">
        <f t="shared" si="3"/>
        <v>0</v>
      </c>
      <c r="O52" s="98" t="str">
        <f t="shared" si="12"/>
        <v>A</v>
      </c>
      <c r="Q52" s="3">
        <f t="shared" si="4"/>
        <v>0</v>
      </c>
      <c r="R52" s="4">
        <f t="shared" si="4"/>
        <v>0</v>
      </c>
      <c r="S52" s="16">
        <f t="shared" si="5"/>
        <v>0</v>
      </c>
      <c r="Z52" s="3">
        <f t="shared" si="6"/>
        <v>0</v>
      </c>
      <c r="AA52" s="4">
        <f t="shared" si="6"/>
        <v>0</v>
      </c>
      <c r="AB52" s="16">
        <f t="shared" si="7"/>
        <v>0</v>
      </c>
      <c r="AI52" s="3">
        <f t="shared" ref="AI52" si="28">AI$6*AI31</f>
        <v>0</v>
      </c>
      <c r="AJ52" s="16">
        <f t="shared" si="14"/>
        <v>0</v>
      </c>
    </row>
    <row r="53" spans="1:36">
      <c r="A53" s="45">
        <v>1</v>
      </c>
      <c r="B53" s="45">
        <v>1</v>
      </c>
      <c r="C53" s="45">
        <v>5</v>
      </c>
      <c r="D53" s="45">
        <v>5</v>
      </c>
      <c r="E53" s="45">
        <v>35</v>
      </c>
      <c r="F53" s="45">
        <v>900</v>
      </c>
      <c r="G53">
        <v>4</v>
      </c>
      <c r="H53">
        <v>6</v>
      </c>
      <c r="I53">
        <v>4</v>
      </c>
      <c r="J53" s="136">
        <f t="shared" si="9"/>
        <v>8.5714285714285712</v>
      </c>
      <c r="K53" s="135">
        <f t="shared" si="10"/>
        <v>97.870175846427514</v>
      </c>
      <c r="L53">
        <v>0</v>
      </c>
      <c r="M53" s="98">
        <f t="shared" si="11"/>
        <v>8.7578479539931937</v>
      </c>
      <c r="N53" s="99">
        <f t="shared" si="3"/>
        <v>2.1748927965872782E-2</v>
      </c>
      <c r="O53" s="98" t="str">
        <f t="shared" si="12"/>
        <v>A</v>
      </c>
      <c r="Q53" s="3">
        <f t="shared" ref="Q53:R54" si="29">Q$6*Q32</f>
        <v>0</v>
      </c>
      <c r="R53" s="4">
        <f t="shared" si="29"/>
        <v>97.870175846427514</v>
      </c>
      <c r="S53" s="16">
        <f t="shared" si="5"/>
        <v>0</v>
      </c>
      <c r="Z53" s="3">
        <f t="shared" ref="Z53:AA54" si="30">Z$6*Z32</f>
        <v>0</v>
      </c>
      <c r="AA53" s="4">
        <f t="shared" si="30"/>
        <v>0</v>
      </c>
      <c r="AB53" s="16">
        <f t="shared" si="7"/>
        <v>0</v>
      </c>
      <c r="AI53" s="3">
        <f t="shared" ref="AI53" si="31">AI$6*AI32</f>
        <v>0</v>
      </c>
      <c r="AJ53" s="16">
        <f t="shared" si="14"/>
        <v>0</v>
      </c>
    </row>
    <row r="54" spans="1:36">
      <c r="A54" s="45">
        <v>1</v>
      </c>
      <c r="B54" s="45">
        <v>1</v>
      </c>
      <c r="C54" s="45">
        <v>10</v>
      </c>
      <c r="D54" s="45">
        <v>4</v>
      </c>
      <c r="E54" s="45">
        <v>65</v>
      </c>
      <c r="F54" s="45">
        <v>1900</v>
      </c>
      <c r="G54">
        <v>2</v>
      </c>
      <c r="H54">
        <v>6</v>
      </c>
      <c r="I54">
        <v>5</v>
      </c>
      <c r="J54" s="136">
        <f t="shared" si="9"/>
        <v>9.2307692307692317</v>
      </c>
      <c r="K54" s="135">
        <f t="shared" si="10"/>
        <v>0</v>
      </c>
      <c r="L54">
        <v>0</v>
      </c>
      <c r="M54" s="98">
        <f t="shared" si="11"/>
        <v>9.2307692307692317</v>
      </c>
      <c r="N54">
        <f t="shared" si="3"/>
        <v>0</v>
      </c>
      <c r="O54" s="98" t="str">
        <f t="shared" si="12"/>
        <v>A</v>
      </c>
      <c r="Q54" s="5">
        <f t="shared" si="29"/>
        <v>0</v>
      </c>
      <c r="R54" s="6">
        <f t="shared" si="29"/>
        <v>0</v>
      </c>
      <c r="S54" s="17">
        <f t="shared" si="5"/>
        <v>0</v>
      </c>
      <c r="Z54" s="5">
        <f t="shared" si="30"/>
        <v>0</v>
      </c>
      <c r="AA54" s="6">
        <f t="shared" si="30"/>
        <v>0</v>
      </c>
      <c r="AB54" s="17">
        <f t="shared" si="7"/>
        <v>0</v>
      </c>
      <c r="AI54" s="5">
        <f t="shared" ref="AI54" si="32">AI$6*AI33</f>
        <v>0</v>
      </c>
      <c r="AJ54" s="17">
        <f t="shared" si="14"/>
        <v>0</v>
      </c>
    </row>
    <row r="56" spans="1:36">
      <c r="B56" s="10" t="s">
        <v>459</v>
      </c>
      <c r="Q56" t="s">
        <v>109</v>
      </c>
      <c r="Z56" t="s">
        <v>109</v>
      </c>
      <c r="AI56" t="s">
        <v>109</v>
      </c>
    </row>
    <row r="57" spans="1:36">
      <c r="Q57" s="1">
        <f>$M37*Q16</f>
        <v>0</v>
      </c>
      <c r="R57" s="2">
        <f>$M37*R16</f>
        <v>0</v>
      </c>
      <c r="S57" s="15">
        <f>$M37*S16</f>
        <v>29.483521091508081</v>
      </c>
      <c r="Z57" s="1">
        <f>$M37*Z16</f>
        <v>0</v>
      </c>
      <c r="AA57" s="2">
        <f>$M37*AA16</f>
        <v>0</v>
      </c>
      <c r="AB57" s="15">
        <f>$M37*AB16</f>
        <v>29.483521091508081</v>
      </c>
      <c r="AI57" s="1">
        <f>$M37*AI16</f>
        <v>29.483521091508081</v>
      </c>
      <c r="AJ57" s="15">
        <f>$M37*AJ16</f>
        <v>0</v>
      </c>
    </row>
    <row r="58" spans="1:36">
      <c r="Q58" s="3">
        <f t="shared" ref="Q58:S73" si="33">$M38*Q17</f>
        <v>32.077593841750641</v>
      </c>
      <c r="R58" s="4">
        <f t="shared" si="33"/>
        <v>0</v>
      </c>
      <c r="S58" s="16">
        <f t="shared" si="33"/>
        <v>0</v>
      </c>
      <c r="Z58" s="3">
        <f t="shared" ref="Z58:AB73" si="34">$M38*Z17</f>
        <v>32.077593841750641</v>
      </c>
      <c r="AA58" s="4">
        <f t="shared" si="34"/>
        <v>0</v>
      </c>
      <c r="AB58" s="16">
        <f t="shared" si="34"/>
        <v>0</v>
      </c>
      <c r="AI58" s="3">
        <f t="shared" ref="AI58:AJ58" si="35">$M38*AI17</f>
        <v>0</v>
      </c>
      <c r="AJ58" s="16">
        <f t="shared" si="35"/>
        <v>0</v>
      </c>
    </row>
    <row r="59" spans="1:36">
      <c r="Q59" s="3">
        <f t="shared" si="33"/>
        <v>0</v>
      </c>
      <c r="R59" s="4">
        <f t="shared" si="33"/>
        <v>14.854973580832393</v>
      </c>
      <c r="S59" s="16">
        <f t="shared" si="33"/>
        <v>0</v>
      </c>
      <c r="Z59" s="3">
        <f t="shared" si="34"/>
        <v>0</v>
      </c>
      <c r="AA59" s="4">
        <f t="shared" si="34"/>
        <v>14.854973580832393</v>
      </c>
      <c r="AB59" s="16">
        <f t="shared" si="34"/>
        <v>0</v>
      </c>
      <c r="AI59" s="3">
        <f t="shared" ref="AI59:AJ59" si="36">$M39*AI18</f>
        <v>0</v>
      </c>
      <c r="AJ59" s="16">
        <f t="shared" si="36"/>
        <v>14.854973580832393</v>
      </c>
    </row>
    <row r="60" spans="1:36">
      <c r="Q60" s="3">
        <f t="shared" si="33"/>
        <v>0</v>
      </c>
      <c r="R60" s="4">
        <f t="shared" si="33"/>
        <v>0</v>
      </c>
      <c r="S60" s="16">
        <f t="shared" si="33"/>
        <v>0</v>
      </c>
      <c r="Z60" s="3">
        <f t="shared" si="34"/>
        <v>0</v>
      </c>
      <c r="AA60" s="4">
        <f t="shared" si="34"/>
        <v>0</v>
      </c>
      <c r="AB60" s="16">
        <f t="shared" si="34"/>
        <v>0</v>
      </c>
      <c r="AI60" s="3">
        <f t="shared" ref="AI60:AJ60" si="37">$M40*AI19</f>
        <v>0</v>
      </c>
      <c r="AJ60" s="16">
        <f t="shared" si="37"/>
        <v>0</v>
      </c>
    </row>
    <row r="61" spans="1:36">
      <c r="Q61" s="3">
        <f t="shared" si="33"/>
        <v>0</v>
      </c>
      <c r="R61" s="4">
        <f t="shared" si="33"/>
        <v>0</v>
      </c>
      <c r="S61" s="16">
        <f t="shared" si="33"/>
        <v>26.666666666666664</v>
      </c>
      <c r="Z61" s="3">
        <f t="shared" si="34"/>
        <v>0</v>
      </c>
      <c r="AA61" s="4">
        <f t="shared" si="34"/>
        <v>0</v>
      </c>
      <c r="AB61" s="16">
        <f t="shared" si="34"/>
        <v>26.666666666666664</v>
      </c>
      <c r="AI61" s="3">
        <f t="shared" ref="AI61:AJ61" si="38">$M41*AI20</f>
        <v>0</v>
      </c>
      <c r="AJ61" s="16">
        <f t="shared" si="38"/>
        <v>0</v>
      </c>
    </row>
    <row r="62" spans="1:36">
      <c r="Q62" s="3">
        <f t="shared" si="33"/>
        <v>0</v>
      </c>
      <c r="R62" s="4">
        <f t="shared" si="33"/>
        <v>0</v>
      </c>
      <c r="S62" s="16">
        <f t="shared" si="33"/>
        <v>0</v>
      </c>
      <c r="Z62" s="3">
        <f t="shared" si="34"/>
        <v>0</v>
      </c>
      <c r="AA62" s="4">
        <f t="shared" si="34"/>
        <v>0</v>
      </c>
      <c r="AB62" s="16">
        <f t="shared" si="34"/>
        <v>0</v>
      </c>
      <c r="AI62" s="3">
        <f t="shared" ref="AI62:AJ62" si="39">$M42*AI21</f>
        <v>0</v>
      </c>
      <c r="AJ62" s="16">
        <f t="shared" si="39"/>
        <v>0</v>
      </c>
    </row>
    <row r="63" spans="1:36">
      <c r="Q63" s="3">
        <f t="shared" si="33"/>
        <v>0</v>
      </c>
      <c r="R63" s="4">
        <f t="shared" si="33"/>
        <v>0</v>
      </c>
      <c r="S63" s="16">
        <f t="shared" si="33"/>
        <v>0</v>
      </c>
      <c r="Z63" s="3">
        <f t="shared" si="34"/>
        <v>0</v>
      </c>
      <c r="AA63" s="4">
        <f t="shared" si="34"/>
        <v>0</v>
      </c>
      <c r="AB63" s="16">
        <f t="shared" si="34"/>
        <v>0</v>
      </c>
      <c r="AI63" s="3">
        <f t="shared" ref="AI63:AJ63" si="40">$M43*AI22</f>
        <v>0</v>
      </c>
      <c r="AJ63" s="16">
        <f t="shared" si="40"/>
        <v>0</v>
      </c>
    </row>
    <row r="64" spans="1:36">
      <c r="Q64" s="3">
        <f t="shared" si="33"/>
        <v>17.142857142857142</v>
      </c>
      <c r="R64" s="4">
        <f t="shared" si="33"/>
        <v>0</v>
      </c>
      <c r="S64" s="16">
        <f t="shared" si="33"/>
        <v>0</v>
      </c>
      <c r="Z64" s="3">
        <f t="shared" si="34"/>
        <v>0</v>
      </c>
      <c r="AA64" s="4">
        <f t="shared" si="34"/>
        <v>0</v>
      </c>
      <c r="AB64" s="16">
        <f t="shared" si="34"/>
        <v>0</v>
      </c>
      <c r="AI64" s="3">
        <f t="shared" ref="AI64:AJ64" si="41">$M44*AI23</f>
        <v>0</v>
      </c>
      <c r="AJ64" s="16">
        <f t="shared" si="41"/>
        <v>0</v>
      </c>
    </row>
    <row r="65" spans="17:36">
      <c r="Q65" s="3">
        <f t="shared" si="33"/>
        <v>0</v>
      </c>
      <c r="R65" s="4">
        <f t="shared" si="33"/>
        <v>0</v>
      </c>
      <c r="S65" s="16">
        <f t="shared" si="33"/>
        <v>0</v>
      </c>
      <c r="Z65" s="3">
        <f t="shared" si="34"/>
        <v>0</v>
      </c>
      <c r="AA65" s="4">
        <f t="shared" si="34"/>
        <v>0</v>
      </c>
      <c r="AB65" s="16">
        <f t="shared" si="34"/>
        <v>0</v>
      </c>
      <c r="AI65" s="3">
        <f t="shared" ref="AI65:AJ65" si="42">$M45*AI24</f>
        <v>0</v>
      </c>
      <c r="AJ65" s="16">
        <f t="shared" si="42"/>
        <v>0</v>
      </c>
    </row>
    <row r="66" spans="17:36">
      <c r="Q66" s="3">
        <f t="shared" si="33"/>
        <v>0</v>
      </c>
      <c r="R66" s="4">
        <f t="shared" si="33"/>
        <v>0</v>
      </c>
      <c r="S66" s="16">
        <f t="shared" si="33"/>
        <v>0</v>
      </c>
      <c r="Z66" s="3">
        <f t="shared" si="34"/>
        <v>0</v>
      </c>
      <c r="AA66" s="4">
        <f t="shared" si="34"/>
        <v>0</v>
      </c>
      <c r="AB66" s="16">
        <f t="shared" si="34"/>
        <v>0</v>
      </c>
      <c r="AI66" s="3">
        <f t="shared" ref="AI66:AJ66" si="43">$M46*AI25</f>
        <v>0</v>
      </c>
      <c r="AJ66" s="16">
        <f t="shared" si="43"/>
        <v>0</v>
      </c>
    </row>
    <row r="67" spans="17:36">
      <c r="Q67" s="3">
        <f t="shared" si="33"/>
        <v>0</v>
      </c>
      <c r="R67" s="4">
        <f t="shared" si="33"/>
        <v>0</v>
      </c>
      <c r="S67" s="16">
        <f t="shared" si="33"/>
        <v>0</v>
      </c>
      <c r="Z67" s="3">
        <f t="shared" si="34"/>
        <v>0</v>
      </c>
      <c r="AA67" s="4">
        <f t="shared" si="34"/>
        <v>0</v>
      </c>
      <c r="AB67" s="16">
        <f t="shared" si="34"/>
        <v>17.142857142857142</v>
      </c>
      <c r="AI67" s="3">
        <f t="shared" ref="AI67:AJ67" si="44">$M47*AI26</f>
        <v>0</v>
      </c>
      <c r="AJ67" s="16">
        <f t="shared" si="44"/>
        <v>0</v>
      </c>
    </row>
    <row r="68" spans="17:36">
      <c r="Q68" s="3">
        <f t="shared" si="33"/>
        <v>0</v>
      </c>
      <c r="R68" s="4">
        <f t="shared" si="33"/>
        <v>0</v>
      </c>
      <c r="S68" s="16">
        <f t="shared" si="33"/>
        <v>0</v>
      </c>
      <c r="Z68" s="3">
        <f t="shared" si="34"/>
        <v>0</v>
      </c>
      <c r="AA68" s="4">
        <f t="shared" si="34"/>
        <v>0</v>
      </c>
      <c r="AB68" s="16">
        <f t="shared" si="34"/>
        <v>0</v>
      </c>
      <c r="AI68" s="3">
        <f t="shared" ref="AI68:AJ68" si="45">$M48*AI27</f>
        <v>0</v>
      </c>
      <c r="AJ68" s="16">
        <f t="shared" si="45"/>
        <v>0</v>
      </c>
    </row>
    <row r="69" spans="17:36">
      <c r="Q69" s="3">
        <f t="shared" si="33"/>
        <v>0</v>
      </c>
      <c r="R69" s="4">
        <f t="shared" si="33"/>
        <v>0</v>
      </c>
      <c r="S69" s="16">
        <f t="shared" si="33"/>
        <v>0</v>
      </c>
      <c r="Z69" s="3">
        <f t="shared" si="34"/>
        <v>0</v>
      </c>
      <c r="AA69" s="4">
        <f t="shared" si="34"/>
        <v>0</v>
      </c>
      <c r="AB69" s="16">
        <f t="shared" si="34"/>
        <v>0</v>
      </c>
      <c r="AI69" s="3">
        <f t="shared" ref="AI69:AJ69" si="46">$M49*AI28</f>
        <v>0</v>
      </c>
      <c r="AJ69" s="16">
        <f t="shared" si="46"/>
        <v>0</v>
      </c>
    </row>
    <row r="70" spans="17:36">
      <c r="Q70" s="3">
        <f t="shared" si="33"/>
        <v>0</v>
      </c>
      <c r="R70" s="4">
        <f t="shared" si="33"/>
        <v>0</v>
      </c>
      <c r="S70" s="16">
        <f t="shared" si="33"/>
        <v>0</v>
      </c>
      <c r="Z70" s="3">
        <f t="shared" si="34"/>
        <v>0</v>
      </c>
      <c r="AA70" s="4">
        <f t="shared" si="34"/>
        <v>0</v>
      </c>
      <c r="AB70" s="16">
        <f t="shared" si="34"/>
        <v>0</v>
      </c>
      <c r="AI70" s="3">
        <f t="shared" ref="AI70:AJ70" si="47">$M50*AI29</f>
        <v>0</v>
      </c>
      <c r="AJ70" s="16">
        <f t="shared" si="47"/>
        <v>14.621949352626613</v>
      </c>
    </row>
    <row r="71" spans="17:36">
      <c r="Q71" s="3">
        <f t="shared" si="33"/>
        <v>0</v>
      </c>
      <c r="R71" s="4">
        <f t="shared" si="33"/>
        <v>9.3258657579074598</v>
      </c>
      <c r="S71" s="16">
        <f t="shared" si="33"/>
        <v>0</v>
      </c>
      <c r="Z71" s="3">
        <f t="shared" si="34"/>
        <v>0</v>
      </c>
      <c r="AA71" s="4">
        <f t="shared" si="34"/>
        <v>9.3258657579074598</v>
      </c>
      <c r="AB71" s="16">
        <f t="shared" si="34"/>
        <v>0</v>
      </c>
      <c r="AI71" s="3">
        <f t="shared" ref="AI71:AJ71" si="48">$M51*AI30</f>
        <v>0</v>
      </c>
      <c r="AJ71" s="16">
        <f t="shared" si="48"/>
        <v>0</v>
      </c>
    </row>
    <row r="72" spans="17:36">
      <c r="Q72" s="3">
        <f t="shared" si="33"/>
        <v>0</v>
      </c>
      <c r="R72" s="4">
        <f t="shared" si="33"/>
        <v>0</v>
      </c>
      <c r="S72" s="16">
        <f t="shared" si="33"/>
        <v>0</v>
      </c>
      <c r="Z72" s="3">
        <f t="shared" si="34"/>
        <v>0</v>
      </c>
      <c r="AA72" s="4">
        <f t="shared" si="34"/>
        <v>8.5714285714285712</v>
      </c>
      <c r="AB72" s="16">
        <f t="shared" si="34"/>
        <v>0</v>
      </c>
      <c r="AI72" s="3">
        <f t="shared" ref="AI72:AJ72" si="49">$M52*AI31</f>
        <v>0</v>
      </c>
      <c r="AJ72" s="16">
        <f t="shared" si="49"/>
        <v>0</v>
      </c>
    </row>
    <row r="73" spans="17:36">
      <c r="Q73" s="3">
        <f t="shared" si="33"/>
        <v>0</v>
      </c>
      <c r="R73" s="4">
        <f t="shared" si="33"/>
        <v>8.7578479539931937</v>
      </c>
      <c r="S73" s="16">
        <f t="shared" si="33"/>
        <v>0</v>
      </c>
      <c r="Z73" s="3">
        <f t="shared" si="34"/>
        <v>0</v>
      </c>
      <c r="AA73" s="4">
        <f t="shared" si="34"/>
        <v>0</v>
      </c>
      <c r="AB73" s="16">
        <f t="shared" si="34"/>
        <v>0</v>
      </c>
      <c r="AI73" s="3">
        <f t="shared" ref="AI73:AJ73" si="50">$M53*AI32</f>
        <v>0</v>
      </c>
      <c r="AJ73" s="16">
        <f t="shared" si="50"/>
        <v>0</v>
      </c>
    </row>
    <row r="74" spans="17:36">
      <c r="Q74" s="5">
        <f t="shared" ref="Q74:S74" si="51">$M54*Q33</f>
        <v>0</v>
      </c>
      <c r="R74" s="6">
        <f t="shared" si="51"/>
        <v>0</v>
      </c>
      <c r="S74" s="17">
        <f t="shared" si="51"/>
        <v>0</v>
      </c>
      <c r="Z74" s="5">
        <f t="shared" ref="Z74:AB74" si="52">$M54*Z33</f>
        <v>0</v>
      </c>
      <c r="AA74" s="6">
        <f t="shared" si="52"/>
        <v>0</v>
      </c>
      <c r="AB74" s="17">
        <f t="shared" si="52"/>
        <v>0</v>
      </c>
      <c r="AI74" s="5">
        <f t="shared" ref="AI74:AJ74" si="53">$M54*AI33</f>
        <v>0</v>
      </c>
      <c r="AJ74" s="17">
        <f t="shared" si="53"/>
        <v>0</v>
      </c>
    </row>
  </sheetData>
  <mergeCells count="7">
    <mergeCell ref="H8:I8"/>
    <mergeCell ref="U6:W6"/>
    <mergeCell ref="AD6:AF6"/>
    <mergeCell ref="AL6:AM6"/>
    <mergeCell ref="G2:I2"/>
    <mergeCell ref="H4:I4"/>
    <mergeCell ref="H6:I6"/>
  </mergeCells>
  <conditionalFormatting sqref="O37:O54">
    <cfRule type="iconSet" priority="1">
      <iconSet iconSet="4RedToBlack">
        <cfvo type="percent" val="0"/>
        <cfvo type="percent" val="25"/>
        <cfvo type="percent" val="50"/>
        <cfvo type="percent" val="75"/>
      </iconSet>
    </cfRule>
    <cfRule type="cellIs" dxfId="1" priority="2" operator="greaterThan">
      <formula>"C"</formula>
    </cfRule>
    <cfRule type="cellIs" dxfId="0" priority="3" operator="greaterThan">
      <formula>"C"</formula>
    </cfRule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N37:N54">
    <cfRule type="dataBar" priority="4">
      <dataBar>
        <cfvo type="min" val="0"/>
        <cfvo type="max" val="0"/>
        <color rgb="FFFF555A"/>
      </dataBar>
    </cfRule>
  </conditionalFormatting>
  <pageMargins left="0.7" right="0.7" top="0.75" bottom="0.75" header="0.3" footer="0.3"/>
  <pageSetup orientation="portrait" horizontalDpi="0" verticalDpi="0" r:id="rId1"/>
  <drawing r:id="rId2"/>
  <legacyDrawing r:id="rId3"/>
  <oleObjects>
    <oleObject progId="Equation.3" shapeId="1042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dimension ref="C2:CV54"/>
  <sheetViews>
    <sheetView tabSelected="1" topLeftCell="A19" workbookViewId="0">
      <selection activeCell="S27" sqref="S27"/>
    </sheetView>
  </sheetViews>
  <sheetFormatPr defaultRowHeight="15"/>
  <cols>
    <col min="3" max="3" width="17.7109375" customWidth="1"/>
  </cols>
  <sheetData>
    <row r="2" spans="3:5">
      <c r="C2" s="10" t="s">
        <v>43</v>
      </c>
    </row>
    <row r="3" spans="3:5">
      <c r="C3" t="s">
        <v>44</v>
      </c>
      <c r="D3" t="s">
        <v>45</v>
      </c>
    </row>
    <row r="4" spans="3:5">
      <c r="C4" t="s">
        <v>46</v>
      </c>
      <c r="D4" t="s">
        <v>47</v>
      </c>
    </row>
    <row r="5" spans="3:5">
      <c r="C5" t="s">
        <v>48</v>
      </c>
      <c r="D5" t="s">
        <v>49</v>
      </c>
    </row>
    <row r="6" spans="3:5">
      <c r="C6" t="s">
        <v>50</v>
      </c>
      <c r="D6" t="s">
        <v>51</v>
      </c>
    </row>
    <row r="7" spans="3:5">
      <c r="C7" t="s">
        <v>52</v>
      </c>
      <c r="D7" t="s">
        <v>53</v>
      </c>
    </row>
    <row r="10" spans="3:5" ht="15" customHeight="1">
      <c r="C10" s="335" t="s">
        <v>54</v>
      </c>
      <c r="D10" s="335"/>
      <c r="E10" s="335"/>
    </row>
    <row r="11" spans="3:5">
      <c r="C11" s="19"/>
    </row>
    <row r="12" spans="3:5">
      <c r="C12" t="s">
        <v>55</v>
      </c>
    </row>
    <row r="13" spans="3:5">
      <c r="C13" s="101" t="s">
        <v>406</v>
      </c>
    </row>
    <row r="14" spans="3:5">
      <c r="C14" t="s">
        <v>181</v>
      </c>
    </row>
    <row r="15" spans="3:5">
      <c r="C15" t="s">
        <v>465</v>
      </c>
    </row>
    <row r="16" spans="3:5">
      <c r="C16" t="s">
        <v>466</v>
      </c>
    </row>
    <row r="25" spans="3:21">
      <c r="P25" t="s">
        <v>467</v>
      </c>
      <c r="Q25" t="s">
        <v>468</v>
      </c>
      <c r="R25" t="s">
        <v>469</v>
      </c>
      <c r="S25" t="s">
        <v>470</v>
      </c>
      <c r="T25" t="s">
        <v>471</v>
      </c>
      <c r="U25" t="s">
        <v>472</v>
      </c>
    </row>
    <row r="26" spans="3:21">
      <c r="P26">
        <v>0.02</v>
      </c>
      <c r="Q26">
        <v>0.04</v>
      </c>
      <c r="R26">
        <v>7.0000000000000007E-2</v>
      </c>
      <c r="S26">
        <v>6.8000000000000005E-2</v>
      </c>
      <c r="T26">
        <v>7.0000000000000007E-2</v>
      </c>
      <c r="U26">
        <v>0.06</v>
      </c>
    </row>
    <row r="32" spans="3:21">
      <c r="C32" t="s">
        <v>193</v>
      </c>
      <c r="D32" t="s">
        <v>194</v>
      </c>
    </row>
    <row r="33" spans="3:100">
      <c r="D33" s="101" t="s">
        <v>195</v>
      </c>
    </row>
    <row r="35" spans="3:100">
      <c r="J35" s="102" t="s">
        <v>196</v>
      </c>
      <c r="L35" t="s">
        <v>302</v>
      </c>
    </row>
    <row r="36" spans="3:100">
      <c r="J36" s="104" t="s">
        <v>294</v>
      </c>
      <c r="L36" s="97">
        <f>SUM(L45:O45)</f>
        <v>0.264984</v>
      </c>
      <c r="M36" s="97">
        <f>(L36+L37)/2</f>
        <v>0.13546749999999999</v>
      </c>
    </row>
    <row r="37" spans="3:100">
      <c r="J37" s="104" t="s">
        <v>293</v>
      </c>
      <c r="L37" s="97">
        <f>SUM(L46:O46)</f>
        <v>5.9510000000000006E-3</v>
      </c>
    </row>
    <row r="38" spans="3:100">
      <c r="J38" t="s">
        <v>295</v>
      </c>
      <c r="L38" s="97">
        <f t="shared" ref="L38:L42" si="0">SUM(L47:O47)</f>
        <v>2.1437000000000001E-2</v>
      </c>
      <c r="M38" s="97">
        <f>(L38+L39)/2</f>
        <v>5.5001999999999995E-2</v>
      </c>
      <c r="P38" t="s">
        <v>455</v>
      </c>
    </row>
    <row r="39" spans="3:100">
      <c r="J39" t="s">
        <v>296</v>
      </c>
      <c r="L39" s="97">
        <f t="shared" si="0"/>
        <v>8.8566999999999993E-2</v>
      </c>
    </row>
    <row r="40" spans="3:100">
      <c r="J40" t="s">
        <v>297</v>
      </c>
      <c r="L40" s="97">
        <f t="shared" si="0"/>
        <v>3.2163999999999998E-2</v>
      </c>
      <c r="M40" s="97">
        <f>L40+L41</f>
        <v>6.4327999999999996E-2</v>
      </c>
    </row>
    <row r="41" spans="3:100">
      <c r="J41" t="s">
        <v>298</v>
      </c>
      <c r="L41" s="97">
        <f t="shared" si="0"/>
        <v>3.2163999999999998E-2</v>
      </c>
    </row>
    <row r="42" spans="3:100">
      <c r="J42" t="s">
        <v>299</v>
      </c>
      <c r="L42" s="97">
        <f t="shared" si="0"/>
        <v>2.8429999999999997E-2</v>
      </c>
    </row>
    <row r="43" spans="3:100" ht="15.75" thickBot="1"/>
    <row r="44" spans="3:100">
      <c r="C44" s="102" t="s">
        <v>196</v>
      </c>
      <c r="D44" s="103" t="s">
        <v>197</v>
      </c>
      <c r="E44" s="103" t="s">
        <v>198</v>
      </c>
      <c r="F44" s="103" t="s">
        <v>199</v>
      </c>
      <c r="G44" s="103" t="s">
        <v>200</v>
      </c>
      <c r="H44" s="103" t="s">
        <v>201</v>
      </c>
      <c r="I44" s="103" t="s">
        <v>202</v>
      </c>
      <c r="J44" s="103" t="s">
        <v>203</v>
      </c>
      <c r="K44" s="103" t="s">
        <v>204</v>
      </c>
      <c r="L44" s="115" t="s">
        <v>205</v>
      </c>
      <c r="M44" s="116" t="s">
        <v>206</v>
      </c>
      <c r="N44" s="116" t="s">
        <v>207</v>
      </c>
      <c r="O44" s="117" t="s">
        <v>208</v>
      </c>
      <c r="P44" s="103" t="s">
        <v>209</v>
      </c>
      <c r="Q44" s="103" t="s">
        <v>210</v>
      </c>
      <c r="R44" s="103" t="s">
        <v>211</v>
      </c>
      <c r="S44" s="103" t="s">
        <v>212</v>
      </c>
      <c r="T44" s="103" t="s">
        <v>213</v>
      </c>
      <c r="U44" s="103" t="s">
        <v>214</v>
      </c>
      <c r="V44" s="103" t="s">
        <v>215</v>
      </c>
      <c r="W44" s="103" t="s">
        <v>216</v>
      </c>
      <c r="X44" s="103" t="s">
        <v>217</v>
      </c>
      <c r="Y44" s="103" t="s">
        <v>218</v>
      </c>
      <c r="Z44" s="103" t="s">
        <v>219</v>
      </c>
      <c r="AA44" s="103" t="s">
        <v>220</v>
      </c>
      <c r="AB44" s="103" t="s">
        <v>221</v>
      </c>
      <c r="AC44" s="103" t="s">
        <v>222</v>
      </c>
      <c r="AD44" s="103" t="s">
        <v>223</v>
      </c>
      <c r="AE44" s="103" t="s">
        <v>224</v>
      </c>
      <c r="AF44" s="103" t="s">
        <v>225</v>
      </c>
      <c r="AG44" s="103" t="s">
        <v>226</v>
      </c>
      <c r="AH44" s="103" t="s">
        <v>227</v>
      </c>
      <c r="AI44" s="103" t="s">
        <v>228</v>
      </c>
      <c r="AJ44" s="103" t="s">
        <v>229</v>
      </c>
      <c r="AK44" s="103" t="s">
        <v>230</v>
      </c>
      <c r="AL44" s="103" t="s">
        <v>231</v>
      </c>
      <c r="AM44" s="103" t="s">
        <v>232</v>
      </c>
      <c r="AN44" s="103" t="s">
        <v>233</v>
      </c>
      <c r="AO44" s="103" t="s">
        <v>234</v>
      </c>
      <c r="AP44" s="103" t="s">
        <v>235</v>
      </c>
      <c r="AQ44" s="103" t="s">
        <v>236</v>
      </c>
      <c r="AR44" s="103" t="s">
        <v>237</v>
      </c>
      <c r="AS44" s="103" t="s">
        <v>238</v>
      </c>
      <c r="AT44" s="103" t="s">
        <v>239</v>
      </c>
      <c r="AU44" s="103" t="s">
        <v>240</v>
      </c>
      <c r="AV44" s="103" t="s">
        <v>241</v>
      </c>
      <c r="AW44" s="103" t="s">
        <v>242</v>
      </c>
      <c r="AX44" s="103" t="s">
        <v>243</v>
      </c>
      <c r="AY44" s="103" t="s">
        <v>244</v>
      </c>
      <c r="AZ44" s="103" t="s">
        <v>245</v>
      </c>
      <c r="BA44" s="103" t="s">
        <v>246</v>
      </c>
      <c r="BB44" s="103" t="s">
        <v>247</v>
      </c>
      <c r="BC44" s="103" t="s">
        <v>248</v>
      </c>
      <c r="BD44" s="103" t="s">
        <v>249</v>
      </c>
      <c r="BE44" s="103" t="s">
        <v>250</v>
      </c>
      <c r="BF44" s="103" t="s">
        <v>251</v>
      </c>
      <c r="BG44" s="103" t="s">
        <v>252</v>
      </c>
      <c r="BH44" s="103" t="s">
        <v>253</v>
      </c>
      <c r="BI44" s="103" t="s">
        <v>254</v>
      </c>
      <c r="BJ44" s="103" t="s">
        <v>255</v>
      </c>
      <c r="BK44" s="103" t="s">
        <v>256</v>
      </c>
      <c r="BL44" s="103" t="s">
        <v>257</v>
      </c>
      <c r="BM44" s="103" t="s">
        <v>258</v>
      </c>
      <c r="BN44" s="103" t="s">
        <v>259</v>
      </c>
      <c r="BO44" s="103" t="s">
        <v>260</v>
      </c>
      <c r="BP44" s="103" t="s">
        <v>261</v>
      </c>
      <c r="BQ44" s="103" t="s">
        <v>262</v>
      </c>
      <c r="BR44" s="103" t="s">
        <v>263</v>
      </c>
      <c r="BS44" s="103" t="s">
        <v>264</v>
      </c>
      <c r="BT44" s="103" t="s">
        <v>265</v>
      </c>
      <c r="BU44" s="103" t="s">
        <v>266</v>
      </c>
      <c r="BV44" s="103" t="s">
        <v>267</v>
      </c>
      <c r="BW44" s="103" t="s">
        <v>268</v>
      </c>
      <c r="BX44" s="103" t="s">
        <v>269</v>
      </c>
      <c r="BY44" s="103" t="s">
        <v>270</v>
      </c>
      <c r="BZ44" s="103" t="s">
        <v>271</v>
      </c>
      <c r="CA44" s="103" t="s">
        <v>272</v>
      </c>
      <c r="CB44" s="103" t="s">
        <v>273</v>
      </c>
      <c r="CC44" s="103" t="s">
        <v>274</v>
      </c>
      <c r="CD44" s="103" t="s">
        <v>275</v>
      </c>
      <c r="CE44" s="103" t="s">
        <v>276</v>
      </c>
      <c r="CF44" s="103" t="s">
        <v>277</v>
      </c>
      <c r="CG44" s="103" t="s">
        <v>278</v>
      </c>
      <c r="CH44" s="103" t="s">
        <v>279</v>
      </c>
      <c r="CI44" s="103" t="s">
        <v>280</v>
      </c>
      <c r="CJ44" s="103" t="s">
        <v>281</v>
      </c>
      <c r="CK44" s="103" t="s">
        <v>282</v>
      </c>
      <c r="CL44" s="103" t="s">
        <v>283</v>
      </c>
      <c r="CM44" s="103" t="s">
        <v>284</v>
      </c>
      <c r="CN44" s="103" t="s">
        <v>285</v>
      </c>
      <c r="CO44" s="103" t="s">
        <v>286</v>
      </c>
      <c r="CP44" s="103" t="s">
        <v>287</v>
      </c>
      <c r="CQ44" s="103" t="s">
        <v>288</v>
      </c>
      <c r="CR44" s="103" t="s">
        <v>289</v>
      </c>
      <c r="CS44" s="103" t="s">
        <v>290</v>
      </c>
      <c r="CT44" s="103" t="s">
        <v>291</v>
      </c>
      <c r="CU44" s="103" t="s">
        <v>292</v>
      </c>
      <c r="CV44" s="103" t="s">
        <v>32</v>
      </c>
    </row>
    <row r="45" spans="3:100">
      <c r="C45" s="104" t="s">
        <v>294</v>
      </c>
      <c r="D45" s="97">
        <v>7.3299999999999997E-3</v>
      </c>
      <c r="E45" s="97">
        <v>1.1439E-2</v>
      </c>
      <c r="F45" s="97">
        <v>1.6005999999999999E-2</v>
      </c>
      <c r="G45" s="97">
        <v>2.1058E-2</v>
      </c>
      <c r="H45" s="97">
        <v>2.7439999999999999E-2</v>
      </c>
      <c r="I45" s="97">
        <v>3.5902999999999997E-2</v>
      </c>
      <c r="J45" s="97">
        <v>4.5670000000000002E-2</v>
      </c>
      <c r="K45" s="97">
        <v>5.5485E-2</v>
      </c>
      <c r="L45" s="118">
        <v>6.2331999999999999E-2</v>
      </c>
      <c r="M45" s="119">
        <v>6.5525E-2</v>
      </c>
      <c r="N45" s="119">
        <v>6.7900000000000002E-2</v>
      </c>
      <c r="O45" s="120">
        <v>6.9226999999999997E-2</v>
      </c>
      <c r="P45" s="97">
        <v>6.6223000000000004E-2</v>
      </c>
      <c r="Q45" s="97">
        <v>5.7935E-2</v>
      </c>
      <c r="R45" s="97">
        <v>4.9456E-2</v>
      </c>
      <c r="S45" s="97">
        <v>4.2396000000000003E-2</v>
      </c>
      <c r="T45" s="97">
        <v>3.4874000000000002E-2</v>
      </c>
      <c r="U45" s="97">
        <v>2.6468999999999999E-2</v>
      </c>
      <c r="V45" s="97">
        <v>1.8842999999999999E-2</v>
      </c>
      <c r="W45" s="97">
        <v>1.2977000000000001E-2</v>
      </c>
      <c r="X45" s="97">
        <v>9.1669999999999998E-3</v>
      </c>
      <c r="Y45" s="97">
        <v>7.2870000000000001E-3</v>
      </c>
      <c r="Z45" s="97">
        <v>6.5919999999999998E-3</v>
      </c>
      <c r="AA45" s="97">
        <v>6.3740000000000003E-3</v>
      </c>
      <c r="AB45" s="97">
        <v>5.6829999999999997E-3</v>
      </c>
      <c r="AC45" s="97">
        <v>4.5019999999999999E-3</v>
      </c>
      <c r="AD45" s="97">
        <v>4.1180000000000001E-3</v>
      </c>
      <c r="AE45" s="97">
        <v>4.9639999999999997E-3</v>
      </c>
      <c r="AF45" s="97">
        <v>6.0400000000000002E-3</v>
      </c>
      <c r="AG45" s="97">
        <v>6.9049999999999997E-3</v>
      </c>
      <c r="AH45" s="97">
        <v>7.3109999999999998E-3</v>
      </c>
      <c r="AI45" s="97">
        <v>7.3600000000000002E-3</v>
      </c>
      <c r="AJ45" s="97">
        <v>6.8719999999999996E-3</v>
      </c>
      <c r="AK45" s="97">
        <v>5.9199999999999999E-3</v>
      </c>
      <c r="AL45" s="97">
        <v>4.9750000000000003E-3</v>
      </c>
      <c r="AM45" s="97">
        <v>4.372E-3</v>
      </c>
      <c r="AN45" s="97">
        <v>4.3569999999999998E-3</v>
      </c>
      <c r="AO45" s="97">
        <v>4.7619999999999997E-3</v>
      </c>
      <c r="AP45" s="97">
        <v>5.0619999999999997E-3</v>
      </c>
      <c r="AQ45" s="97">
        <v>4.9069999999999999E-3</v>
      </c>
      <c r="AR45" s="97">
        <v>4.6600000000000001E-3</v>
      </c>
      <c r="AS45" s="97">
        <v>4.2919999999999998E-3</v>
      </c>
      <c r="AT45" s="97">
        <v>3.852E-3</v>
      </c>
      <c r="AU45" s="97">
        <v>3.3040000000000001E-3</v>
      </c>
      <c r="AV45" s="97">
        <v>3.1519999999999999E-3</v>
      </c>
      <c r="AW45" s="97">
        <v>3.4770000000000001E-3</v>
      </c>
      <c r="AX45" s="97">
        <v>3.5309999999999999E-3</v>
      </c>
      <c r="AY45" s="97">
        <v>3.0980000000000001E-3</v>
      </c>
      <c r="AZ45" s="97">
        <v>2.6580000000000002E-3</v>
      </c>
      <c r="BA45" s="97">
        <v>2.4329999999999998E-3</v>
      </c>
      <c r="BB45" s="97">
        <v>2.3749999999999999E-3</v>
      </c>
      <c r="BC45" s="97">
        <v>2.3969999999999998E-3</v>
      </c>
      <c r="BD45" s="97">
        <v>2.1879999999999998E-3</v>
      </c>
      <c r="BE45" s="97">
        <v>1.7639999999999999E-3</v>
      </c>
      <c r="BF45" s="97">
        <v>1.534E-3</v>
      </c>
      <c r="BG45" s="97">
        <v>1.585E-3</v>
      </c>
      <c r="BH45" s="97">
        <v>1.5009999999999999E-3</v>
      </c>
      <c r="BI45" s="97">
        <v>1.2019999999999999E-3</v>
      </c>
      <c r="BJ45" s="97">
        <v>1.1199999999999999E-3</v>
      </c>
      <c r="BK45" s="97">
        <v>1.3450000000000001E-3</v>
      </c>
      <c r="BL45" s="97">
        <v>1.459E-3</v>
      </c>
      <c r="BM45" s="97">
        <v>1.299E-3</v>
      </c>
      <c r="BN45" s="97">
        <v>1.132E-3</v>
      </c>
      <c r="BO45" s="97">
        <v>1.047E-3</v>
      </c>
      <c r="BP45" s="97">
        <v>1.0280000000000001E-3</v>
      </c>
      <c r="BQ45" s="97">
        <v>1.0740000000000001E-3</v>
      </c>
      <c r="BR45" s="97">
        <v>1.2650000000000001E-3</v>
      </c>
      <c r="BS45" s="97">
        <v>1.5920000000000001E-3</v>
      </c>
      <c r="BT45" s="97">
        <v>1.867E-3</v>
      </c>
      <c r="BU45" s="97">
        <v>1.9580000000000001E-3</v>
      </c>
      <c r="BV45" s="97">
        <v>1.774E-3</v>
      </c>
      <c r="BW45" s="97">
        <v>1.32E-3</v>
      </c>
      <c r="BX45" s="97">
        <v>8.9300000000000002E-4</v>
      </c>
      <c r="BY45" s="97">
        <v>5.8100000000000003E-4</v>
      </c>
      <c r="BZ45" s="97">
        <v>2.92E-4</v>
      </c>
      <c r="CA45" s="97">
        <v>1.1900000000000001E-4</v>
      </c>
      <c r="CB45" s="97">
        <v>2.5000000000000001E-5</v>
      </c>
      <c r="CC45" s="97">
        <v>9.0000000000000006E-5</v>
      </c>
      <c r="CD45" s="97">
        <v>1.3899999999999999E-4</v>
      </c>
      <c r="CE45" s="97">
        <v>9.7E-5</v>
      </c>
      <c r="CF45" s="97">
        <v>7.6000000000000004E-5</v>
      </c>
      <c r="CG45" s="97">
        <v>3.4E-5</v>
      </c>
      <c r="CH45" s="97">
        <v>5.3999999999999998E-5</v>
      </c>
      <c r="CI45" s="97">
        <v>1.26E-4</v>
      </c>
      <c r="CJ45" s="97">
        <v>2.5900000000000001E-4</v>
      </c>
      <c r="CK45" s="97">
        <v>4.0700000000000003E-4</v>
      </c>
      <c r="CL45" s="97">
        <v>5.0000000000000001E-4</v>
      </c>
      <c r="CM45" s="97">
        <v>5.44E-4</v>
      </c>
      <c r="CN45" s="97">
        <v>6.3000000000000003E-4</v>
      </c>
      <c r="CO45" s="97">
        <v>7.7099999999999998E-4</v>
      </c>
      <c r="CP45" s="97">
        <v>9.1E-4</v>
      </c>
      <c r="CQ45" s="97">
        <v>1.083E-3</v>
      </c>
      <c r="CR45" s="97">
        <v>1.5449999999999999E-3</v>
      </c>
      <c r="CS45" s="97">
        <v>2.3800000000000002E-3</v>
      </c>
      <c r="CT45" s="97">
        <v>3.3660000000000001E-3</v>
      </c>
      <c r="CU45" s="97">
        <v>4.7739999999999996E-3</v>
      </c>
      <c r="CV45" s="134">
        <f>SUM(D45:CU45)</f>
        <v>0.999996</v>
      </c>
    </row>
    <row r="46" spans="3:100">
      <c r="C46" s="104" t="s">
        <v>293</v>
      </c>
      <c r="D46" s="97">
        <v>1E-4</v>
      </c>
      <c r="E46" s="97">
        <v>4.8999999999999998E-5</v>
      </c>
      <c r="F46" s="97">
        <v>9.5000000000000005E-5</v>
      </c>
      <c r="G46" s="97">
        <v>3.21E-4</v>
      </c>
      <c r="H46" s="97">
        <v>6.6100000000000002E-4</v>
      </c>
      <c r="I46" s="97">
        <v>8.0800000000000002E-4</v>
      </c>
      <c r="J46" s="97">
        <v>9.1E-4</v>
      </c>
      <c r="K46" s="97">
        <v>1.2719999999999999E-3</v>
      </c>
      <c r="L46" s="118">
        <v>1.7160000000000001E-3</v>
      </c>
      <c r="M46" s="119">
        <v>1.7240000000000001E-3</v>
      </c>
      <c r="N46" s="119">
        <v>1.369E-3</v>
      </c>
      <c r="O46" s="120">
        <v>1.142E-3</v>
      </c>
      <c r="P46" s="97">
        <v>1.178E-3</v>
      </c>
      <c r="Q46" s="97">
        <v>1.4809999999999999E-3</v>
      </c>
      <c r="R46" s="97">
        <v>1.8079999999999999E-3</v>
      </c>
      <c r="S46" s="97">
        <v>1.7080000000000001E-3</v>
      </c>
      <c r="T46" s="97">
        <v>1.2960000000000001E-3</v>
      </c>
      <c r="U46" s="97">
        <v>1.0430000000000001E-3</v>
      </c>
      <c r="V46" s="97">
        <v>9.7099999999999997E-4</v>
      </c>
      <c r="W46" s="97">
        <v>9.2599999999999996E-4</v>
      </c>
      <c r="X46" s="97">
        <v>9.3300000000000002E-4</v>
      </c>
      <c r="Y46" s="97">
        <v>1.242E-3</v>
      </c>
      <c r="Z46" s="97">
        <v>1.8439999999999999E-3</v>
      </c>
      <c r="AA46" s="97">
        <v>2.6830000000000001E-3</v>
      </c>
      <c r="AB46" s="97">
        <v>3.5260000000000001E-3</v>
      </c>
      <c r="AC46" s="97">
        <v>4.0159999999999996E-3</v>
      </c>
      <c r="AD46" s="97">
        <v>4.5059999999999996E-3</v>
      </c>
      <c r="AE46" s="97">
        <v>5.9090000000000002E-3</v>
      </c>
      <c r="AF46" s="97">
        <v>7.6530000000000001E-3</v>
      </c>
      <c r="AG46" s="97">
        <v>7.9889999999999996E-3</v>
      </c>
      <c r="AH46" s="97">
        <v>7.0359999999999997E-3</v>
      </c>
      <c r="AI46" s="97">
        <v>5.8040000000000001E-3</v>
      </c>
      <c r="AJ46" s="97">
        <v>4.7559999999999998E-3</v>
      </c>
      <c r="AK46" s="97">
        <v>4.0569999999999998E-3</v>
      </c>
      <c r="AL46" s="97">
        <v>4.0020000000000003E-3</v>
      </c>
      <c r="AM46" s="97">
        <v>5.365E-3</v>
      </c>
      <c r="AN46" s="97">
        <v>7.4869999999999997E-3</v>
      </c>
      <c r="AO46" s="97">
        <v>8.6079999999999993E-3</v>
      </c>
      <c r="AP46" s="97">
        <v>9.6659999999999992E-3</v>
      </c>
      <c r="AQ46" s="97">
        <v>1.3232000000000001E-2</v>
      </c>
      <c r="AR46" s="97">
        <v>1.8867999999999999E-2</v>
      </c>
      <c r="AS46" s="97">
        <v>2.4417999999999999E-2</v>
      </c>
      <c r="AT46" s="97">
        <v>2.9815999999999999E-2</v>
      </c>
      <c r="AU46" s="97">
        <v>3.6296000000000002E-2</v>
      </c>
      <c r="AV46" s="97">
        <v>4.3503E-2</v>
      </c>
      <c r="AW46" s="97">
        <v>4.9168000000000003E-2</v>
      </c>
      <c r="AX46" s="97">
        <v>5.3799E-2</v>
      </c>
      <c r="AY46" s="97">
        <v>5.9047000000000002E-2</v>
      </c>
      <c r="AZ46" s="97">
        <v>6.2940999999999997E-2</v>
      </c>
      <c r="BA46" s="97">
        <v>5.9437999999999998E-2</v>
      </c>
      <c r="BB46" s="97">
        <v>5.2304000000000003E-2</v>
      </c>
      <c r="BC46" s="97">
        <v>5.1208999999999998E-2</v>
      </c>
      <c r="BD46" s="97">
        <v>5.2673999999999999E-2</v>
      </c>
      <c r="BE46" s="97">
        <v>4.3309E-2</v>
      </c>
      <c r="BF46" s="97">
        <v>2.6981999999999999E-2</v>
      </c>
      <c r="BG46" s="97">
        <v>1.9040999999999999E-2</v>
      </c>
      <c r="BH46" s="97">
        <v>1.8745999999999999E-2</v>
      </c>
      <c r="BI46" s="97">
        <v>1.6147999999999999E-2</v>
      </c>
      <c r="BJ46" s="97">
        <v>1.0976E-2</v>
      </c>
      <c r="BK46" s="97">
        <v>9.5829999999999995E-3</v>
      </c>
      <c r="BL46" s="97">
        <v>1.1195E-2</v>
      </c>
      <c r="BM46" s="97">
        <v>1.0345E-2</v>
      </c>
      <c r="BN46" s="97">
        <v>7.698E-3</v>
      </c>
      <c r="BO46" s="97">
        <v>8.1890000000000001E-3</v>
      </c>
      <c r="BP46" s="97">
        <v>1.0664E-2</v>
      </c>
      <c r="BQ46" s="97">
        <v>1.0207000000000001E-2</v>
      </c>
      <c r="BR46" s="97">
        <v>7.3889999999999997E-3</v>
      </c>
      <c r="BS46" s="97">
        <v>6.5760000000000002E-3</v>
      </c>
      <c r="BT46" s="97">
        <v>7.3870000000000003E-3</v>
      </c>
      <c r="BU46" s="97">
        <v>6.3169999999999997E-3</v>
      </c>
      <c r="BV46" s="97">
        <v>3.9410000000000001E-3</v>
      </c>
      <c r="BW46" s="97">
        <v>3.6549999999999998E-3</v>
      </c>
      <c r="BX46" s="97">
        <v>4.8809999999999999E-3</v>
      </c>
      <c r="BY46" s="97">
        <v>4.4479999999999997E-3</v>
      </c>
      <c r="BZ46" s="97">
        <v>2.4610000000000001E-3</v>
      </c>
      <c r="CA46" s="97">
        <v>1.119E-3</v>
      </c>
      <c r="CB46" s="97">
        <v>1.279E-3</v>
      </c>
      <c r="CC46" s="97">
        <v>1.598E-3</v>
      </c>
      <c r="CD46" s="97">
        <v>1.702E-3</v>
      </c>
      <c r="CE46" s="97">
        <v>1.7309999999999999E-3</v>
      </c>
      <c r="CF46" s="97">
        <v>1.8029999999999999E-3</v>
      </c>
      <c r="CG46" s="97">
        <v>1.9659999999999999E-3</v>
      </c>
      <c r="CH46" s="97">
        <v>2.1120000000000002E-3</v>
      </c>
      <c r="CI46" s="97">
        <v>2.0560000000000001E-3</v>
      </c>
      <c r="CJ46" s="97">
        <v>1.833E-3</v>
      </c>
      <c r="CK46" s="97">
        <v>1.5460000000000001E-3</v>
      </c>
      <c r="CL46" s="97">
        <v>1.268E-3</v>
      </c>
      <c r="CM46" s="97">
        <v>1.0480000000000001E-3</v>
      </c>
      <c r="CN46" s="97">
        <v>9.0600000000000001E-4</v>
      </c>
      <c r="CO46" s="97">
        <v>8.5599999999999999E-4</v>
      </c>
      <c r="CP46" s="97">
        <v>8.2600000000000002E-4</v>
      </c>
      <c r="CQ46" s="97">
        <v>6.78E-4</v>
      </c>
      <c r="CR46" s="97">
        <v>4.28E-4</v>
      </c>
      <c r="CS46" s="97">
        <v>2.72E-4</v>
      </c>
      <c r="CT46" s="97">
        <v>2.5300000000000002E-4</v>
      </c>
      <c r="CU46" s="97">
        <v>2.0599999999999999E-4</v>
      </c>
      <c r="CV46" s="134">
        <f>SUM(D46:CU46)</f>
        <v>0.99999700000000002</v>
      </c>
    </row>
    <row r="47" spans="3:100">
      <c r="C47" t="s">
        <v>295</v>
      </c>
      <c r="D47" s="97">
        <v>6.9499999999999998E-4</v>
      </c>
      <c r="E47" s="97">
        <v>8.6700000000000004E-4</v>
      </c>
      <c r="F47" s="97">
        <v>1.196E-3</v>
      </c>
      <c r="G47" s="97">
        <v>1.5349999999999999E-3</v>
      </c>
      <c r="H47" s="97">
        <v>2.0539999999999998E-3</v>
      </c>
      <c r="I47" s="97">
        <v>2.5360000000000001E-3</v>
      </c>
      <c r="J47" s="97">
        <v>3.225E-3</v>
      </c>
      <c r="K47" s="97">
        <v>3.7950000000000002E-3</v>
      </c>
      <c r="L47" s="118">
        <v>4.5580000000000004E-3</v>
      </c>
      <c r="M47" s="119">
        <v>5.0410000000000003E-3</v>
      </c>
      <c r="N47" s="119">
        <v>5.7140000000000003E-3</v>
      </c>
      <c r="O47" s="120">
        <v>6.1240000000000001E-3</v>
      </c>
      <c r="P47" s="97">
        <v>6.7229999999999998E-3</v>
      </c>
      <c r="Q47" s="97">
        <v>7.1599999999999997E-3</v>
      </c>
      <c r="R47" s="97">
        <v>7.6860000000000001E-3</v>
      </c>
      <c r="S47" s="97">
        <v>8.0000000000000002E-3</v>
      </c>
      <c r="T47" s="97">
        <v>8.3029999999999996E-3</v>
      </c>
      <c r="U47" s="97">
        <v>8.3440000000000007E-3</v>
      </c>
      <c r="V47" s="97">
        <v>8.4349999999999998E-3</v>
      </c>
      <c r="W47" s="97">
        <v>8.4880000000000008E-3</v>
      </c>
      <c r="X47" s="97">
        <v>8.5839999999999996E-3</v>
      </c>
      <c r="Y47" s="97">
        <v>8.7410000000000005E-3</v>
      </c>
      <c r="Z47" s="97">
        <v>9.0360000000000006E-3</v>
      </c>
      <c r="AA47" s="97">
        <v>9.3690000000000006E-3</v>
      </c>
      <c r="AB47" s="97">
        <v>9.9019999999999993E-3</v>
      </c>
      <c r="AC47" s="97">
        <v>1.0305E-2</v>
      </c>
      <c r="AD47" s="97">
        <v>1.0767000000000001E-2</v>
      </c>
      <c r="AE47" s="97">
        <v>1.0989000000000001E-2</v>
      </c>
      <c r="AF47" s="97">
        <v>1.0938E-2</v>
      </c>
      <c r="AG47" s="97">
        <v>1.0977000000000001E-2</v>
      </c>
      <c r="AH47" s="97">
        <v>1.0999E-2</v>
      </c>
      <c r="AI47" s="97">
        <v>1.1179E-2</v>
      </c>
      <c r="AJ47" s="97">
        <v>1.1605000000000001E-2</v>
      </c>
      <c r="AK47" s="97">
        <v>1.1984E-2</v>
      </c>
      <c r="AL47" s="97">
        <v>1.2489999999999999E-2</v>
      </c>
      <c r="AM47" s="97">
        <v>1.2843E-2</v>
      </c>
      <c r="AN47" s="97">
        <v>1.3251000000000001E-2</v>
      </c>
      <c r="AO47" s="97">
        <v>1.3603000000000001E-2</v>
      </c>
      <c r="AP47" s="97">
        <v>1.4160000000000001E-2</v>
      </c>
      <c r="AQ47" s="97">
        <v>1.4782999999999999E-2</v>
      </c>
      <c r="AR47" s="97">
        <v>1.5821000000000002E-2</v>
      </c>
      <c r="AS47" s="97">
        <v>1.6768000000000002E-2</v>
      </c>
      <c r="AT47" s="97">
        <v>1.7985999999999999E-2</v>
      </c>
      <c r="AU47" s="97">
        <v>1.9030999999999999E-2</v>
      </c>
      <c r="AV47" s="97">
        <v>2.0315E-2</v>
      </c>
      <c r="AW47" s="97">
        <v>2.1086000000000001E-2</v>
      </c>
      <c r="AX47" s="97">
        <v>2.1838E-2</v>
      </c>
      <c r="AY47" s="97">
        <v>2.2186999999999998E-2</v>
      </c>
      <c r="AZ47" s="97">
        <v>2.2447000000000002E-2</v>
      </c>
      <c r="BA47" s="97">
        <v>2.2543000000000001E-2</v>
      </c>
      <c r="BB47" s="97">
        <v>2.257E-2</v>
      </c>
      <c r="BC47" s="97">
        <v>2.2601E-2</v>
      </c>
      <c r="BD47" s="97">
        <v>2.2533000000000001E-2</v>
      </c>
      <c r="BE47" s="97">
        <v>2.2416999999999999E-2</v>
      </c>
      <c r="BF47" s="97">
        <v>2.2134999999999998E-2</v>
      </c>
      <c r="BG47" s="97">
        <v>2.1826999999999999E-2</v>
      </c>
      <c r="BH47" s="97">
        <v>2.1108999999999999E-2</v>
      </c>
      <c r="BI47" s="97">
        <v>2.0648E-2</v>
      </c>
      <c r="BJ47" s="97">
        <v>1.9932999999999999E-2</v>
      </c>
      <c r="BK47" s="97">
        <v>1.9668000000000001E-2</v>
      </c>
      <c r="BL47" s="97">
        <v>1.9556E-2</v>
      </c>
      <c r="BM47" s="97">
        <v>1.9588999999999999E-2</v>
      </c>
      <c r="BN47" s="97">
        <v>1.9629000000000001E-2</v>
      </c>
      <c r="BO47" s="97">
        <v>1.9727999999999999E-2</v>
      </c>
      <c r="BP47" s="97">
        <v>1.9800000000000002E-2</v>
      </c>
      <c r="BQ47" s="97">
        <v>1.9488999999999999E-2</v>
      </c>
      <c r="BR47" s="97">
        <v>1.8790999999999999E-2</v>
      </c>
      <c r="BS47" s="97">
        <v>1.7853999999999998E-2</v>
      </c>
      <c r="BT47" s="97">
        <v>1.6271000000000001E-2</v>
      </c>
      <c r="BU47" s="97">
        <v>1.4659E-2</v>
      </c>
      <c r="BV47" s="97">
        <v>1.2347E-2</v>
      </c>
      <c r="BW47" s="97">
        <v>1.0437999999999999E-2</v>
      </c>
      <c r="BX47" s="97">
        <v>8.1340000000000006E-3</v>
      </c>
      <c r="BY47" s="97">
        <v>6.4770000000000001E-3</v>
      </c>
      <c r="BZ47" s="97">
        <v>4.7089999999999996E-3</v>
      </c>
      <c r="CA47" s="97">
        <v>4.0229999999999997E-3</v>
      </c>
      <c r="CB47" s="97">
        <v>1.5169999999999999E-3</v>
      </c>
      <c r="CC47" s="97">
        <v>2.0379999999999999E-3</v>
      </c>
      <c r="CD47" s="97">
        <v>1.918E-3</v>
      </c>
      <c r="CE47" s="97">
        <v>1.8469999999999999E-3</v>
      </c>
      <c r="CF47" s="97">
        <v>1.8259999999999999E-3</v>
      </c>
      <c r="CG47" s="97">
        <v>1.7780000000000001E-3</v>
      </c>
      <c r="CH47" s="97">
        <v>1.665E-3</v>
      </c>
      <c r="CI47" s="97">
        <v>1.5640000000000001E-3</v>
      </c>
      <c r="CJ47" s="97">
        <v>1.4270000000000001E-3</v>
      </c>
      <c r="CK47" s="97">
        <v>1.3370000000000001E-3</v>
      </c>
      <c r="CL47" s="97">
        <v>1.2489999999999999E-3</v>
      </c>
      <c r="CM47" s="97">
        <v>1.194E-3</v>
      </c>
      <c r="CN47" s="97">
        <v>1.14E-3</v>
      </c>
      <c r="CO47" s="97">
        <v>1.0820000000000001E-3</v>
      </c>
      <c r="CP47" s="97">
        <v>9.8700000000000003E-4</v>
      </c>
      <c r="CQ47" s="97">
        <v>8.9300000000000002E-4</v>
      </c>
      <c r="CR47" s="97">
        <v>7.54E-4</v>
      </c>
      <c r="CS47" s="97">
        <v>6.6500000000000001E-4</v>
      </c>
      <c r="CT47" s="97">
        <v>5.8600000000000004E-4</v>
      </c>
      <c r="CU47" s="97">
        <v>5.9299999999999999E-4</v>
      </c>
      <c r="CV47" s="134">
        <f t="shared" ref="CV47:CV51" si="1">SUM(D47:CU47)</f>
        <v>1.0000009999999999</v>
      </c>
    </row>
    <row r="48" spans="3:100">
      <c r="C48" t="s">
        <v>296</v>
      </c>
      <c r="D48" s="97">
        <v>2.2780000000000001E-3</v>
      </c>
      <c r="E48" s="97">
        <v>3.2230000000000002E-3</v>
      </c>
      <c r="F48" s="97">
        <v>4.7349999999999996E-3</v>
      </c>
      <c r="G48" s="97">
        <v>6.2370000000000004E-3</v>
      </c>
      <c r="H48" s="97">
        <v>8.4799999999999997E-3</v>
      </c>
      <c r="I48" s="97">
        <v>1.0564E-2</v>
      </c>
      <c r="J48" s="97">
        <v>1.3532000000000001E-2</v>
      </c>
      <c r="K48" s="97">
        <v>1.5951E-2</v>
      </c>
      <c r="L48" s="118">
        <v>1.908E-2</v>
      </c>
      <c r="M48" s="119">
        <v>2.1156999999999999E-2</v>
      </c>
      <c r="N48" s="119">
        <v>2.3446000000000002E-2</v>
      </c>
      <c r="O48" s="120">
        <v>2.4884E-2</v>
      </c>
      <c r="P48" s="97">
        <v>2.6121999999999999E-2</v>
      </c>
      <c r="Q48" s="97">
        <v>2.6849000000000001E-2</v>
      </c>
      <c r="R48" s="97">
        <v>2.7307999999999999E-2</v>
      </c>
      <c r="S48" s="97">
        <v>2.7220999999999999E-2</v>
      </c>
      <c r="T48" s="97">
        <v>2.6797999999999999E-2</v>
      </c>
      <c r="U48" s="97">
        <v>2.6159000000000002E-2</v>
      </c>
      <c r="V48" s="97">
        <v>2.5191999999999999E-2</v>
      </c>
      <c r="W48" s="97">
        <v>2.4409E-2</v>
      </c>
      <c r="X48" s="97">
        <v>2.3335000000000002E-2</v>
      </c>
      <c r="Y48" s="97">
        <v>2.2439000000000001E-2</v>
      </c>
      <c r="Z48" s="97">
        <v>2.1218999999999998E-2</v>
      </c>
      <c r="AA48" s="97">
        <v>2.0230999999999999E-2</v>
      </c>
      <c r="AB48" s="97">
        <v>1.8747E-2</v>
      </c>
      <c r="AC48" s="97">
        <v>1.7520999999999998E-2</v>
      </c>
      <c r="AD48" s="97">
        <v>1.5973999999999999E-2</v>
      </c>
      <c r="AE48" s="97">
        <v>1.4862E-2</v>
      </c>
      <c r="AF48" s="97">
        <v>1.3657000000000001E-2</v>
      </c>
      <c r="AG48" s="97">
        <v>1.2965000000000001E-2</v>
      </c>
      <c r="AH48" s="97">
        <v>1.2441000000000001E-2</v>
      </c>
      <c r="AI48" s="97">
        <v>1.2265E-2</v>
      </c>
      <c r="AJ48" s="97">
        <v>1.2383E-2</v>
      </c>
      <c r="AK48" s="97">
        <v>1.2458E-2</v>
      </c>
      <c r="AL48" s="97">
        <v>1.2737999999999999E-2</v>
      </c>
      <c r="AM48" s="97">
        <v>1.2822E-2</v>
      </c>
      <c r="AN48" s="97">
        <v>1.277E-2</v>
      </c>
      <c r="AO48" s="97">
        <v>1.2602E-2</v>
      </c>
      <c r="AP48" s="97">
        <v>1.2232E-2</v>
      </c>
      <c r="AQ48" s="97">
        <v>1.1998E-2</v>
      </c>
      <c r="AR48" s="97">
        <v>1.1771999999999999E-2</v>
      </c>
      <c r="AS48" s="97">
        <v>1.1624000000000001E-2</v>
      </c>
      <c r="AT48" s="97">
        <v>1.1691999999999999E-2</v>
      </c>
      <c r="AU48" s="97">
        <v>1.1690000000000001E-2</v>
      </c>
      <c r="AV48" s="97">
        <v>1.1894E-2</v>
      </c>
      <c r="AW48" s="97">
        <v>1.1941E-2</v>
      </c>
      <c r="AX48" s="97">
        <v>1.2081E-2</v>
      </c>
      <c r="AY48" s="97">
        <v>1.2137999999999999E-2</v>
      </c>
      <c r="AZ48" s="97">
        <v>1.2182E-2</v>
      </c>
      <c r="BA48" s="97">
        <v>1.2234999999999999E-2</v>
      </c>
      <c r="BB48" s="97">
        <v>1.2177E-2</v>
      </c>
      <c r="BC48" s="97">
        <v>1.2217E-2</v>
      </c>
      <c r="BD48" s="97">
        <v>1.2243E-2</v>
      </c>
      <c r="BE48" s="97">
        <v>1.2297000000000001E-2</v>
      </c>
      <c r="BF48" s="97">
        <v>1.2452E-2</v>
      </c>
      <c r="BG48" s="97">
        <v>1.2652E-2</v>
      </c>
      <c r="BH48" s="97">
        <v>1.3028E-2</v>
      </c>
      <c r="BI48" s="97">
        <v>1.3141E-2</v>
      </c>
      <c r="BJ48" s="97">
        <v>1.3233E-2</v>
      </c>
      <c r="BK48" s="97">
        <v>1.2900999999999999E-2</v>
      </c>
      <c r="BL48" s="97">
        <v>1.1878E-2</v>
      </c>
      <c r="BM48" s="97">
        <v>1.0886E-2</v>
      </c>
      <c r="BN48" s="97">
        <v>9.3410000000000003E-3</v>
      </c>
      <c r="BO48" s="97">
        <v>8.2039999999999995E-3</v>
      </c>
      <c r="BP48" s="97">
        <v>6.9290000000000003E-3</v>
      </c>
      <c r="BQ48" s="97">
        <v>6.025E-3</v>
      </c>
      <c r="BR48" s="97">
        <v>5.0689999999999997E-3</v>
      </c>
      <c r="BS48" s="97">
        <v>4.3769999999999998E-3</v>
      </c>
      <c r="BT48" s="97">
        <v>3.764E-3</v>
      </c>
      <c r="BU48" s="97">
        <v>3.3400000000000001E-3</v>
      </c>
      <c r="BV48" s="97">
        <v>2.9139999999999999E-3</v>
      </c>
      <c r="BW48" s="97">
        <v>2.5469999999999998E-3</v>
      </c>
      <c r="BX48" s="97">
        <v>2.0760000000000002E-3</v>
      </c>
      <c r="BY48" s="97">
        <v>1.604E-3</v>
      </c>
      <c r="BZ48" s="97">
        <v>1.1039999999999999E-3</v>
      </c>
      <c r="CA48" s="97">
        <v>9.0899999999999998E-4</v>
      </c>
      <c r="CB48" s="97">
        <v>1.6200000000000001E-4</v>
      </c>
      <c r="CC48" s="97">
        <v>2.0599999999999999E-4</v>
      </c>
      <c r="CD48" s="97">
        <v>1.54E-4</v>
      </c>
      <c r="CE48" s="97">
        <v>1.25E-4</v>
      </c>
      <c r="CF48" s="97">
        <v>9.3999999999999994E-5</v>
      </c>
      <c r="CG48" s="97">
        <v>7.7000000000000001E-5</v>
      </c>
      <c r="CH48" s="97">
        <v>6.6000000000000005E-5</v>
      </c>
      <c r="CI48" s="97">
        <v>5.8E-5</v>
      </c>
      <c r="CJ48" s="97">
        <v>2.9E-5</v>
      </c>
      <c r="CK48" s="97">
        <v>3.4E-5</v>
      </c>
      <c r="CL48" s="97">
        <v>2.3E-5</v>
      </c>
      <c r="CM48" s="97">
        <v>2.5999999999999998E-5</v>
      </c>
      <c r="CN48" s="97">
        <v>1.4E-5</v>
      </c>
      <c r="CO48" s="97">
        <v>3.4999999999999997E-5</v>
      </c>
      <c r="CP48" s="97">
        <v>4.6E-5</v>
      </c>
      <c r="CQ48" s="97">
        <v>6.3999999999999997E-5</v>
      </c>
      <c r="CR48" s="97">
        <v>1.84E-4</v>
      </c>
      <c r="CS48" s="97">
        <v>4.6500000000000003E-4</v>
      </c>
      <c r="CT48" s="97">
        <v>8.92E-4</v>
      </c>
      <c r="CU48" s="97">
        <v>1.397E-3</v>
      </c>
      <c r="CV48" s="134">
        <f t="shared" si="1"/>
        <v>0.99999199999999977</v>
      </c>
    </row>
    <row r="49" spans="3:100">
      <c r="C49" t="s">
        <v>297</v>
      </c>
      <c r="D49" s="97">
        <v>5.5900000000000004E-4</v>
      </c>
      <c r="E49" s="97">
        <v>7.1199999999999996E-4</v>
      </c>
      <c r="F49" s="97">
        <v>9.9700000000000006E-4</v>
      </c>
      <c r="G49" s="97">
        <v>1.3619999999999999E-3</v>
      </c>
      <c r="H49" s="97">
        <v>2.0079999999999998E-3</v>
      </c>
      <c r="I49" s="97">
        <v>2.7360000000000002E-3</v>
      </c>
      <c r="J49" s="97">
        <v>3.9100000000000003E-3</v>
      </c>
      <c r="K49" s="97">
        <v>4.9630000000000004E-3</v>
      </c>
      <c r="L49" s="118">
        <v>6.4130000000000003E-3</v>
      </c>
      <c r="M49" s="119">
        <v>7.4840000000000002E-3</v>
      </c>
      <c r="N49" s="119">
        <v>8.7060000000000002E-3</v>
      </c>
      <c r="O49" s="120">
        <v>9.5610000000000001E-3</v>
      </c>
      <c r="P49" s="97">
        <v>1.0474000000000001E-2</v>
      </c>
      <c r="Q49" s="97">
        <v>1.1165E-2</v>
      </c>
      <c r="R49" s="97">
        <v>1.1965999999999999E-2</v>
      </c>
      <c r="S49" s="97">
        <v>1.2529E-2</v>
      </c>
      <c r="T49" s="97">
        <v>1.3127E-2</v>
      </c>
      <c r="U49" s="97">
        <v>1.3520000000000001E-2</v>
      </c>
      <c r="V49" s="97">
        <v>1.3913999999999999E-2</v>
      </c>
      <c r="W49" s="97">
        <v>1.4323000000000001E-2</v>
      </c>
      <c r="X49" s="97">
        <v>1.4940999999999999E-2</v>
      </c>
      <c r="Y49" s="97">
        <v>1.5606E-2</v>
      </c>
      <c r="Z49" s="97">
        <v>1.6657999999999999E-2</v>
      </c>
      <c r="AA49" s="97">
        <v>1.7680999999999999E-2</v>
      </c>
      <c r="AB49" s="97">
        <v>1.9205E-2</v>
      </c>
      <c r="AC49" s="97">
        <v>2.0507999999999998E-2</v>
      </c>
      <c r="AD49" s="97">
        <v>2.2235999999999999E-2</v>
      </c>
      <c r="AE49" s="97">
        <v>2.3283000000000002E-2</v>
      </c>
      <c r="AF49" s="97">
        <v>2.4213999999999999E-2</v>
      </c>
      <c r="AG49" s="97">
        <v>2.4424000000000001E-2</v>
      </c>
      <c r="AH49" s="97">
        <v>2.3968E-2</v>
      </c>
      <c r="AI49" s="97">
        <v>2.3435000000000001E-2</v>
      </c>
      <c r="AJ49" s="97">
        <v>2.2332000000000001E-2</v>
      </c>
      <c r="AK49" s="97">
        <v>2.1611999999999999E-2</v>
      </c>
      <c r="AL49" s="97">
        <v>2.069E-2</v>
      </c>
      <c r="AM49" s="97">
        <v>2.0185999999999999E-2</v>
      </c>
      <c r="AN49" s="97">
        <v>1.9753E-2</v>
      </c>
      <c r="AO49" s="97">
        <v>1.9488999999999999E-2</v>
      </c>
      <c r="AP49" s="97">
        <v>1.9505999999999999E-2</v>
      </c>
      <c r="AQ49" s="97">
        <v>1.9564999999999999E-2</v>
      </c>
      <c r="AR49" s="97">
        <v>1.9952000000000001E-2</v>
      </c>
      <c r="AS49" s="97">
        <v>2.0212999999999998E-2</v>
      </c>
      <c r="AT49" s="97">
        <v>2.0677000000000001E-2</v>
      </c>
      <c r="AU49" s="97">
        <v>2.0981E-2</v>
      </c>
      <c r="AV49" s="97">
        <v>2.1281000000000001E-2</v>
      </c>
      <c r="AW49" s="97">
        <v>2.1477E-2</v>
      </c>
      <c r="AX49" s="97">
        <v>2.1555000000000001E-2</v>
      </c>
      <c r="AY49" s="97">
        <v>2.1647E-2</v>
      </c>
      <c r="AZ49" s="97">
        <v>2.1679E-2</v>
      </c>
      <c r="BA49" s="97">
        <v>2.1693E-2</v>
      </c>
      <c r="BB49" s="97">
        <v>2.1718999999999999E-2</v>
      </c>
      <c r="BC49" s="97">
        <v>2.1641000000000001E-2</v>
      </c>
      <c r="BD49" s="97">
        <v>2.1617999999999998E-2</v>
      </c>
      <c r="BE49" s="97">
        <v>2.1264000000000002E-2</v>
      </c>
      <c r="BF49" s="97">
        <v>2.0648E-2</v>
      </c>
      <c r="BG49" s="97">
        <v>1.9574000000000001E-2</v>
      </c>
      <c r="BH49" s="97">
        <v>1.7554E-2</v>
      </c>
      <c r="BI49" s="97">
        <v>1.5448E-2</v>
      </c>
      <c r="BJ49" s="97">
        <v>1.2389000000000001E-2</v>
      </c>
      <c r="BK49" s="97">
        <v>1.0248E-2</v>
      </c>
      <c r="BL49" s="97">
        <v>7.9489999999999995E-3</v>
      </c>
      <c r="BM49" s="97">
        <v>6.5339999999999999E-3</v>
      </c>
      <c r="BN49" s="97">
        <v>5.2459999999999998E-3</v>
      </c>
      <c r="BO49" s="97">
        <v>4.4279999999999996E-3</v>
      </c>
      <c r="BP49" s="97">
        <v>3.637E-3</v>
      </c>
      <c r="BQ49" s="97">
        <v>3.091E-3</v>
      </c>
      <c r="BR49" s="97">
        <v>2.5379999999999999E-3</v>
      </c>
      <c r="BS49" s="97">
        <v>2.16E-3</v>
      </c>
      <c r="BT49" s="97">
        <v>1.787E-3</v>
      </c>
      <c r="BU49" s="97">
        <v>1.5319999999999999E-3</v>
      </c>
      <c r="BV49" s="97">
        <v>1.2719999999999999E-3</v>
      </c>
      <c r="BW49" s="97">
        <v>1.109E-3</v>
      </c>
      <c r="BX49" s="97">
        <v>9.3599999999999998E-4</v>
      </c>
      <c r="BY49" s="97">
        <v>8.2100000000000001E-4</v>
      </c>
      <c r="BZ49" s="97">
        <v>6.8999999999999997E-4</v>
      </c>
      <c r="CA49" s="97">
        <v>6.4300000000000002E-4</v>
      </c>
      <c r="CB49" s="97">
        <v>1.44E-4</v>
      </c>
      <c r="CC49" s="97">
        <v>2.1599999999999999E-4</v>
      </c>
      <c r="CD49" s="97">
        <v>1.56E-4</v>
      </c>
      <c r="CE49" s="97">
        <v>1.2799999999999999E-4</v>
      </c>
      <c r="CF49" s="97">
        <v>8.8999999999999995E-5</v>
      </c>
      <c r="CG49" s="97">
        <v>9.7E-5</v>
      </c>
      <c r="CH49" s="97">
        <v>8.3999999999999995E-5</v>
      </c>
      <c r="CI49" s="97">
        <v>1.07E-4</v>
      </c>
      <c r="CJ49" s="97">
        <v>5.8E-5</v>
      </c>
      <c r="CK49" s="97">
        <v>6.0000000000000002E-5</v>
      </c>
      <c r="CL49" s="97">
        <v>5.3999999999999998E-5</v>
      </c>
      <c r="CM49" s="97">
        <v>6.6000000000000005E-5</v>
      </c>
      <c r="CN49" s="97">
        <v>5.8999999999999998E-5</v>
      </c>
      <c r="CO49" s="97">
        <v>1.0399999999999999E-4</v>
      </c>
      <c r="CP49" s="97">
        <v>1.07E-4</v>
      </c>
      <c r="CQ49" s="97">
        <v>1.22E-4</v>
      </c>
      <c r="CR49" s="97">
        <v>1.54E-4</v>
      </c>
      <c r="CS49" s="97">
        <v>2.05E-4</v>
      </c>
      <c r="CT49" s="97">
        <v>2.3800000000000001E-4</v>
      </c>
      <c r="CU49" s="97">
        <v>3.9599999999999998E-4</v>
      </c>
      <c r="CV49" s="134">
        <f t="shared" si="1"/>
        <v>0.99999599999999977</v>
      </c>
    </row>
    <row r="50" spans="3:100">
      <c r="C50" t="s">
        <v>298</v>
      </c>
      <c r="D50" s="97">
        <v>5.5900000000000004E-4</v>
      </c>
      <c r="E50" s="97">
        <v>7.1199999999999996E-4</v>
      </c>
      <c r="F50" s="97">
        <v>9.9700000000000006E-4</v>
      </c>
      <c r="G50" s="97">
        <v>1.3619999999999999E-3</v>
      </c>
      <c r="H50" s="97">
        <v>2.0079999999999998E-3</v>
      </c>
      <c r="I50" s="97">
        <v>2.7360000000000002E-3</v>
      </c>
      <c r="J50" s="97">
        <v>3.9100000000000003E-3</v>
      </c>
      <c r="K50" s="97">
        <v>4.9630000000000004E-3</v>
      </c>
      <c r="L50" s="118">
        <v>6.4130000000000003E-3</v>
      </c>
      <c r="M50" s="119">
        <v>7.4840000000000002E-3</v>
      </c>
      <c r="N50" s="119">
        <v>8.7060000000000002E-3</v>
      </c>
      <c r="O50" s="120">
        <v>9.5610000000000001E-3</v>
      </c>
      <c r="P50" s="97">
        <v>1.0474000000000001E-2</v>
      </c>
      <c r="Q50" s="97">
        <v>1.1165E-2</v>
      </c>
      <c r="R50" s="97">
        <v>1.1965999999999999E-2</v>
      </c>
      <c r="S50" s="97">
        <v>1.2529E-2</v>
      </c>
      <c r="T50" s="97">
        <v>1.3127E-2</v>
      </c>
      <c r="U50" s="97">
        <v>1.3520000000000001E-2</v>
      </c>
      <c r="V50" s="97">
        <v>1.3913999999999999E-2</v>
      </c>
      <c r="W50" s="97">
        <v>1.4323000000000001E-2</v>
      </c>
      <c r="X50" s="97">
        <v>1.4940999999999999E-2</v>
      </c>
      <c r="Y50" s="97">
        <v>1.5606E-2</v>
      </c>
      <c r="Z50" s="97">
        <v>1.6657999999999999E-2</v>
      </c>
      <c r="AA50" s="97">
        <v>1.7680999999999999E-2</v>
      </c>
      <c r="AB50" s="97">
        <v>1.9205E-2</v>
      </c>
      <c r="AC50" s="97">
        <v>2.0507999999999998E-2</v>
      </c>
      <c r="AD50" s="97">
        <v>2.2235999999999999E-2</v>
      </c>
      <c r="AE50" s="97">
        <v>2.3283000000000002E-2</v>
      </c>
      <c r="AF50" s="97">
        <v>2.4213999999999999E-2</v>
      </c>
      <c r="AG50" s="97">
        <v>2.4424000000000001E-2</v>
      </c>
      <c r="AH50" s="97">
        <v>2.3968E-2</v>
      </c>
      <c r="AI50" s="97">
        <v>2.3435000000000001E-2</v>
      </c>
      <c r="AJ50" s="97">
        <v>2.2332000000000001E-2</v>
      </c>
      <c r="AK50" s="97">
        <v>2.1611999999999999E-2</v>
      </c>
      <c r="AL50" s="97">
        <v>2.069E-2</v>
      </c>
      <c r="AM50" s="97">
        <v>2.0185999999999999E-2</v>
      </c>
      <c r="AN50" s="97">
        <v>1.9753E-2</v>
      </c>
      <c r="AO50" s="97">
        <v>1.9488999999999999E-2</v>
      </c>
      <c r="AP50" s="97">
        <v>1.9505999999999999E-2</v>
      </c>
      <c r="AQ50" s="97">
        <v>1.9564999999999999E-2</v>
      </c>
      <c r="AR50" s="97">
        <v>1.9952000000000001E-2</v>
      </c>
      <c r="AS50" s="97">
        <v>2.0212999999999998E-2</v>
      </c>
      <c r="AT50" s="97">
        <v>2.0677000000000001E-2</v>
      </c>
      <c r="AU50" s="97">
        <v>2.0981E-2</v>
      </c>
      <c r="AV50" s="97">
        <v>2.1281000000000001E-2</v>
      </c>
      <c r="AW50" s="97">
        <v>2.1477E-2</v>
      </c>
      <c r="AX50" s="97">
        <v>2.1555000000000001E-2</v>
      </c>
      <c r="AY50" s="97">
        <v>2.1647E-2</v>
      </c>
      <c r="AZ50" s="97">
        <v>2.1679E-2</v>
      </c>
      <c r="BA50" s="97">
        <v>2.1693E-2</v>
      </c>
      <c r="BB50" s="97">
        <v>2.1718999999999999E-2</v>
      </c>
      <c r="BC50" s="97">
        <v>2.1641000000000001E-2</v>
      </c>
      <c r="BD50" s="97">
        <v>2.1617999999999998E-2</v>
      </c>
      <c r="BE50" s="97">
        <v>2.1264000000000002E-2</v>
      </c>
      <c r="BF50" s="97">
        <v>2.0648E-2</v>
      </c>
      <c r="BG50" s="97">
        <v>1.9574000000000001E-2</v>
      </c>
      <c r="BH50" s="97">
        <v>1.7554E-2</v>
      </c>
      <c r="BI50" s="97">
        <v>1.5448E-2</v>
      </c>
      <c r="BJ50" s="97">
        <v>1.2389000000000001E-2</v>
      </c>
      <c r="BK50" s="97">
        <v>1.0248E-2</v>
      </c>
      <c r="BL50" s="97">
        <v>7.9489999999999995E-3</v>
      </c>
      <c r="BM50" s="97">
        <v>6.5339999999999999E-3</v>
      </c>
      <c r="BN50" s="97">
        <v>5.2459999999999998E-3</v>
      </c>
      <c r="BO50" s="97">
        <v>4.4279999999999996E-3</v>
      </c>
      <c r="BP50" s="97">
        <v>3.637E-3</v>
      </c>
      <c r="BQ50" s="97">
        <v>3.091E-3</v>
      </c>
      <c r="BR50" s="97">
        <v>2.5379999999999999E-3</v>
      </c>
      <c r="BS50" s="97">
        <v>2.16E-3</v>
      </c>
      <c r="BT50" s="97">
        <v>1.787E-3</v>
      </c>
      <c r="BU50" s="97">
        <v>1.5319999999999999E-3</v>
      </c>
      <c r="BV50" s="97">
        <v>1.2719999999999999E-3</v>
      </c>
      <c r="BW50" s="97">
        <v>1.109E-3</v>
      </c>
      <c r="BX50" s="97">
        <v>9.3599999999999998E-4</v>
      </c>
      <c r="BY50" s="97">
        <v>8.2100000000000001E-4</v>
      </c>
      <c r="BZ50" s="97">
        <v>6.8999999999999997E-4</v>
      </c>
      <c r="CA50" s="97">
        <v>6.4300000000000002E-4</v>
      </c>
      <c r="CB50" s="97">
        <v>1.44E-4</v>
      </c>
      <c r="CC50" s="97">
        <v>2.1599999999999999E-4</v>
      </c>
      <c r="CD50" s="97">
        <v>1.56E-4</v>
      </c>
      <c r="CE50" s="97">
        <v>1.2799999999999999E-4</v>
      </c>
      <c r="CF50" s="97">
        <v>8.8999999999999995E-5</v>
      </c>
      <c r="CG50" s="97">
        <v>9.7E-5</v>
      </c>
      <c r="CH50" s="97">
        <v>8.3999999999999995E-5</v>
      </c>
      <c r="CI50" s="97">
        <v>1.07E-4</v>
      </c>
      <c r="CJ50" s="97">
        <v>5.8E-5</v>
      </c>
      <c r="CK50" s="97">
        <v>6.0000000000000002E-5</v>
      </c>
      <c r="CL50" s="97">
        <v>5.3999999999999998E-5</v>
      </c>
      <c r="CM50" s="97">
        <v>6.6000000000000005E-5</v>
      </c>
      <c r="CN50" s="97">
        <v>5.8999999999999998E-5</v>
      </c>
      <c r="CO50" s="97">
        <v>1.0399999999999999E-4</v>
      </c>
      <c r="CP50" s="97">
        <v>1.07E-4</v>
      </c>
      <c r="CQ50" s="97">
        <v>1.22E-4</v>
      </c>
      <c r="CR50" s="97">
        <v>1.54E-4</v>
      </c>
      <c r="CS50" s="97">
        <v>2.05E-4</v>
      </c>
      <c r="CT50" s="97">
        <v>2.3800000000000001E-4</v>
      </c>
      <c r="CU50" s="97">
        <v>3.9599999999999998E-4</v>
      </c>
      <c r="CV50" s="134">
        <f t="shared" si="1"/>
        <v>0.99999599999999977</v>
      </c>
    </row>
    <row r="51" spans="3:100" ht="15.75" thickBot="1">
      <c r="C51" t="s">
        <v>299</v>
      </c>
      <c r="D51" s="97">
        <v>1.8000000000000001E-4</v>
      </c>
      <c r="E51" s="97">
        <v>2.5000000000000001E-4</v>
      </c>
      <c r="F51" s="97">
        <v>3.6999999999999999E-4</v>
      </c>
      <c r="G51" s="97">
        <v>5.8E-4</v>
      </c>
      <c r="H51" s="97">
        <v>9.3000000000000005E-4</v>
      </c>
      <c r="I51" s="97">
        <v>1.49E-3</v>
      </c>
      <c r="J51" s="97">
        <v>2.32E-3</v>
      </c>
      <c r="K51" s="97">
        <v>3.4499999999999999E-3</v>
      </c>
      <c r="L51" s="121">
        <v>4.81E-3</v>
      </c>
      <c r="M51" s="122">
        <v>6.3200000000000001E-3</v>
      </c>
      <c r="N51" s="122">
        <v>7.8799999999999999E-3</v>
      </c>
      <c r="O51" s="123">
        <v>9.4199999999999996E-3</v>
      </c>
      <c r="P51" s="97">
        <v>1.0840000000000001E-2</v>
      </c>
      <c r="Q51" s="97">
        <v>1.2E-2</v>
      </c>
      <c r="R51" s="97">
        <v>1.278E-2</v>
      </c>
      <c r="S51" s="97">
        <v>1.312E-2</v>
      </c>
      <c r="T51" s="97">
        <v>1.315E-2</v>
      </c>
      <c r="U51" s="97">
        <v>1.3140000000000001E-2</v>
      </c>
      <c r="V51" s="97">
        <v>1.3429999999999999E-2</v>
      </c>
      <c r="W51" s="97">
        <v>1.4239999999999999E-2</v>
      </c>
      <c r="X51" s="97">
        <v>1.5610000000000001E-2</v>
      </c>
      <c r="Y51" s="97">
        <v>1.7479999999999999E-2</v>
      </c>
      <c r="Z51" s="97">
        <v>1.9619999999999999E-2</v>
      </c>
      <c r="AA51" s="97">
        <v>2.1680000000000001E-2</v>
      </c>
      <c r="AB51" s="97">
        <v>2.3290000000000002E-2</v>
      </c>
      <c r="AC51" s="97">
        <v>2.4170000000000001E-2</v>
      </c>
      <c r="AD51" s="97">
        <v>2.4250000000000001E-2</v>
      </c>
      <c r="AE51" s="97">
        <v>2.3730000000000001E-2</v>
      </c>
      <c r="AF51" s="97">
        <v>2.2950000000000002E-2</v>
      </c>
      <c r="AG51" s="97">
        <v>2.2270000000000002E-2</v>
      </c>
      <c r="AH51" s="97">
        <v>2.1940000000000001E-2</v>
      </c>
      <c r="AI51" s="97">
        <v>2.1989999999999999E-2</v>
      </c>
      <c r="AJ51" s="97">
        <v>2.2280000000000001E-2</v>
      </c>
      <c r="AK51" s="97">
        <v>2.2620000000000001E-2</v>
      </c>
      <c r="AL51" s="97">
        <v>2.291E-2</v>
      </c>
      <c r="AM51" s="97">
        <v>2.316E-2</v>
      </c>
      <c r="AN51" s="97">
        <v>2.3429999999999999E-2</v>
      </c>
      <c r="AO51" s="97">
        <v>2.3740000000000001E-2</v>
      </c>
      <c r="AP51" s="97">
        <v>2.4080000000000001E-2</v>
      </c>
      <c r="AQ51" s="97">
        <v>2.4299999999999999E-2</v>
      </c>
      <c r="AR51" s="97">
        <v>2.4199999999999999E-2</v>
      </c>
      <c r="AS51" s="97">
        <v>2.3650000000000001E-2</v>
      </c>
      <c r="AT51" s="97">
        <v>2.281E-2</v>
      </c>
      <c r="AU51" s="97">
        <v>2.198E-2</v>
      </c>
      <c r="AV51" s="97">
        <v>2.137E-2</v>
      </c>
      <c r="AW51" s="97">
        <v>2.0930000000000001E-2</v>
      </c>
      <c r="AX51" s="97">
        <v>2.0539999999999999E-2</v>
      </c>
      <c r="AY51" s="97">
        <v>2.01E-2</v>
      </c>
      <c r="AZ51" s="97">
        <v>1.9570000000000001E-2</v>
      </c>
      <c r="BA51" s="97">
        <v>1.8839999999999999E-2</v>
      </c>
      <c r="BB51" s="97">
        <v>1.7809999999999999E-2</v>
      </c>
      <c r="BC51" s="97">
        <v>1.6480000000000002E-2</v>
      </c>
      <c r="BD51" s="97">
        <v>1.504E-2</v>
      </c>
      <c r="BE51" s="97">
        <v>1.375E-2</v>
      </c>
      <c r="BF51" s="97">
        <v>1.2699999999999999E-2</v>
      </c>
      <c r="BG51" s="97">
        <v>1.188E-2</v>
      </c>
      <c r="BH51" s="97">
        <v>1.119E-2</v>
      </c>
      <c r="BI51" s="97">
        <v>1.056E-2</v>
      </c>
      <c r="BJ51" s="97">
        <v>9.9500000000000005E-3</v>
      </c>
      <c r="BK51" s="97">
        <v>9.3399999999999993E-3</v>
      </c>
      <c r="BL51" s="97">
        <v>8.7100000000000007E-3</v>
      </c>
      <c r="BM51" s="97">
        <v>8.0000000000000002E-3</v>
      </c>
      <c r="BN51" s="97">
        <v>7.2199999999999999E-3</v>
      </c>
      <c r="BO51" s="97">
        <v>6.4400000000000004E-3</v>
      </c>
      <c r="BP51" s="97">
        <v>5.7800000000000004E-3</v>
      </c>
      <c r="BQ51" s="97">
        <v>5.3E-3</v>
      </c>
      <c r="BR51" s="97">
        <v>4.9199999999999999E-3</v>
      </c>
      <c r="BS51" s="97">
        <v>4.4999999999999997E-3</v>
      </c>
      <c r="BT51" s="97">
        <v>3.9199999999999999E-3</v>
      </c>
      <c r="BU51" s="97">
        <v>3.2200000000000002E-3</v>
      </c>
      <c r="BV51" s="97">
        <v>2.5100000000000001E-3</v>
      </c>
      <c r="BW51" s="97">
        <v>1.9400000000000001E-3</v>
      </c>
      <c r="BX51" s="97">
        <v>1.5499999999999999E-3</v>
      </c>
      <c r="BY51" s="97">
        <v>1.2899999999999999E-3</v>
      </c>
      <c r="BZ51" s="97">
        <v>1.1000000000000001E-3</v>
      </c>
      <c r="CA51" s="97">
        <v>8.9999999999999998E-4</v>
      </c>
      <c r="CB51" s="97">
        <v>6.9999999999999999E-4</v>
      </c>
      <c r="CC51" s="97">
        <v>5.1000000000000004E-4</v>
      </c>
      <c r="CD51" s="97">
        <v>3.5E-4</v>
      </c>
      <c r="CE51" s="97">
        <v>2.3000000000000001E-4</v>
      </c>
      <c r="CF51" s="97">
        <v>1.4999999999999999E-4</v>
      </c>
      <c r="CG51" s="97">
        <v>1E-4</v>
      </c>
      <c r="CH51" s="97">
        <v>9.0000000000000006E-5</v>
      </c>
      <c r="CI51" s="97">
        <v>1.1E-4</v>
      </c>
      <c r="CJ51" s="97">
        <v>1.2999999999999999E-4</v>
      </c>
      <c r="CK51" s="97">
        <v>1.4999999999999999E-4</v>
      </c>
      <c r="CL51" s="97">
        <v>1.7000000000000001E-4</v>
      </c>
      <c r="CM51" s="97">
        <v>1.7000000000000001E-4</v>
      </c>
      <c r="CN51" s="97">
        <v>1.6000000000000001E-4</v>
      </c>
      <c r="CO51" s="97">
        <v>1.3999999999999999E-4</v>
      </c>
      <c r="CP51" s="97">
        <v>1E-4</v>
      </c>
      <c r="CQ51" s="97">
        <v>6.9999999999999994E-5</v>
      </c>
      <c r="CR51" s="97">
        <v>6.0000000000000002E-5</v>
      </c>
      <c r="CS51" s="97">
        <v>6.9999999999999994E-5</v>
      </c>
      <c r="CT51" s="97">
        <v>1E-4</v>
      </c>
      <c r="CU51" s="97">
        <v>1.3999999999999999E-4</v>
      </c>
      <c r="CV51" s="134">
        <f t="shared" si="1"/>
        <v>0.9998900000000005</v>
      </c>
    </row>
    <row r="54" spans="3:100">
      <c r="C54" t="s">
        <v>300</v>
      </c>
      <c r="D54" t="s">
        <v>301</v>
      </c>
    </row>
  </sheetData>
  <mergeCells count="1">
    <mergeCell ref="C10:E10"/>
  </mergeCells>
  <hyperlinks>
    <hyperlink ref="D33" r:id="rId1"/>
    <hyperlink ref="C13" r:id="rId2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128"/>
  <sheetViews>
    <sheetView workbookViewId="0">
      <selection activeCell="C17" sqref="C17"/>
    </sheetView>
  </sheetViews>
  <sheetFormatPr defaultRowHeight="15"/>
  <cols>
    <col min="1" max="1" width="10.140625" bestFit="1" customWidth="1"/>
    <col min="3" max="3" width="13.42578125" customWidth="1"/>
    <col min="4" max="4" width="20.28515625" customWidth="1"/>
  </cols>
  <sheetData>
    <row r="1" spans="1:45">
      <c r="A1" t="s">
        <v>383</v>
      </c>
    </row>
    <row r="2" spans="1:45">
      <c r="A2" t="s">
        <v>382</v>
      </c>
      <c r="B2" t="s">
        <v>373</v>
      </c>
      <c r="C2" s="95" t="s">
        <v>381</v>
      </c>
      <c r="D2" s="95">
        <v>0.4</v>
      </c>
      <c r="E2" t="s">
        <v>380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Z2" t="s">
        <v>379</v>
      </c>
    </row>
    <row r="3" spans="1:45">
      <c r="A3">
        <v>1</v>
      </c>
      <c r="B3">
        <v>54.002322384621948</v>
      </c>
      <c r="E3" t="b">
        <f t="shared" ref="E3:E34" si="0">IF($D$2&gt;Z3,$B3)</f>
        <v>0</v>
      </c>
      <c r="F3">
        <f t="shared" ref="F3:F34" si="1">IF($D$2&gt;AA3,$B3)</f>
        <v>54.002322384621948</v>
      </c>
      <c r="G3">
        <f t="shared" ref="G3:G34" si="2">IF($D$2&gt;AB3,$B3)</f>
        <v>54.002322384621948</v>
      </c>
      <c r="H3">
        <f t="shared" ref="H3:H34" si="3">IF($D$2&gt;AC3,$B3)</f>
        <v>54.002322384621948</v>
      </c>
      <c r="I3" t="b">
        <f t="shared" ref="I3:I34" si="4">IF($D$2&gt;AD3,$B3)</f>
        <v>0</v>
      </c>
      <c r="J3" t="b">
        <f t="shared" ref="J3:J34" si="5">IF($D$2&gt;AE3,$B3)</f>
        <v>0</v>
      </c>
      <c r="K3" t="b">
        <f t="shared" ref="K3:K34" si="6">IF($D$2&gt;AF3,$B3)</f>
        <v>0</v>
      </c>
      <c r="L3">
        <f t="shared" ref="L3:L34" si="7">IF($D$2&gt;AG3,$B3)</f>
        <v>54.002322384621948</v>
      </c>
      <c r="M3" t="b">
        <f t="shared" ref="M3:M34" si="8">IF($D$2&gt;AH3,$B3)</f>
        <v>0</v>
      </c>
      <c r="N3">
        <f t="shared" ref="N3:N34" si="9">IF($D$2&gt;AI3,$B3)</f>
        <v>54.002322384621948</v>
      </c>
      <c r="O3">
        <f t="shared" ref="O3:O34" si="10">IF($D$2&gt;AJ3,$B3)</f>
        <v>54.002322384621948</v>
      </c>
      <c r="P3">
        <f t="shared" ref="P3:P34" si="11">IF($D$2&gt;AK3,$B3)</f>
        <v>54.002322384621948</v>
      </c>
      <c r="Q3" t="b">
        <f t="shared" ref="Q3:Q34" si="12">IF($D$2&gt;AL3,$B3)</f>
        <v>0</v>
      </c>
      <c r="R3" t="b">
        <f t="shared" ref="R3:R34" si="13">IF($D$2&gt;AM3,$B3)</f>
        <v>0</v>
      </c>
      <c r="S3">
        <f t="shared" ref="S3:S34" si="14">IF($D$2&gt;AN3,$B3)</f>
        <v>54.002322384621948</v>
      </c>
      <c r="T3" t="b">
        <f t="shared" ref="T3:T34" si="15">IF($D$2&gt;AO3,$B3)</f>
        <v>0</v>
      </c>
      <c r="U3" t="b">
        <f t="shared" ref="U3:U34" si="16">IF($D$2&gt;AP3,$B3)</f>
        <v>0</v>
      </c>
      <c r="V3">
        <f t="shared" ref="V3:V34" si="17">IF($D$2&gt;AQ3,$B3)</f>
        <v>54.002322384621948</v>
      </c>
      <c r="W3">
        <f t="shared" ref="W3:W34" si="18">IF($D$2&gt;AR3,$B3)</f>
        <v>54.002322384621948</v>
      </c>
      <c r="X3">
        <f t="shared" ref="X3:X34" si="19">IF($D$2&gt;AS3,$B3)</f>
        <v>54.002322384621948</v>
      </c>
      <c r="Z3">
        <v>0.5263832514419996</v>
      </c>
      <c r="AA3">
        <v>0.15530869472334971</v>
      </c>
      <c r="AB3">
        <v>6.1037018951994385E-2</v>
      </c>
      <c r="AC3">
        <v>0.34464552751243627</v>
      </c>
      <c r="AD3">
        <v>0.85607470931119722</v>
      </c>
      <c r="AE3">
        <v>0.64110232856227301</v>
      </c>
      <c r="AF3">
        <v>0.61110263374736773</v>
      </c>
      <c r="AG3">
        <v>0.37751396221808525</v>
      </c>
      <c r="AH3">
        <v>0.59340189825128942</v>
      </c>
      <c r="AI3">
        <v>0.26706747642445144</v>
      </c>
      <c r="AJ3">
        <v>0.17960142826624348</v>
      </c>
      <c r="AK3">
        <v>0.25153355510116887</v>
      </c>
      <c r="AL3">
        <v>0.83458967864009526</v>
      </c>
      <c r="AM3">
        <v>0.64760277108066044</v>
      </c>
      <c r="AN3">
        <v>0.1466719565416425</v>
      </c>
      <c r="AO3">
        <v>0.46137882625812554</v>
      </c>
      <c r="AP3">
        <v>0.70207831049531544</v>
      </c>
      <c r="AQ3">
        <v>6.3692129276406134E-2</v>
      </c>
      <c r="AR3">
        <v>0.31324198126163516</v>
      </c>
      <c r="AS3">
        <v>0.30497146519363993</v>
      </c>
    </row>
    <row r="4" spans="1:45">
      <c r="A4">
        <v>2</v>
      </c>
      <c r="B4">
        <v>29.086896928492934</v>
      </c>
      <c r="E4">
        <f t="shared" si="0"/>
        <v>29.086896928492934</v>
      </c>
      <c r="F4" t="b">
        <f t="shared" si="1"/>
        <v>0</v>
      </c>
      <c r="G4" t="b">
        <f t="shared" si="2"/>
        <v>0</v>
      </c>
      <c r="H4" t="b">
        <f t="shared" si="3"/>
        <v>0</v>
      </c>
      <c r="I4" t="b">
        <f t="shared" si="4"/>
        <v>0</v>
      </c>
      <c r="J4" t="b">
        <f t="shared" si="5"/>
        <v>0</v>
      </c>
      <c r="K4">
        <f t="shared" si="6"/>
        <v>29.086896928492934</v>
      </c>
      <c r="L4" t="b">
        <f t="shared" si="7"/>
        <v>0</v>
      </c>
      <c r="M4">
        <f t="shared" si="8"/>
        <v>29.086896928492934</v>
      </c>
      <c r="N4">
        <f t="shared" si="9"/>
        <v>29.086896928492934</v>
      </c>
      <c r="O4">
        <f t="shared" si="10"/>
        <v>29.086896928492934</v>
      </c>
      <c r="P4" t="b">
        <f t="shared" si="11"/>
        <v>0</v>
      </c>
      <c r="Q4" t="b">
        <f t="shared" si="12"/>
        <v>0</v>
      </c>
      <c r="R4">
        <f t="shared" si="13"/>
        <v>29.086896928492934</v>
      </c>
      <c r="S4">
        <f t="shared" si="14"/>
        <v>29.086896928492934</v>
      </c>
      <c r="T4" t="b">
        <f t="shared" si="15"/>
        <v>0</v>
      </c>
      <c r="U4">
        <f t="shared" si="16"/>
        <v>29.086896928492934</v>
      </c>
      <c r="V4" t="b">
        <f t="shared" si="17"/>
        <v>0</v>
      </c>
      <c r="W4">
        <f t="shared" si="18"/>
        <v>29.086896928492934</v>
      </c>
      <c r="X4">
        <f t="shared" si="19"/>
        <v>29.086896928492934</v>
      </c>
      <c r="Z4">
        <v>0.18185979796746726</v>
      </c>
      <c r="AA4">
        <v>0.43046357615894038</v>
      </c>
      <c r="AB4">
        <v>0.80471205786309397</v>
      </c>
      <c r="AC4">
        <v>0.52452162236396371</v>
      </c>
      <c r="AD4">
        <v>0.72966704306161689</v>
      </c>
      <c r="AE4">
        <v>0.84414197210608233</v>
      </c>
      <c r="AF4">
        <v>0.33988464003418073</v>
      </c>
      <c r="AG4">
        <v>0.74880214850306714</v>
      </c>
      <c r="AH4">
        <v>9.2776268807031465E-2</v>
      </c>
      <c r="AI4">
        <v>7.0863979003265479E-2</v>
      </c>
      <c r="AJ4">
        <v>0.37763603625598924</v>
      </c>
      <c r="AK4">
        <v>0.70906704916531882</v>
      </c>
      <c r="AL4">
        <v>0.48783837397381513</v>
      </c>
      <c r="AM4">
        <v>6.8330942716757714E-2</v>
      </c>
      <c r="AN4">
        <v>0.36884670552690207</v>
      </c>
      <c r="AO4">
        <v>0.46388134403515735</v>
      </c>
      <c r="AP4">
        <v>0.32142094180120245</v>
      </c>
      <c r="AQ4">
        <v>0.423902096621601</v>
      </c>
      <c r="AR4">
        <v>0.28196050904873804</v>
      </c>
      <c r="AS4">
        <v>0.13864558854945525</v>
      </c>
    </row>
    <row r="5" spans="1:45">
      <c r="A5">
        <v>3</v>
      </c>
      <c r="B5">
        <v>51.115745362767484</v>
      </c>
      <c r="E5" t="b">
        <f t="shared" si="0"/>
        <v>0</v>
      </c>
      <c r="F5" t="b">
        <f t="shared" si="1"/>
        <v>0</v>
      </c>
      <c r="G5" t="b">
        <f t="shared" si="2"/>
        <v>0</v>
      </c>
      <c r="H5">
        <f t="shared" si="3"/>
        <v>51.115745362767484</v>
      </c>
      <c r="I5" t="b">
        <f t="shared" si="4"/>
        <v>0</v>
      </c>
      <c r="J5">
        <f t="shared" si="5"/>
        <v>51.115745362767484</v>
      </c>
      <c r="K5" t="b">
        <f t="shared" si="6"/>
        <v>0</v>
      </c>
      <c r="L5" t="b">
        <f t="shared" si="7"/>
        <v>0</v>
      </c>
      <c r="M5" t="b">
        <f t="shared" si="8"/>
        <v>0</v>
      </c>
      <c r="N5">
        <f t="shared" si="9"/>
        <v>51.115745362767484</v>
      </c>
      <c r="O5" t="b">
        <f t="shared" si="10"/>
        <v>0</v>
      </c>
      <c r="P5" t="b">
        <f t="shared" si="11"/>
        <v>0</v>
      </c>
      <c r="Q5">
        <f t="shared" si="12"/>
        <v>51.115745362767484</v>
      </c>
      <c r="R5">
        <f t="shared" si="13"/>
        <v>51.115745362767484</v>
      </c>
      <c r="S5">
        <f t="shared" si="14"/>
        <v>51.115745362767484</v>
      </c>
      <c r="T5" t="b">
        <f t="shared" si="15"/>
        <v>0</v>
      </c>
      <c r="U5">
        <f t="shared" si="16"/>
        <v>51.115745362767484</v>
      </c>
      <c r="V5" t="b">
        <f t="shared" si="17"/>
        <v>0</v>
      </c>
      <c r="W5" t="b">
        <f t="shared" si="18"/>
        <v>0</v>
      </c>
      <c r="X5">
        <f t="shared" si="19"/>
        <v>51.115745362767484</v>
      </c>
      <c r="Z5">
        <v>0.43977172154911953</v>
      </c>
      <c r="AA5">
        <v>0.92306283761101104</v>
      </c>
      <c r="AB5">
        <v>0.70497756889553509</v>
      </c>
      <c r="AC5">
        <v>0.1596423230689413</v>
      </c>
      <c r="AD5">
        <v>0.40745262001403854</v>
      </c>
      <c r="AE5">
        <v>0.28879665517136144</v>
      </c>
      <c r="AF5">
        <v>0.88900418103579826</v>
      </c>
      <c r="AG5">
        <v>0.49992370372631001</v>
      </c>
      <c r="AH5">
        <v>0.50062562944425792</v>
      </c>
      <c r="AI5">
        <v>0.29432050538651694</v>
      </c>
      <c r="AJ5">
        <v>0.99429303872798858</v>
      </c>
      <c r="AK5">
        <v>0.49549851985229043</v>
      </c>
      <c r="AL5">
        <v>0.25180822168645284</v>
      </c>
      <c r="AM5">
        <v>0.30985442670979951</v>
      </c>
      <c r="AN5">
        <v>0.33408612323374126</v>
      </c>
      <c r="AO5">
        <v>0.62855922116763818</v>
      </c>
      <c r="AP5">
        <v>0.2563249610889004</v>
      </c>
      <c r="AQ5">
        <v>0.50117496261482586</v>
      </c>
      <c r="AR5">
        <v>0.89733573412274548</v>
      </c>
      <c r="AS5">
        <v>0.27149266029847102</v>
      </c>
    </row>
    <row r="6" spans="1:45">
      <c r="A6">
        <v>4</v>
      </c>
      <c r="B6">
        <v>41.869890436646529</v>
      </c>
      <c r="E6">
        <f t="shared" si="0"/>
        <v>41.869890436646529</v>
      </c>
      <c r="F6" t="b">
        <f t="shared" si="1"/>
        <v>0</v>
      </c>
      <c r="G6" t="b">
        <f t="shared" si="2"/>
        <v>0</v>
      </c>
      <c r="H6" t="b">
        <f t="shared" si="3"/>
        <v>0</v>
      </c>
      <c r="I6">
        <f t="shared" si="4"/>
        <v>41.869890436646529</v>
      </c>
      <c r="J6">
        <f t="shared" si="5"/>
        <v>41.869890436646529</v>
      </c>
      <c r="K6" t="b">
        <f t="shared" si="6"/>
        <v>0</v>
      </c>
      <c r="L6" t="b">
        <f t="shared" si="7"/>
        <v>0</v>
      </c>
      <c r="M6" t="b">
        <f t="shared" si="8"/>
        <v>0</v>
      </c>
      <c r="N6" t="b">
        <f t="shared" si="9"/>
        <v>0</v>
      </c>
      <c r="O6">
        <f t="shared" si="10"/>
        <v>41.869890436646529</v>
      </c>
      <c r="P6">
        <f t="shared" si="11"/>
        <v>41.869890436646529</v>
      </c>
      <c r="Q6">
        <f t="shared" si="12"/>
        <v>41.869890436646529</v>
      </c>
      <c r="R6" t="b">
        <f t="shared" si="13"/>
        <v>0</v>
      </c>
      <c r="S6">
        <f t="shared" si="14"/>
        <v>41.869890436646529</v>
      </c>
      <c r="T6">
        <f t="shared" si="15"/>
        <v>41.869890436646529</v>
      </c>
      <c r="U6" t="b">
        <f t="shared" si="16"/>
        <v>0</v>
      </c>
      <c r="V6">
        <f t="shared" si="17"/>
        <v>41.869890436646529</v>
      </c>
      <c r="W6" t="b">
        <f t="shared" si="18"/>
        <v>0</v>
      </c>
      <c r="X6">
        <f t="shared" si="19"/>
        <v>41.869890436646529</v>
      </c>
      <c r="Z6">
        <v>0.13660084841456344</v>
      </c>
      <c r="AA6">
        <v>0.60719626453444009</v>
      </c>
      <c r="AB6">
        <v>0.7006134220404675</v>
      </c>
      <c r="AC6">
        <v>0.91201513718070004</v>
      </c>
      <c r="AD6">
        <v>0.28098391674550616</v>
      </c>
      <c r="AE6">
        <v>0.2304757835627308</v>
      </c>
      <c r="AF6">
        <v>0.51484725486007266</v>
      </c>
      <c r="AG6">
        <v>0.85641041291543318</v>
      </c>
      <c r="AH6">
        <v>0.96810815759758295</v>
      </c>
      <c r="AI6">
        <v>0.56334116641743215</v>
      </c>
      <c r="AJ6">
        <v>9.7201452681051057E-2</v>
      </c>
      <c r="AK6">
        <v>0.36671040986358228</v>
      </c>
      <c r="AL6">
        <v>4.4343394268623923E-2</v>
      </c>
      <c r="AM6">
        <v>0.87484359263893552</v>
      </c>
      <c r="AN6">
        <v>0.32767723624378187</v>
      </c>
      <c r="AO6">
        <v>3.2441175572985016E-2</v>
      </c>
      <c r="AP6">
        <v>0.54033021027253025</v>
      </c>
      <c r="AQ6">
        <v>0.2140568254646443</v>
      </c>
      <c r="AR6">
        <v>0.90884121219519642</v>
      </c>
      <c r="AS6">
        <v>0.2521439252906888</v>
      </c>
    </row>
    <row r="7" spans="1:45">
      <c r="A7">
        <v>5</v>
      </c>
      <c r="B7">
        <v>56.258881057874532</v>
      </c>
      <c r="E7" t="b">
        <f t="shared" si="0"/>
        <v>0</v>
      </c>
      <c r="F7" t="b">
        <f t="shared" si="1"/>
        <v>0</v>
      </c>
      <c r="G7">
        <f t="shared" si="2"/>
        <v>56.258881057874532</v>
      </c>
      <c r="H7" t="b">
        <f t="shared" si="3"/>
        <v>0</v>
      </c>
      <c r="I7" t="b">
        <f t="shared" si="4"/>
        <v>0</v>
      </c>
      <c r="J7" t="b">
        <f t="shared" si="5"/>
        <v>0</v>
      </c>
      <c r="K7">
        <f t="shared" si="6"/>
        <v>56.258881057874532</v>
      </c>
      <c r="L7">
        <f t="shared" si="7"/>
        <v>56.258881057874532</v>
      </c>
      <c r="M7" t="b">
        <f t="shared" si="8"/>
        <v>0</v>
      </c>
      <c r="N7">
        <f t="shared" si="9"/>
        <v>56.258881057874532</v>
      </c>
      <c r="O7" t="b">
        <f t="shared" si="10"/>
        <v>0</v>
      </c>
      <c r="P7">
        <f t="shared" si="11"/>
        <v>56.258881057874532</v>
      </c>
      <c r="Q7" t="b">
        <f t="shared" si="12"/>
        <v>0</v>
      </c>
      <c r="R7" t="b">
        <f t="shared" si="13"/>
        <v>0</v>
      </c>
      <c r="S7" t="b">
        <f t="shared" si="14"/>
        <v>0</v>
      </c>
      <c r="T7" t="b">
        <f t="shared" si="15"/>
        <v>0</v>
      </c>
      <c r="U7" t="b">
        <f t="shared" si="16"/>
        <v>0</v>
      </c>
      <c r="V7" t="b">
        <f t="shared" si="17"/>
        <v>0</v>
      </c>
      <c r="W7" t="b">
        <f t="shared" si="18"/>
        <v>0</v>
      </c>
      <c r="X7">
        <f t="shared" si="19"/>
        <v>56.258881057874532</v>
      </c>
      <c r="Z7">
        <v>0.46864223151341289</v>
      </c>
      <c r="AA7">
        <v>0.73372600482192452</v>
      </c>
      <c r="AB7">
        <v>0.33295693838312934</v>
      </c>
      <c r="AC7">
        <v>0.83968626972258675</v>
      </c>
      <c r="AD7">
        <v>0.44276253547776728</v>
      </c>
      <c r="AE7">
        <v>0.65416425061799977</v>
      </c>
      <c r="AF7">
        <v>0.28757591479232153</v>
      </c>
      <c r="AG7">
        <v>9.5614490188299206E-2</v>
      </c>
      <c r="AH7">
        <v>0.5127719962157048</v>
      </c>
      <c r="AI7">
        <v>0.33860286263618883</v>
      </c>
      <c r="AJ7">
        <v>0.71233252967925043</v>
      </c>
      <c r="AK7">
        <v>4.2573320719016081E-2</v>
      </c>
      <c r="AL7">
        <v>0.87597277748954738</v>
      </c>
      <c r="AM7">
        <v>0.53389080477309492</v>
      </c>
      <c r="AN7">
        <v>0.69487594225898008</v>
      </c>
      <c r="AO7">
        <v>0.48097170934171574</v>
      </c>
      <c r="AP7">
        <v>0.79549546800134285</v>
      </c>
      <c r="AQ7">
        <v>0.89361247596667381</v>
      </c>
      <c r="AR7">
        <v>0.79403057954649492</v>
      </c>
      <c r="AS7">
        <v>4.8829615161595508E-2</v>
      </c>
    </row>
    <row r="8" spans="1:45">
      <c r="A8">
        <v>6</v>
      </c>
      <c r="B8">
        <v>46.760743670165539</v>
      </c>
      <c r="E8">
        <f t="shared" si="0"/>
        <v>46.760743670165539</v>
      </c>
      <c r="F8">
        <f t="shared" si="1"/>
        <v>46.760743670165539</v>
      </c>
      <c r="G8" t="b">
        <f t="shared" si="2"/>
        <v>0</v>
      </c>
      <c r="H8">
        <f t="shared" si="3"/>
        <v>46.760743670165539</v>
      </c>
      <c r="I8">
        <f t="shared" si="4"/>
        <v>46.760743670165539</v>
      </c>
      <c r="J8">
        <f t="shared" si="5"/>
        <v>46.760743670165539</v>
      </c>
      <c r="K8" t="b">
        <f t="shared" si="6"/>
        <v>0</v>
      </c>
      <c r="L8" t="b">
        <f t="shared" si="7"/>
        <v>0</v>
      </c>
      <c r="M8" t="b">
        <f t="shared" si="8"/>
        <v>0</v>
      </c>
      <c r="N8" t="b">
        <f t="shared" si="9"/>
        <v>0</v>
      </c>
      <c r="O8">
        <f t="shared" si="10"/>
        <v>46.760743670165539</v>
      </c>
      <c r="P8">
        <f t="shared" si="11"/>
        <v>46.760743670165539</v>
      </c>
      <c r="Q8" t="b">
        <f t="shared" si="12"/>
        <v>0</v>
      </c>
      <c r="R8" t="b">
        <f t="shared" si="13"/>
        <v>0</v>
      </c>
      <c r="S8" t="b">
        <f t="shared" si="14"/>
        <v>0</v>
      </c>
      <c r="T8">
        <f t="shared" si="15"/>
        <v>46.760743670165539</v>
      </c>
      <c r="U8">
        <f t="shared" si="16"/>
        <v>46.760743670165539</v>
      </c>
      <c r="V8">
        <f t="shared" si="17"/>
        <v>46.760743670165539</v>
      </c>
      <c r="W8">
        <f t="shared" si="18"/>
        <v>46.760743670165539</v>
      </c>
      <c r="X8" t="b">
        <f t="shared" si="19"/>
        <v>0</v>
      </c>
      <c r="Z8">
        <v>0.32602923673207801</v>
      </c>
      <c r="AA8">
        <v>0.37870418408764916</v>
      </c>
      <c r="AB8">
        <v>0.44691305276650289</v>
      </c>
      <c r="AC8">
        <v>0.25055696279793693</v>
      </c>
      <c r="AD8">
        <v>0.25366985076448867</v>
      </c>
      <c r="AE8">
        <v>0.18530838953825496</v>
      </c>
      <c r="AF8">
        <v>0.51808221686452838</v>
      </c>
      <c r="AG8">
        <v>0.78466139713736383</v>
      </c>
      <c r="AH8">
        <v>0.74642170476393932</v>
      </c>
      <c r="AI8">
        <v>0.40824610126041444</v>
      </c>
      <c r="AJ8">
        <v>0.29450361644337292</v>
      </c>
      <c r="AK8">
        <v>0.39191869869075596</v>
      </c>
      <c r="AL8">
        <v>0.50236518448438983</v>
      </c>
      <c r="AM8">
        <v>0.74565874202703941</v>
      </c>
      <c r="AN8">
        <v>0.44370860927152317</v>
      </c>
      <c r="AO8">
        <v>0.11020233771782587</v>
      </c>
      <c r="AP8">
        <v>0.19528794213690603</v>
      </c>
      <c r="AQ8">
        <v>8.6245307779168071E-2</v>
      </c>
      <c r="AR8">
        <v>0.2750938444166387</v>
      </c>
      <c r="AS8">
        <v>0.72264778588213752</v>
      </c>
    </row>
    <row r="9" spans="1:45">
      <c r="A9">
        <v>7</v>
      </c>
      <c r="B9">
        <v>78.905924409627914</v>
      </c>
      <c r="E9" t="b">
        <f t="shared" si="0"/>
        <v>0</v>
      </c>
      <c r="F9">
        <f t="shared" si="1"/>
        <v>78.905924409627914</v>
      </c>
      <c r="G9">
        <f t="shared" si="2"/>
        <v>78.905924409627914</v>
      </c>
      <c r="H9" t="b">
        <f t="shared" si="3"/>
        <v>0</v>
      </c>
      <c r="I9" t="b">
        <f t="shared" si="4"/>
        <v>0</v>
      </c>
      <c r="J9">
        <f t="shared" si="5"/>
        <v>78.905924409627914</v>
      </c>
      <c r="K9">
        <f t="shared" si="6"/>
        <v>78.905924409627914</v>
      </c>
      <c r="L9" t="b">
        <f t="shared" si="7"/>
        <v>0</v>
      </c>
      <c r="M9" t="b">
        <f t="shared" si="8"/>
        <v>0</v>
      </c>
      <c r="N9">
        <f t="shared" si="9"/>
        <v>78.905924409627914</v>
      </c>
      <c r="O9">
        <f t="shared" si="10"/>
        <v>78.905924409627914</v>
      </c>
      <c r="P9" t="b">
        <f t="shared" si="11"/>
        <v>0</v>
      </c>
      <c r="Q9">
        <f t="shared" si="12"/>
        <v>78.905924409627914</v>
      </c>
      <c r="R9">
        <f t="shared" si="13"/>
        <v>78.905924409627914</v>
      </c>
      <c r="S9">
        <f t="shared" si="14"/>
        <v>78.905924409627914</v>
      </c>
      <c r="T9" t="b">
        <f t="shared" si="15"/>
        <v>0</v>
      </c>
      <c r="U9" t="b">
        <f t="shared" si="16"/>
        <v>0</v>
      </c>
      <c r="V9" t="b">
        <f t="shared" si="17"/>
        <v>0</v>
      </c>
      <c r="W9" t="b">
        <f t="shared" si="18"/>
        <v>0</v>
      </c>
      <c r="X9" t="b">
        <f t="shared" si="19"/>
        <v>0</v>
      </c>
      <c r="Z9">
        <v>0.78673665578173158</v>
      </c>
      <c r="AA9">
        <v>4.3244727927488021E-2</v>
      </c>
      <c r="AB9">
        <v>0.14615314188055056</v>
      </c>
      <c r="AC9">
        <v>0.57502975554673907</v>
      </c>
      <c r="AD9">
        <v>0.51063570055238505</v>
      </c>
      <c r="AE9">
        <v>0.23197119052705467</v>
      </c>
      <c r="AF9">
        <v>0.39893795587023528</v>
      </c>
      <c r="AG9">
        <v>0.65858943449201945</v>
      </c>
      <c r="AH9">
        <v>0.83794671468245496</v>
      </c>
      <c r="AI9">
        <v>0.20584734641560107</v>
      </c>
      <c r="AJ9">
        <v>4.0375988036744283E-2</v>
      </c>
      <c r="AK9">
        <v>0.49815363017670217</v>
      </c>
      <c r="AL9">
        <v>0.21558275093844417</v>
      </c>
      <c r="AM9">
        <v>0.31986449781792659</v>
      </c>
      <c r="AN9">
        <v>0.15073091830195012</v>
      </c>
      <c r="AO9">
        <v>0.98614459669789722</v>
      </c>
      <c r="AP9">
        <v>0.71813104647968995</v>
      </c>
      <c r="AQ9">
        <v>0.64125492110965299</v>
      </c>
      <c r="AR9">
        <v>0.51399273659474476</v>
      </c>
      <c r="AS9">
        <v>0.47077852717673269</v>
      </c>
    </row>
    <row r="10" spans="1:45">
      <c r="A10">
        <v>8</v>
      </c>
      <c r="B10">
        <v>47.999691458971938</v>
      </c>
      <c r="E10" t="b">
        <f t="shared" si="0"/>
        <v>0</v>
      </c>
      <c r="F10">
        <f t="shared" si="1"/>
        <v>47.999691458971938</v>
      </c>
      <c r="G10" t="b">
        <f t="shared" si="2"/>
        <v>0</v>
      </c>
      <c r="H10">
        <f t="shared" si="3"/>
        <v>47.999691458971938</v>
      </c>
      <c r="I10" t="b">
        <f t="shared" si="4"/>
        <v>0</v>
      </c>
      <c r="J10">
        <f t="shared" si="5"/>
        <v>47.999691458971938</v>
      </c>
      <c r="K10">
        <f t="shared" si="6"/>
        <v>47.999691458971938</v>
      </c>
      <c r="L10">
        <f t="shared" si="7"/>
        <v>47.999691458971938</v>
      </c>
      <c r="M10" t="b">
        <f t="shared" si="8"/>
        <v>0</v>
      </c>
      <c r="N10" t="b">
        <f t="shared" si="9"/>
        <v>0</v>
      </c>
      <c r="O10" t="b">
        <f t="shared" si="10"/>
        <v>0</v>
      </c>
      <c r="P10">
        <f t="shared" si="11"/>
        <v>47.999691458971938</v>
      </c>
      <c r="Q10" t="b">
        <f t="shared" si="12"/>
        <v>0</v>
      </c>
      <c r="R10" t="b">
        <f t="shared" si="13"/>
        <v>0</v>
      </c>
      <c r="S10">
        <f t="shared" si="14"/>
        <v>47.999691458971938</v>
      </c>
      <c r="T10" t="b">
        <f t="shared" si="15"/>
        <v>0</v>
      </c>
      <c r="U10">
        <f t="shared" si="16"/>
        <v>47.999691458971938</v>
      </c>
      <c r="V10">
        <f t="shared" si="17"/>
        <v>47.999691458971938</v>
      </c>
      <c r="W10" t="b">
        <f t="shared" si="18"/>
        <v>0</v>
      </c>
      <c r="X10" t="b">
        <f t="shared" si="19"/>
        <v>0</v>
      </c>
      <c r="Z10">
        <v>0.54185613574633018</v>
      </c>
      <c r="AA10">
        <v>0.24140140995513779</v>
      </c>
      <c r="AB10">
        <v>0.43946653645435957</v>
      </c>
      <c r="AC10">
        <v>0.19681386761070591</v>
      </c>
      <c r="AD10">
        <v>0.64510025330362863</v>
      </c>
      <c r="AE10">
        <v>0.31458479567857905</v>
      </c>
      <c r="AF10">
        <v>0.2370677816095462</v>
      </c>
      <c r="AG10">
        <v>0.25437177648243658</v>
      </c>
      <c r="AH10">
        <v>0.61531418805505544</v>
      </c>
      <c r="AI10">
        <v>0.49272133548997465</v>
      </c>
      <c r="AJ10">
        <v>0.87115085299233985</v>
      </c>
      <c r="AK10">
        <v>0.37125766777550584</v>
      </c>
      <c r="AL10">
        <v>0.72762230292672503</v>
      </c>
      <c r="AM10">
        <v>0.70696127201147496</v>
      </c>
      <c r="AN10">
        <v>0.26773888363292336</v>
      </c>
      <c r="AO10">
        <v>0.65669728690450757</v>
      </c>
      <c r="AP10">
        <v>7.2328867458113344E-2</v>
      </c>
      <c r="AQ10">
        <v>0.18890957365642261</v>
      </c>
      <c r="AR10">
        <v>0.91619617297891176</v>
      </c>
      <c r="AS10">
        <v>0.50090029602954189</v>
      </c>
    </row>
    <row r="11" spans="1:45">
      <c r="A11">
        <v>9</v>
      </c>
      <c r="B11">
        <v>75.671397452242672</v>
      </c>
      <c r="E11" t="b">
        <f t="shared" si="0"/>
        <v>0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>
        <f t="shared" si="4"/>
        <v>75.671397452242672</v>
      </c>
      <c r="J11">
        <f t="shared" si="5"/>
        <v>75.671397452242672</v>
      </c>
      <c r="K11" t="b">
        <f t="shared" si="6"/>
        <v>0</v>
      </c>
      <c r="L11" t="b">
        <f t="shared" si="7"/>
        <v>0</v>
      </c>
      <c r="M11" t="b">
        <f t="shared" si="8"/>
        <v>0</v>
      </c>
      <c r="N11" t="b">
        <f t="shared" si="9"/>
        <v>0</v>
      </c>
      <c r="O11" t="b">
        <f t="shared" si="10"/>
        <v>0</v>
      </c>
      <c r="P11" t="b">
        <f t="shared" si="11"/>
        <v>0</v>
      </c>
      <c r="Q11" t="b">
        <f t="shared" si="12"/>
        <v>0</v>
      </c>
      <c r="R11">
        <f t="shared" si="13"/>
        <v>75.671397452242672</v>
      </c>
      <c r="S11">
        <f t="shared" si="14"/>
        <v>75.671397452242672</v>
      </c>
      <c r="T11" t="b">
        <f t="shared" si="15"/>
        <v>0</v>
      </c>
      <c r="U11" t="b">
        <f t="shared" si="16"/>
        <v>0</v>
      </c>
      <c r="V11" t="b">
        <f t="shared" si="17"/>
        <v>0</v>
      </c>
      <c r="W11" t="b">
        <f t="shared" si="18"/>
        <v>0</v>
      </c>
      <c r="X11" t="b">
        <f t="shared" si="19"/>
        <v>0</v>
      </c>
      <c r="Z11">
        <v>0.88360240485854669</v>
      </c>
      <c r="AA11">
        <v>0.43031098361156039</v>
      </c>
      <c r="AB11">
        <v>0.76650288399914546</v>
      </c>
      <c r="AC11">
        <v>0.92614520706808678</v>
      </c>
      <c r="AD11">
        <v>0.1511581774346141</v>
      </c>
      <c r="AE11">
        <v>0.23868526261177403</v>
      </c>
      <c r="AF11">
        <v>0.56471449934385209</v>
      </c>
      <c r="AG11">
        <v>0.69161046174504837</v>
      </c>
      <c r="AH11">
        <v>0.88409070101016263</v>
      </c>
      <c r="AI11">
        <v>0.4225898007141331</v>
      </c>
      <c r="AJ11">
        <v>0.95468001342814413</v>
      </c>
      <c r="AK11">
        <v>0.94756920072023687</v>
      </c>
      <c r="AL11">
        <v>0.47209082308420058</v>
      </c>
      <c r="AM11">
        <v>0.19104586931974243</v>
      </c>
      <c r="AN11">
        <v>0.24979400006103702</v>
      </c>
      <c r="AO11">
        <v>0.64690084536271253</v>
      </c>
      <c r="AP11">
        <v>0.57487716299935909</v>
      </c>
      <c r="AQ11">
        <v>0.41508224738303784</v>
      </c>
      <c r="AR11">
        <v>0.57615894039735094</v>
      </c>
      <c r="AS11">
        <v>0.88537247840815458</v>
      </c>
    </row>
    <row r="12" spans="1:45">
      <c r="A12">
        <v>10</v>
      </c>
      <c r="B12">
        <v>32.325380187830888</v>
      </c>
      <c r="E12" t="b">
        <f t="shared" si="0"/>
        <v>0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>
        <f t="shared" si="4"/>
        <v>32.325380187830888</v>
      </c>
      <c r="J12" t="b">
        <f t="shared" si="5"/>
        <v>0</v>
      </c>
      <c r="K12" t="b">
        <f t="shared" si="6"/>
        <v>0</v>
      </c>
      <c r="L12" t="b">
        <f t="shared" si="7"/>
        <v>0</v>
      </c>
      <c r="M12" t="b">
        <f t="shared" si="8"/>
        <v>0</v>
      </c>
      <c r="N12" t="b">
        <f t="shared" si="9"/>
        <v>0</v>
      </c>
      <c r="O12" t="b">
        <f t="shared" si="10"/>
        <v>0</v>
      </c>
      <c r="P12">
        <f t="shared" si="11"/>
        <v>32.325380187830888</v>
      </c>
      <c r="Q12">
        <f t="shared" si="12"/>
        <v>32.325380187830888</v>
      </c>
      <c r="R12">
        <f t="shared" si="13"/>
        <v>32.325380187830888</v>
      </c>
      <c r="S12">
        <f t="shared" si="14"/>
        <v>32.325380187830888</v>
      </c>
      <c r="T12" t="b">
        <f t="shared" si="15"/>
        <v>0</v>
      </c>
      <c r="U12" t="b">
        <f t="shared" si="16"/>
        <v>0</v>
      </c>
      <c r="V12">
        <f t="shared" si="17"/>
        <v>32.325380187830888</v>
      </c>
      <c r="W12" t="b">
        <f t="shared" si="18"/>
        <v>0</v>
      </c>
      <c r="X12">
        <f t="shared" si="19"/>
        <v>32.325380187830888</v>
      </c>
      <c r="Z12">
        <v>0.45301675466170233</v>
      </c>
      <c r="AA12">
        <v>0.9430219428083132</v>
      </c>
      <c r="AB12">
        <v>0.67213965269936216</v>
      </c>
      <c r="AC12">
        <v>0.55882442701498458</v>
      </c>
      <c r="AD12">
        <v>0.16248054445020904</v>
      </c>
      <c r="AE12">
        <v>0.60264900662251653</v>
      </c>
      <c r="AF12">
        <v>0.90108951078829314</v>
      </c>
      <c r="AG12">
        <v>0.53151036103396709</v>
      </c>
      <c r="AH12">
        <v>0.41615039521469771</v>
      </c>
      <c r="AI12">
        <v>0.87524033326212347</v>
      </c>
      <c r="AJ12">
        <v>0.56834620197149566</v>
      </c>
      <c r="AK12">
        <v>0.22415845210119939</v>
      </c>
      <c r="AL12">
        <v>3.2685323648792994E-2</v>
      </c>
      <c r="AM12">
        <v>0.108615375225074</v>
      </c>
      <c r="AN12">
        <v>0.38749351481673633</v>
      </c>
      <c r="AO12">
        <v>0.49711600085451829</v>
      </c>
      <c r="AP12">
        <v>0.43064668721579635</v>
      </c>
      <c r="AQ12">
        <v>3.9735099337748346E-2</v>
      </c>
      <c r="AR12">
        <v>0.8929105502487259</v>
      </c>
      <c r="AS12">
        <v>6.3142796105838186E-2</v>
      </c>
    </row>
    <row r="13" spans="1:45">
      <c r="A13">
        <v>11</v>
      </c>
      <c r="B13">
        <v>42.664288583910093</v>
      </c>
      <c r="E13">
        <f t="shared" si="0"/>
        <v>42.664288583910093</v>
      </c>
      <c r="F13" t="b">
        <f t="shared" si="1"/>
        <v>0</v>
      </c>
      <c r="G13" t="b">
        <f t="shared" si="2"/>
        <v>0</v>
      </c>
      <c r="H13">
        <f t="shared" si="3"/>
        <v>42.664288583910093</v>
      </c>
      <c r="I13" t="b">
        <f t="shared" si="4"/>
        <v>0</v>
      </c>
      <c r="J13" t="b">
        <f t="shared" si="5"/>
        <v>0</v>
      </c>
      <c r="K13">
        <f t="shared" si="6"/>
        <v>42.664288583910093</v>
      </c>
      <c r="L13">
        <f t="shared" si="7"/>
        <v>42.664288583910093</v>
      </c>
      <c r="M13" t="b">
        <f t="shared" si="8"/>
        <v>0</v>
      </c>
      <c r="N13" t="b">
        <f t="shared" si="9"/>
        <v>0</v>
      </c>
      <c r="O13" t="b">
        <f t="shared" si="10"/>
        <v>0</v>
      </c>
      <c r="P13">
        <f t="shared" si="11"/>
        <v>42.664288583910093</v>
      </c>
      <c r="Q13" t="b">
        <f t="shared" si="12"/>
        <v>0</v>
      </c>
      <c r="R13">
        <f t="shared" si="13"/>
        <v>42.664288583910093</v>
      </c>
      <c r="S13" t="b">
        <f t="shared" si="14"/>
        <v>0</v>
      </c>
      <c r="T13">
        <f t="shared" si="15"/>
        <v>42.664288583910093</v>
      </c>
      <c r="U13" t="b">
        <f t="shared" si="16"/>
        <v>0</v>
      </c>
      <c r="V13">
        <f t="shared" si="17"/>
        <v>42.664288583910093</v>
      </c>
      <c r="W13">
        <f t="shared" si="18"/>
        <v>42.664288583910093</v>
      </c>
      <c r="X13">
        <f t="shared" si="19"/>
        <v>42.664288583910093</v>
      </c>
      <c r="Z13">
        <v>0.33628345591601305</v>
      </c>
      <c r="AA13">
        <v>0.4064455092013306</v>
      </c>
      <c r="AB13">
        <v>0.43128757591479233</v>
      </c>
      <c r="AC13">
        <v>0.36506241035187842</v>
      </c>
      <c r="AD13">
        <v>0.89577929013946955</v>
      </c>
      <c r="AE13">
        <v>0.73668630024109627</v>
      </c>
      <c r="AF13">
        <v>0.12729270302438428</v>
      </c>
      <c r="AG13">
        <v>7.8157902768028809E-2</v>
      </c>
      <c r="AH13">
        <v>0.76900540177617727</v>
      </c>
      <c r="AI13">
        <v>0.83132419812616354</v>
      </c>
      <c r="AJ13">
        <v>0.55040131839960937</v>
      </c>
      <c r="AK13">
        <v>3.3448286385692923E-2</v>
      </c>
      <c r="AL13">
        <v>0.43293557542649619</v>
      </c>
      <c r="AM13">
        <v>0.1390423291726432</v>
      </c>
      <c r="AN13">
        <v>0.45503097628711814</v>
      </c>
      <c r="AO13">
        <v>0.26029236732078004</v>
      </c>
      <c r="AP13">
        <v>0.91659291360209971</v>
      </c>
      <c r="AQ13">
        <v>0.23694570757164221</v>
      </c>
      <c r="AR13">
        <v>0.39194921720023196</v>
      </c>
      <c r="AS13">
        <v>0.12701803643910031</v>
      </c>
    </row>
    <row r="14" spans="1:45">
      <c r="A14">
        <v>12</v>
      </c>
      <c r="B14">
        <v>45.10646375711076</v>
      </c>
      <c r="E14" t="b">
        <f t="shared" si="0"/>
        <v>0</v>
      </c>
      <c r="F14">
        <f t="shared" si="1"/>
        <v>45.10646375711076</v>
      </c>
      <c r="G14" t="b">
        <f t="shared" si="2"/>
        <v>0</v>
      </c>
      <c r="H14">
        <f t="shared" si="3"/>
        <v>45.10646375711076</v>
      </c>
      <c r="I14" t="b">
        <f t="shared" si="4"/>
        <v>0</v>
      </c>
      <c r="J14">
        <f t="shared" si="5"/>
        <v>45.10646375711076</v>
      </c>
      <c r="K14" t="b">
        <f t="shared" si="6"/>
        <v>0</v>
      </c>
      <c r="L14" t="b">
        <f t="shared" si="7"/>
        <v>0</v>
      </c>
      <c r="M14">
        <f t="shared" si="8"/>
        <v>45.10646375711076</v>
      </c>
      <c r="N14">
        <f t="shared" si="9"/>
        <v>45.10646375711076</v>
      </c>
      <c r="O14">
        <f t="shared" si="10"/>
        <v>45.10646375711076</v>
      </c>
      <c r="P14">
        <f t="shared" si="11"/>
        <v>45.10646375711076</v>
      </c>
      <c r="Q14">
        <f t="shared" si="12"/>
        <v>45.10646375711076</v>
      </c>
      <c r="R14" t="b">
        <f t="shared" si="13"/>
        <v>0</v>
      </c>
      <c r="S14" t="b">
        <f t="shared" si="14"/>
        <v>0</v>
      </c>
      <c r="T14" t="b">
        <f t="shared" si="15"/>
        <v>0</v>
      </c>
      <c r="U14" t="b">
        <f t="shared" si="16"/>
        <v>0</v>
      </c>
      <c r="V14" t="b">
        <f t="shared" si="17"/>
        <v>0</v>
      </c>
      <c r="W14" t="b">
        <f t="shared" si="18"/>
        <v>0</v>
      </c>
      <c r="X14" t="b">
        <f t="shared" si="19"/>
        <v>0</v>
      </c>
      <c r="Z14">
        <v>0.44456312753685112</v>
      </c>
      <c r="AA14">
        <v>9.0365306558427685E-2</v>
      </c>
      <c r="AB14">
        <v>0.53755302591021459</v>
      </c>
      <c r="AC14">
        <v>1.8280587176122319E-2</v>
      </c>
      <c r="AD14">
        <v>0.6810510574663533</v>
      </c>
      <c r="AE14">
        <v>0.16266365550706505</v>
      </c>
      <c r="AF14">
        <v>0.45417645802179024</v>
      </c>
      <c r="AG14">
        <v>0.43256935331278418</v>
      </c>
      <c r="AH14">
        <v>0.25257118442335275</v>
      </c>
      <c r="AI14">
        <v>8.5024567400128176E-2</v>
      </c>
      <c r="AJ14">
        <v>0.17648854029969177</v>
      </c>
      <c r="AK14">
        <v>0.19904171880245369</v>
      </c>
      <c r="AL14">
        <v>0.31336405529953915</v>
      </c>
      <c r="AM14">
        <v>0.84002197332682271</v>
      </c>
      <c r="AN14">
        <v>0.90484328745384079</v>
      </c>
      <c r="AO14">
        <v>0.51579332865382854</v>
      </c>
      <c r="AP14">
        <v>0.54737998596148563</v>
      </c>
      <c r="AQ14">
        <v>0.51689199499496441</v>
      </c>
      <c r="AR14">
        <v>0.94244209112826927</v>
      </c>
      <c r="AS14">
        <v>0.58314767906735432</v>
      </c>
    </row>
    <row r="15" spans="1:45">
      <c r="A15">
        <v>13</v>
      </c>
      <c r="B15">
        <v>55.075435183243826</v>
      </c>
      <c r="E15" t="b">
        <f t="shared" si="0"/>
        <v>0</v>
      </c>
      <c r="F15">
        <f t="shared" si="1"/>
        <v>55.075435183243826</v>
      </c>
      <c r="G15" t="b">
        <f t="shared" si="2"/>
        <v>0</v>
      </c>
      <c r="H15">
        <f t="shared" si="3"/>
        <v>55.075435183243826</v>
      </c>
      <c r="I15" t="b">
        <f t="shared" si="4"/>
        <v>0</v>
      </c>
      <c r="J15" t="b">
        <f t="shared" si="5"/>
        <v>0</v>
      </c>
      <c r="K15" t="b">
        <f t="shared" si="6"/>
        <v>0</v>
      </c>
      <c r="L15" t="b">
        <f t="shared" si="7"/>
        <v>0</v>
      </c>
      <c r="M15">
        <f t="shared" si="8"/>
        <v>55.075435183243826</v>
      </c>
      <c r="N15">
        <f t="shared" si="9"/>
        <v>55.075435183243826</v>
      </c>
      <c r="O15" t="b">
        <f t="shared" si="10"/>
        <v>0</v>
      </c>
      <c r="P15" t="b">
        <f t="shared" si="11"/>
        <v>0</v>
      </c>
      <c r="Q15">
        <f t="shared" si="12"/>
        <v>55.075435183243826</v>
      </c>
      <c r="R15">
        <f t="shared" si="13"/>
        <v>55.075435183243826</v>
      </c>
      <c r="S15" t="b">
        <f t="shared" si="14"/>
        <v>0</v>
      </c>
      <c r="T15">
        <f t="shared" si="15"/>
        <v>55.075435183243826</v>
      </c>
      <c r="U15">
        <f t="shared" si="16"/>
        <v>55.075435183243826</v>
      </c>
      <c r="V15" t="b">
        <f t="shared" si="17"/>
        <v>0</v>
      </c>
      <c r="W15" t="b">
        <f t="shared" si="18"/>
        <v>0</v>
      </c>
      <c r="X15">
        <f t="shared" si="19"/>
        <v>55.075435183243826</v>
      </c>
      <c r="Z15">
        <v>0.53596606341746267</v>
      </c>
      <c r="AA15">
        <v>0.36103396710104679</v>
      </c>
      <c r="AB15">
        <v>0.78337961973937198</v>
      </c>
      <c r="AC15">
        <v>3.0182805871761222E-2</v>
      </c>
      <c r="AD15">
        <v>0.62871181371501816</v>
      </c>
      <c r="AE15">
        <v>0.6752220221564379</v>
      </c>
      <c r="AF15">
        <v>0.93292031617175819</v>
      </c>
      <c r="AG15">
        <v>0.6981414227729118</v>
      </c>
      <c r="AH15">
        <v>9.7689748832667012E-2</v>
      </c>
      <c r="AI15">
        <v>0.38309884945219275</v>
      </c>
      <c r="AJ15">
        <v>0.65071565904721218</v>
      </c>
      <c r="AK15">
        <v>0.75374614703817866</v>
      </c>
      <c r="AL15">
        <v>0.20270393993957336</v>
      </c>
      <c r="AM15">
        <v>5.5787835322122871E-2</v>
      </c>
      <c r="AN15">
        <v>0.97415082247383034</v>
      </c>
      <c r="AO15">
        <v>5.3376873073519092E-2</v>
      </c>
      <c r="AP15">
        <v>1.1658070619830927E-2</v>
      </c>
      <c r="AQ15">
        <v>0.9523606067079684</v>
      </c>
      <c r="AR15">
        <v>0.97222815637684257</v>
      </c>
      <c r="AS15">
        <v>2.1301919614246042E-2</v>
      </c>
    </row>
    <row r="16" spans="1:45">
      <c r="A16">
        <v>14</v>
      </c>
      <c r="B16">
        <v>46.627434484253172</v>
      </c>
      <c r="E16" t="b">
        <f t="shared" si="0"/>
        <v>0</v>
      </c>
      <c r="F16" t="b">
        <f t="shared" si="1"/>
        <v>0</v>
      </c>
      <c r="G16">
        <f t="shared" si="2"/>
        <v>46.627434484253172</v>
      </c>
      <c r="H16" t="b">
        <f t="shared" si="3"/>
        <v>0</v>
      </c>
      <c r="I16" t="b">
        <f t="shared" si="4"/>
        <v>0</v>
      </c>
      <c r="J16" t="b">
        <f t="shared" si="5"/>
        <v>0</v>
      </c>
      <c r="K16" t="b">
        <f t="shared" si="6"/>
        <v>0</v>
      </c>
      <c r="L16" t="b">
        <f t="shared" si="7"/>
        <v>0</v>
      </c>
      <c r="M16">
        <f t="shared" si="8"/>
        <v>46.627434484253172</v>
      </c>
      <c r="N16" t="b">
        <f t="shared" si="9"/>
        <v>0</v>
      </c>
      <c r="O16">
        <f t="shared" si="10"/>
        <v>46.627434484253172</v>
      </c>
      <c r="P16" t="b">
        <f t="shared" si="11"/>
        <v>0</v>
      </c>
      <c r="Q16" t="b">
        <f t="shared" si="12"/>
        <v>0</v>
      </c>
      <c r="R16" t="b">
        <f t="shared" si="13"/>
        <v>0</v>
      </c>
      <c r="S16">
        <f t="shared" si="14"/>
        <v>46.627434484253172</v>
      </c>
      <c r="T16" t="b">
        <f t="shared" si="15"/>
        <v>0</v>
      </c>
      <c r="U16">
        <f t="shared" si="16"/>
        <v>46.627434484253172</v>
      </c>
      <c r="V16">
        <f t="shared" si="17"/>
        <v>46.627434484253172</v>
      </c>
      <c r="W16" t="b">
        <f t="shared" si="18"/>
        <v>0</v>
      </c>
      <c r="X16">
        <f t="shared" si="19"/>
        <v>46.627434484253172</v>
      </c>
      <c r="Z16">
        <v>0.86507766960661636</v>
      </c>
      <c r="AA16">
        <v>0.53306680501724291</v>
      </c>
      <c r="AB16">
        <v>0.30210272530289622</v>
      </c>
      <c r="AC16">
        <v>0.83150730918301952</v>
      </c>
      <c r="AD16">
        <v>0.76650288399914546</v>
      </c>
      <c r="AE16">
        <v>0.79396954252754293</v>
      </c>
      <c r="AF16">
        <v>0.50868251594592118</v>
      </c>
      <c r="AG16">
        <v>0.58992278817102572</v>
      </c>
      <c r="AH16">
        <v>0.31983397930845059</v>
      </c>
      <c r="AI16">
        <v>0.75954466383861807</v>
      </c>
      <c r="AJ16">
        <v>0.14514603106784266</v>
      </c>
      <c r="AK16">
        <v>0.66850795007171848</v>
      </c>
      <c r="AL16">
        <v>0.78841517380291148</v>
      </c>
      <c r="AM16">
        <v>0.73546555986205631</v>
      </c>
      <c r="AN16">
        <v>0.34452345347453228</v>
      </c>
      <c r="AO16">
        <v>0.55482650227362895</v>
      </c>
      <c r="AP16">
        <v>0.14682454908902248</v>
      </c>
      <c r="AQ16">
        <v>0.19592883083590198</v>
      </c>
      <c r="AR16">
        <v>0.59224219489120156</v>
      </c>
      <c r="AS16">
        <v>0.21530808435316018</v>
      </c>
    </row>
    <row r="17" spans="1:45">
      <c r="A17">
        <v>15</v>
      </c>
      <c r="B17">
        <v>45.20539404329611</v>
      </c>
      <c r="E17" t="b">
        <f t="shared" si="0"/>
        <v>0</v>
      </c>
      <c r="F17" t="b">
        <f t="shared" si="1"/>
        <v>0</v>
      </c>
      <c r="G17" t="b">
        <f t="shared" si="2"/>
        <v>0</v>
      </c>
      <c r="H17" t="b">
        <f t="shared" si="3"/>
        <v>0</v>
      </c>
      <c r="I17" t="b">
        <f t="shared" si="4"/>
        <v>0</v>
      </c>
      <c r="J17">
        <f t="shared" si="5"/>
        <v>45.20539404329611</v>
      </c>
      <c r="K17" t="b">
        <f t="shared" si="6"/>
        <v>0</v>
      </c>
      <c r="L17" t="b">
        <f t="shared" si="7"/>
        <v>0</v>
      </c>
      <c r="M17">
        <f t="shared" si="8"/>
        <v>45.20539404329611</v>
      </c>
      <c r="N17">
        <f t="shared" si="9"/>
        <v>45.20539404329611</v>
      </c>
      <c r="O17">
        <f t="shared" si="10"/>
        <v>45.20539404329611</v>
      </c>
      <c r="P17">
        <f t="shared" si="11"/>
        <v>45.20539404329611</v>
      </c>
      <c r="Q17" t="b">
        <f t="shared" si="12"/>
        <v>0</v>
      </c>
      <c r="R17">
        <f t="shared" si="13"/>
        <v>45.20539404329611</v>
      </c>
      <c r="S17" t="b">
        <f t="shared" si="14"/>
        <v>0</v>
      </c>
      <c r="T17" t="b">
        <f t="shared" si="15"/>
        <v>0</v>
      </c>
      <c r="U17">
        <f t="shared" si="16"/>
        <v>45.20539404329611</v>
      </c>
      <c r="V17">
        <f t="shared" si="17"/>
        <v>45.20539404329611</v>
      </c>
      <c r="W17">
        <f t="shared" si="18"/>
        <v>45.20539404329611</v>
      </c>
      <c r="X17" t="b">
        <f t="shared" si="19"/>
        <v>0</v>
      </c>
      <c r="Z17">
        <v>0.40104373302407909</v>
      </c>
      <c r="AA17">
        <v>0.54731894894253363</v>
      </c>
      <c r="AB17">
        <v>0.5382854701376385</v>
      </c>
      <c r="AC17">
        <v>0.84975737784966587</v>
      </c>
      <c r="AD17">
        <v>0.84115115817743458</v>
      </c>
      <c r="AE17">
        <v>0.25318155461287273</v>
      </c>
      <c r="AF17">
        <v>0.86776329844050415</v>
      </c>
      <c r="AG17">
        <v>0.94402905362102119</v>
      </c>
      <c r="AH17">
        <v>3.872798852504044E-2</v>
      </c>
      <c r="AI17">
        <v>3.3661915952024904E-2</v>
      </c>
      <c r="AJ17">
        <v>8.1698049867244479E-2</v>
      </c>
      <c r="AK17">
        <v>0.26136051515243997</v>
      </c>
      <c r="AL17">
        <v>0.92825098422193064</v>
      </c>
      <c r="AM17">
        <v>0.18268379772331919</v>
      </c>
      <c r="AN17">
        <v>0.53636280404065062</v>
      </c>
      <c r="AO17">
        <v>0.97741630298776205</v>
      </c>
      <c r="AP17">
        <v>8.9022492141483806E-2</v>
      </c>
      <c r="AQ17">
        <v>0.1271095919675283</v>
      </c>
      <c r="AR17">
        <v>0.36213263344218266</v>
      </c>
      <c r="AS17">
        <v>0.70448927274391915</v>
      </c>
    </row>
    <row r="18" spans="1:45">
      <c r="A18">
        <v>16</v>
      </c>
      <c r="B18">
        <v>57.799189916113392</v>
      </c>
      <c r="E18" t="b">
        <f t="shared" si="0"/>
        <v>0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>
        <f t="shared" si="4"/>
        <v>57.799189916113392</v>
      </c>
      <c r="J18">
        <f t="shared" si="5"/>
        <v>57.799189916113392</v>
      </c>
      <c r="K18" t="b">
        <f t="shared" si="6"/>
        <v>0</v>
      </c>
      <c r="L18" t="b">
        <f t="shared" si="7"/>
        <v>0</v>
      </c>
      <c r="M18">
        <f t="shared" si="8"/>
        <v>57.799189916113392</v>
      </c>
      <c r="N18" t="b">
        <f t="shared" si="9"/>
        <v>0</v>
      </c>
      <c r="O18" t="b">
        <f t="shared" si="10"/>
        <v>0</v>
      </c>
      <c r="P18">
        <f t="shared" si="11"/>
        <v>57.799189916113392</v>
      </c>
      <c r="Q18" t="b">
        <f t="shared" si="12"/>
        <v>0</v>
      </c>
      <c r="R18" t="b">
        <f t="shared" si="13"/>
        <v>0</v>
      </c>
      <c r="S18" t="b">
        <f t="shared" si="14"/>
        <v>0</v>
      </c>
      <c r="T18">
        <f t="shared" si="15"/>
        <v>57.799189916113392</v>
      </c>
      <c r="U18" t="b">
        <f t="shared" si="16"/>
        <v>0</v>
      </c>
      <c r="V18">
        <f t="shared" si="17"/>
        <v>57.799189916113392</v>
      </c>
      <c r="W18">
        <f t="shared" si="18"/>
        <v>57.799189916113392</v>
      </c>
      <c r="X18">
        <f t="shared" si="19"/>
        <v>57.799189916113392</v>
      </c>
      <c r="Z18">
        <v>0.96301156651509146</v>
      </c>
      <c r="AA18">
        <v>0.67833491012298963</v>
      </c>
      <c r="AB18">
        <v>0.78551591540269172</v>
      </c>
      <c r="AC18">
        <v>0.91476180303353982</v>
      </c>
      <c r="AD18">
        <v>4.3458357493820002E-2</v>
      </c>
      <c r="AE18">
        <v>2.0752586443678091E-3</v>
      </c>
      <c r="AF18">
        <v>0.90966521195104832</v>
      </c>
      <c r="AG18">
        <v>0.88299203466902676</v>
      </c>
      <c r="AH18">
        <v>0.2359385967589343</v>
      </c>
      <c r="AI18">
        <v>0.77574999237037268</v>
      </c>
      <c r="AJ18">
        <v>0.74968718527787104</v>
      </c>
      <c r="AK18">
        <v>0.2542191839350566</v>
      </c>
      <c r="AL18">
        <v>0.74932096316415908</v>
      </c>
      <c r="AM18">
        <v>0.95037690359202853</v>
      </c>
      <c r="AN18">
        <v>0.65111239967040013</v>
      </c>
      <c r="AO18">
        <v>4.8829615161595508E-2</v>
      </c>
      <c r="AP18">
        <v>0.6207770012512589</v>
      </c>
      <c r="AQ18">
        <v>0.31409649952696311</v>
      </c>
      <c r="AR18">
        <v>0.39304788354136783</v>
      </c>
      <c r="AS18">
        <v>2.0813623462630087E-2</v>
      </c>
    </row>
    <row r="19" spans="1:45">
      <c r="A19">
        <v>17</v>
      </c>
      <c r="B19">
        <v>44.70228431164287</v>
      </c>
      <c r="E19" t="b">
        <f t="shared" si="0"/>
        <v>0</v>
      </c>
      <c r="F19" t="b">
        <f t="shared" si="1"/>
        <v>0</v>
      </c>
      <c r="G19" t="b">
        <f t="shared" si="2"/>
        <v>0</v>
      </c>
      <c r="H19" t="b">
        <f t="shared" si="3"/>
        <v>0</v>
      </c>
      <c r="I19" t="b">
        <f t="shared" si="4"/>
        <v>0</v>
      </c>
      <c r="J19" t="b">
        <f t="shared" si="5"/>
        <v>0</v>
      </c>
      <c r="K19" t="b">
        <f t="shared" si="6"/>
        <v>0</v>
      </c>
      <c r="L19">
        <f t="shared" si="7"/>
        <v>44.70228431164287</v>
      </c>
      <c r="M19">
        <f t="shared" si="8"/>
        <v>44.70228431164287</v>
      </c>
      <c r="N19">
        <f t="shared" si="9"/>
        <v>44.70228431164287</v>
      </c>
      <c r="O19">
        <f t="shared" si="10"/>
        <v>44.70228431164287</v>
      </c>
      <c r="P19" t="b">
        <f t="shared" si="11"/>
        <v>0</v>
      </c>
      <c r="Q19">
        <f t="shared" si="12"/>
        <v>44.70228431164287</v>
      </c>
      <c r="R19" t="b">
        <f t="shared" si="13"/>
        <v>0</v>
      </c>
      <c r="S19">
        <f t="shared" si="14"/>
        <v>44.70228431164287</v>
      </c>
      <c r="T19" t="b">
        <f t="shared" si="15"/>
        <v>0</v>
      </c>
      <c r="U19">
        <f t="shared" si="16"/>
        <v>44.70228431164287</v>
      </c>
      <c r="V19" t="b">
        <f t="shared" si="17"/>
        <v>0</v>
      </c>
      <c r="W19">
        <f t="shared" si="18"/>
        <v>44.70228431164287</v>
      </c>
      <c r="X19" t="b">
        <f t="shared" si="19"/>
        <v>0</v>
      </c>
      <c r="Z19">
        <v>0.60762352366710415</v>
      </c>
      <c r="AA19">
        <v>0.51551866206854458</v>
      </c>
      <c r="AB19">
        <v>0.80944242683187351</v>
      </c>
      <c r="AC19">
        <v>0.69090853602710045</v>
      </c>
      <c r="AD19">
        <v>0.80895413068025757</v>
      </c>
      <c r="AE19">
        <v>0.51054414502395706</v>
      </c>
      <c r="AF19">
        <v>0.70888393810846273</v>
      </c>
      <c r="AG19">
        <v>0.29389324625385294</v>
      </c>
      <c r="AH19">
        <v>0.23059785760063478</v>
      </c>
      <c r="AI19">
        <v>0.14929654835657827</v>
      </c>
      <c r="AJ19">
        <v>1.9775994140446181E-2</v>
      </c>
      <c r="AK19">
        <v>0.4476760155034028</v>
      </c>
      <c r="AL19">
        <v>0.17444380016479996</v>
      </c>
      <c r="AM19">
        <v>0.60890530106509599</v>
      </c>
      <c r="AN19">
        <v>2.3194067201757866E-2</v>
      </c>
      <c r="AO19">
        <v>0.44120609149449141</v>
      </c>
      <c r="AP19">
        <v>0.26239814447462384</v>
      </c>
      <c r="AQ19">
        <v>0.89904477065340127</v>
      </c>
      <c r="AR19">
        <v>0.21140171514023254</v>
      </c>
      <c r="AS19">
        <v>0.53862117374187446</v>
      </c>
    </row>
    <row r="20" spans="1:45">
      <c r="A20">
        <v>18</v>
      </c>
      <c r="B20">
        <v>68.675109458854422</v>
      </c>
      <c r="E20">
        <f t="shared" si="0"/>
        <v>68.675109458854422</v>
      </c>
      <c r="F20">
        <f t="shared" si="1"/>
        <v>68.675109458854422</v>
      </c>
      <c r="G20">
        <f t="shared" si="2"/>
        <v>68.675109458854422</v>
      </c>
      <c r="H20">
        <f t="shared" si="3"/>
        <v>68.675109458854422</v>
      </c>
      <c r="I20" t="b">
        <f t="shared" si="4"/>
        <v>0</v>
      </c>
      <c r="J20" t="b">
        <f t="shared" si="5"/>
        <v>0</v>
      </c>
      <c r="K20" t="b">
        <f t="shared" si="6"/>
        <v>0</v>
      </c>
      <c r="L20" t="b">
        <f t="shared" si="7"/>
        <v>0</v>
      </c>
      <c r="M20" t="b">
        <f t="shared" si="8"/>
        <v>0</v>
      </c>
      <c r="N20" t="b">
        <f t="shared" si="9"/>
        <v>0</v>
      </c>
      <c r="O20" t="b">
        <f t="shared" si="10"/>
        <v>0</v>
      </c>
      <c r="P20">
        <f t="shared" si="11"/>
        <v>68.675109458854422</v>
      </c>
      <c r="Q20">
        <f t="shared" si="12"/>
        <v>68.675109458854422</v>
      </c>
      <c r="R20" t="b">
        <f t="shared" si="13"/>
        <v>0</v>
      </c>
      <c r="S20" t="b">
        <f t="shared" si="14"/>
        <v>0</v>
      </c>
      <c r="T20" t="b">
        <f t="shared" si="15"/>
        <v>0</v>
      </c>
      <c r="U20" t="b">
        <f t="shared" si="16"/>
        <v>0</v>
      </c>
      <c r="V20">
        <f t="shared" si="17"/>
        <v>68.675109458854422</v>
      </c>
      <c r="W20" t="b">
        <f t="shared" si="18"/>
        <v>0</v>
      </c>
      <c r="X20" t="b">
        <f t="shared" si="19"/>
        <v>0</v>
      </c>
      <c r="Z20">
        <v>0.29425946836756495</v>
      </c>
      <c r="AA20">
        <v>0.39411603137302775</v>
      </c>
      <c r="AB20">
        <v>0.27701651051362652</v>
      </c>
      <c r="AC20">
        <v>0.22098452711569566</v>
      </c>
      <c r="AD20">
        <v>0.69063386944181648</v>
      </c>
      <c r="AE20">
        <v>0.63829462569048123</v>
      </c>
      <c r="AF20">
        <v>0.44199957274086732</v>
      </c>
      <c r="AG20">
        <v>0.44184698019348734</v>
      </c>
      <c r="AH20">
        <v>0.65599536118655966</v>
      </c>
      <c r="AI20">
        <v>0.53212073122348702</v>
      </c>
      <c r="AJ20">
        <v>0.4706869716483047</v>
      </c>
      <c r="AK20">
        <v>0.31366924039429916</v>
      </c>
      <c r="AL20">
        <v>0.22583697012237922</v>
      </c>
      <c r="AM20">
        <v>0.58922086245307781</v>
      </c>
      <c r="AN20">
        <v>0.42948698385570849</v>
      </c>
      <c r="AO20">
        <v>0.9276406140324106</v>
      </c>
      <c r="AP20">
        <v>0.44618060853907893</v>
      </c>
      <c r="AQ20">
        <v>0.14221625415814693</v>
      </c>
      <c r="AR20">
        <v>0.92730491042817464</v>
      </c>
      <c r="AS20">
        <v>0.56730857264931178</v>
      </c>
    </row>
    <row r="21" spans="1:45">
      <c r="A21">
        <v>19</v>
      </c>
      <c r="B21">
        <v>63.266117093735375</v>
      </c>
      <c r="E21">
        <f t="shared" si="0"/>
        <v>63.266117093735375</v>
      </c>
      <c r="F21" t="b">
        <f t="shared" si="1"/>
        <v>0</v>
      </c>
      <c r="G21">
        <f t="shared" si="2"/>
        <v>63.266117093735375</v>
      </c>
      <c r="H21" t="b">
        <f t="shared" si="3"/>
        <v>0</v>
      </c>
      <c r="I21">
        <f t="shared" si="4"/>
        <v>63.266117093735375</v>
      </c>
      <c r="J21" t="b">
        <f t="shared" si="5"/>
        <v>0</v>
      </c>
      <c r="K21">
        <f t="shared" si="6"/>
        <v>63.266117093735375</v>
      </c>
      <c r="L21" t="b">
        <f t="shared" si="7"/>
        <v>0</v>
      </c>
      <c r="M21" t="b">
        <f t="shared" si="8"/>
        <v>0</v>
      </c>
      <c r="N21">
        <f t="shared" si="9"/>
        <v>63.266117093735375</v>
      </c>
      <c r="O21">
        <f t="shared" si="10"/>
        <v>63.266117093735375</v>
      </c>
      <c r="P21" t="b">
        <f t="shared" si="11"/>
        <v>0</v>
      </c>
      <c r="Q21">
        <f t="shared" si="12"/>
        <v>63.266117093735375</v>
      </c>
      <c r="R21">
        <f t="shared" si="13"/>
        <v>63.266117093735375</v>
      </c>
      <c r="S21">
        <f t="shared" si="14"/>
        <v>63.266117093735375</v>
      </c>
      <c r="T21">
        <f t="shared" si="15"/>
        <v>63.266117093735375</v>
      </c>
      <c r="U21" t="b">
        <f t="shared" si="16"/>
        <v>0</v>
      </c>
      <c r="V21" t="b">
        <f t="shared" si="17"/>
        <v>0</v>
      </c>
      <c r="W21">
        <f t="shared" si="18"/>
        <v>63.266117093735375</v>
      </c>
      <c r="X21" t="b">
        <f t="shared" si="19"/>
        <v>0</v>
      </c>
      <c r="Z21">
        <v>0.36899929807428206</v>
      </c>
      <c r="AA21">
        <v>0.8996246223334452</v>
      </c>
      <c r="AB21">
        <v>0.37296670430616169</v>
      </c>
      <c r="AC21">
        <v>0.6905117954039125</v>
      </c>
      <c r="AD21">
        <v>0.22571489608447523</v>
      </c>
      <c r="AE21">
        <v>0.55461287270729698</v>
      </c>
      <c r="AF21">
        <v>7.040620136112552E-2</v>
      </c>
      <c r="AG21">
        <v>0.59724723044526506</v>
      </c>
      <c r="AH21">
        <v>0.54942472609637749</v>
      </c>
      <c r="AI21">
        <v>0.32877590258491773</v>
      </c>
      <c r="AJ21">
        <v>0.31736198004089478</v>
      </c>
      <c r="AK21">
        <v>0.58983123264259774</v>
      </c>
      <c r="AL21">
        <v>0.10629596850489823</v>
      </c>
      <c r="AM21">
        <v>0.34952848902859585</v>
      </c>
      <c r="AN21">
        <v>0.35853144932401504</v>
      </c>
      <c r="AO21">
        <v>0.26554155095065157</v>
      </c>
      <c r="AP21">
        <v>0.79271828363902708</v>
      </c>
      <c r="AQ21">
        <v>0.81588183233130895</v>
      </c>
      <c r="AR21">
        <v>0.38502151554918057</v>
      </c>
      <c r="AS21">
        <v>0.90374462111270482</v>
      </c>
    </row>
    <row r="22" spans="1:45">
      <c r="A22">
        <v>20</v>
      </c>
      <c r="B22">
        <v>63.833096090820618</v>
      </c>
      <c r="E22" t="b">
        <f t="shared" si="0"/>
        <v>0</v>
      </c>
      <c r="F22" t="b">
        <f t="shared" si="1"/>
        <v>0</v>
      </c>
      <c r="G22">
        <f t="shared" si="2"/>
        <v>63.833096090820618</v>
      </c>
      <c r="H22" t="b">
        <f t="shared" si="3"/>
        <v>0</v>
      </c>
      <c r="I22" t="b">
        <f t="shared" si="4"/>
        <v>0</v>
      </c>
      <c r="J22" t="b">
        <f t="shared" si="5"/>
        <v>0</v>
      </c>
      <c r="K22" t="b">
        <f t="shared" si="6"/>
        <v>0</v>
      </c>
      <c r="L22">
        <f t="shared" si="7"/>
        <v>63.833096090820618</v>
      </c>
      <c r="M22" t="b">
        <f t="shared" si="8"/>
        <v>0</v>
      </c>
      <c r="N22" t="b">
        <f t="shared" si="9"/>
        <v>0</v>
      </c>
      <c r="O22" t="b">
        <f t="shared" si="10"/>
        <v>0</v>
      </c>
      <c r="P22">
        <f t="shared" si="11"/>
        <v>63.833096090820618</v>
      </c>
      <c r="Q22" t="b">
        <f t="shared" si="12"/>
        <v>0</v>
      </c>
      <c r="R22">
        <f t="shared" si="13"/>
        <v>63.833096090820618</v>
      </c>
      <c r="S22">
        <f t="shared" si="14"/>
        <v>63.833096090820618</v>
      </c>
      <c r="T22" t="b">
        <f t="shared" si="15"/>
        <v>0</v>
      </c>
      <c r="U22" t="b">
        <f t="shared" si="16"/>
        <v>0</v>
      </c>
      <c r="V22">
        <f t="shared" si="17"/>
        <v>63.833096090820618</v>
      </c>
      <c r="W22" t="b">
        <f t="shared" si="18"/>
        <v>0</v>
      </c>
      <c r="X22" t="b">
        <f t="shared" si="19"/>
        <v>0</v>
      </c>
      <c r="Z22">
        <v>0.88146610919522694</v>
      </c>
      <c r="AA22">
        <v>0.65608691671498764</v>
      </c>
      <c r="AB22">
        <v>0.21918393505661182</v>
      </c>
      <c r="AC22">
        <v>0.8137455366679891</v>
      </c>
      <c r="AD22">
        <v>0.84420300912503432</v>
      </c>
      <c r="AE22">
        <v>0.81386761070589309</v>
      </c>
      <c r="AF22">
        <v>0.71150852992339852</v>
      </c>
      <c r="AG22">
        <v>0.12936796166875209</v>
      </c>
      <c r="AH22">
        <v>0.45106357005523851</v>
      </c>
      <c r="AI22">
        <v>0.53709524826807453</v>
      </c>
      <c r="AJ22">
        <v>0.74275948362681965</v>
      </c>
      <c r="AK22">
        <v>0.31897946104312264</v>
      </c>
      <c r="AL22">
        <v>0.97405926694540235</v>
      </c>
      <c r="AM22">
        <v>0.36689352092043825</v>
      </c>
      <c r="AN22">
        <v>8.6397900326548052E-2</v>
      </c>
      <c r="AO22">
        <v>0.8171941282387768</v>
      </c>
      <c r="AP22">
        <v>0.70622882778405105</v>
      </c>
      <c r="AQ22">
        <v>4.6479689931943721E-2</v>
      </c>
      <c r="AR22">
        <v>0.74925992614520709</v>
      </c>
      <c r="AS22">
        <v>0.73351237525559254</v>
      </c>
    </row>
    <row r="23" spans="1:45">
      <c r="A23">
        <v>21</v>
      </c>
      <c r="B23">
        <v>61.624229045992251</v>
      </c>
      <c r="E23">
        <f t="shared" si="0"/>
        <v>61.624229045992251</v>
      </c>
      <c r="F23" t="b">
        <f t="shared" si="1"/>
        <v>0</v>
      </c>
      <c r="G23" t="b">
        <f t="shared" si="2"/>
        <v>0</v>
      </c>
      <c r="H23" t="b">
        <f t="shared" si="3"/>
        <v>0</v>
      </c>
      <c r="I23">
        <f t="shared" si="4"/>
        <v>61.624229045992251</v>
      </c>
      <c r="J23">
        <f t="shared" si="5"/>
        <v>61.624229045992251</v>
      </c>
      <c r="K23" t="b">
        <f t="shared" si="6"/>
        <v>0</v>
      </c>
      <c r="L23">
        <f t="shared" si="7"/>
        <v>61.624229045992251</v>
      </c>
      <c r="M23">
        <f t="shared" si="8"/>
        <v>61.624229045992251</v>
      </c>
      <c r="N23">
        <f t="shared" si="9"/>
        <v>61.624229045992251</v>
      </c>
      <c r="O23">
        <f t="shared" si="10"/>
        <v>61.624229045992251</v>
      </c>
      <c r="P23" t="b">
        <f t="shared" si="11"/>
        <v>0</v>
      </c>
      <c r="Q23">
        <f t="shared" si="12"/>
        <v>61.624229045992251</v>
      </c>
      <c r="R23">
        <f t="shared" si="13"/>
        <v>61.624229045992251</v>
      </c>
      <c r="S23" t="b">
        <f t="shared" si="14"/>
        <v>0</v>
      </c>
      <c r="T23">
        <f t="shared" si="15"/>
        <v>61.624229045992251</v>
      </c>
      <c r="U23" t="b">
        <f t="shared" si="16"/>
        <v>0</v>
      </c>
      <c r="V23">
        <f t="shared" si="17"/>
        <v>61.624229045992251</v>
      </c>
      <c r="W23">
        <f t="shared" si="18"/>
        <v>61.624229045992251</v>
      </c>
      <c r="X23" t="b">
        <f t="shared" si="19"/>
        <v>0</v>
      </c>
      <c r="Z23">
        <v>0.29517502365184484</v>
      </c>
      <c r="AA23">
        <v>0.96395764030884734</v>
      </c>
      <c r="AB23">
        <v>0.65334025086214786</v>
      </c>
      <c r="AC23">
        <v>0.42353587450788904</v>
      </c>
      <c r="AD23">
        <v>0.32197027497177039</v>
      </c>
      <c r="AE23">
        <v>0.32718894009216593</v>
      </c>
      <c r="AF23">
        <v>0.7270424512466811</v>
      </c>
      <c r="AG23">
        <v>0.22962126529740287</v>
      </c>
      <c r="AH23">
        <v>0.26911221655934325</v>
      </c>
      <c r="AI23">
        <v>4.7425763725699635E-2</v>
      </c>
      <c r="AJ23">
        <v>0.21347697378460037</v>
      </c>
      <c r="AK23">
        <v>0.84420300912503432</v>
      </c>
      <c r="AL23">
        <v>0.13425092318491164</v>
      </c>
      <c r="AM23">
        <v>3.5248878444776754E-2</v>
      </c>
      <c r="AN23">
        <v>0.56483657338175608</v>
      </c>
      <c r="AO23">
        <v>0.13916440321054721</v>
      </c>
      <c r="AP23">
        <v>0.84456923123874628</v>
      </c>
      <c r="AQ23">
        <v>0.19092379528183845</v>
      </c>
      <c r="AR23">
        <v>2.1576586199530016E-2</v>
      </c>
      <c r="AS23">
        <v>0.64818262276070437</v>
      </c>
    </row>
    <row r="24" spans="1:45">
      <c r="A24">
        <v>22</v>
      </c>
      <c r="B24">
        <v>39.3997255639988</v>
      </c>
      <c r="E24" t="b">
        <f t="shared" si="0"/>
        <v>0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>
        <f t="shared" si="4"/>
        <v>39.3997255639988</v>
      </c>
      <c r="J24">
        <f t="shared" si="5"/>
        <v>39.3997255639988</v>
      </c>
      <c r="K24" t="b">
        <f t="shared" si="6"/>
        <v>0</v>
      </c>
      <c r="L24" t="b">
        <f t="shared" si="7"/>
        <v>0</v>
      </c>
      <c r="M24">
        <f t="shared" si="8"/>
        <v>39.3997255639988</v>
      </c>
      <c r="N24" t="b">
        <f t="shared" si="9"/>
        <v>0</v>
      </c>
      <c r="O24" t="b">
        <f t="shared" si="10"/>
        <v>0</v>
      </c>
      <c r="P24">
        <f t="shared" si="11"/>
        <v>39.3997255639988</v>
      </c>
      <c r="Q24" t="b">
        <f t="shared" si="12"/>
        <v>0</v>
      </c>
      <c r="R24" t="b">
        <f t="shared" si="13"/>
        <v>0</v>
      </c>
      <c r="S24">
        <f t="shared" si="14"/>
        <v>39.3997255639988</v>
      </c>
      <c r="T24">
        <f t="shared" si="15"/>
        <v>39.3997255639988</v>
      </c>
      <c r="U24">
        <f t="shared" si="16"/>
        <v>39.3997255639988</v>
      </c>
      <c r="V24">
        <f t="shared" si="17"/>
        <v>39.3997255639988</v>
      </c>
      <c r="W24" t="b">
        <f t="shared" si="18"/>
        <v>0</v>
      </c>
      <c r="X24" t="b">
        <f t="shared" si="19"/>
        <v>0</v>
      </c>
      <c r="Z24">
        <v>0.90636921292764061</v>
      </c>
      <c r="AA24">
        <v>0.5952330088198492</v>
      </c>
      <c r="AB24">
        <v>0.69035920285653252</v>
      </c>
      <c r="AC24">
        <v>0.54432813501388588</v>
      </c>
      <c r="AD24">
        <v>0.19080172124393444</v>
      </c>
      <c r="AE24">
        <v>0.24677266762291331</v>
      </c>
      <c r="AF24">
        <v>0.73088778344065675</v>
      </c>
      <c r="AG24">
        <v>0.90786461989196443</v>
      </c>
      <c r="AH24">
        <v>0.23261207922605059</v>
      </c>
      <c r="AI24">
        <v>0.96041749320963166</v>
      </c>
      <c r="AJ24">
        <v>0.72847682119205293</v>
      </c>
      <c r="AK24">
        <v>0.15976439710684531</v>
      </c>
      <c r="AL24">
        <v>0.69258705404828025</v>
      </c>
      <c r="AM24">
        <v>0.58427686391796629</v>
      </c>
      <c r="AN24">
        <v>2.8168584246345409E-2</v>
      </c>
      <c r="AO24">
        <v>7.138279366435743E-2</v>
      </c>
      <c r="AP24">
        <v>0.12118900112918485</v>
      </c>
      <c r="AQ24">
        <v>2.0783104953154087E-2</v>
      </c>
      <c r="AR24">
        <v>0.91290017395550405</v>
      </c>
      <c r="AS24">
        <v>0.75063325907162692</v>
      </c>
    </row>
    <row r="25" spans="1:45">
      <c r="A25">
        <v>23</v>
      </c>
      <c r="B25">
        <v>34.177384249051102</v>
      </c>
      <c r="E25">
        <f t="shared" si="0"/>
        <v>34.177384249051102</v>
      </c>
      <c r="F25" t="b">
        <f t="shared" si="1"/>
        <v>0</v>
      </c>
      <c r="G25" t="b">
        <f t="shared" si="2"/>
        <v>0</v>
      </c>
      <c r="H25">
        <f t="shared" si="3"/>
        <v>34.177384249051102</v>
      </c>
      <c r="I25">
        <f t="shared" si="4"/>
        <v>34.177384249051102</v>
      </c>
      <c r="J25">
        <f t="shared" si="5"/>
        <v>34.177384249051102</v>
      </c>
      <c r="K25">
        <f t="shared" si="6"/>
        <v>34.177384249051102</v>
      </c>
      <c r="L25" t="b">
        <f t="shared" si="7"/>
        <v>0</v>
      </c>
      <c r="M25" t="b">
        <f t="shared" si="8"/>
        <v>0</v>
      </c>
      <c r="N25">
        <f t="shared" si="9"/>
        <v>34.177384249051102</v>
      </c>
      <c r="O25">
        <f t="shared" si="10"/>
        <v>34.177384249051102</v>
      </c>
      <c r="P25" t="b">
        <f t="shared" si="11"/>
        <v>0</v>
      </c>
      <c r="Q25">
        <f t="shared" si="12"/>
        <v>34.177384249051102</v>
      </c>
      <c r="R25" t="b">
        <f t="shared" si="13"/>
        <v>0</v>
      </c>
      <c r="S25">
        <f t="shared" si="14"/>
        <v>34.177384249051102</v>
      </c>
      <c r="T25">
        <f t="shared" si="15"/>
        <v>34.177384249051102</v>
      </c>
      <c r="U25">
        <f t="shared" si="16"/>
        <v>34.177384249051102</v>
      </c>
      <c r="V25">
        <f t="shared" si="17"/>
        <v>34.177384249051102</v>
      </c>
      <c r="W25" t="b">
        <f t="shared" si="18"/>
        <v>0</v>
      </c>
      <c r="X25" t="b">
        <f t="shared" si="19"/>
        <v>0</v>
      </c>
      <c r="Z25">
        <v>0.36362804040650654</v>
      </c>
      <c r="AA25">
        <v>0.81563768425550098</v>
      </c>
      <c r="AB25">
        <v>0.71047090060121465</v>
      </c>
      <c r="AC25">
        <v>6.5950498977629932E-2</v>
      </c>
      <c r="AD25">
        <v>1.9226660969878231E-3</v>
      </c>
      <c r="AE25">
        <v>0.31904049806207463</v>
      </c>
      <c r="AF25">
        <v>9.558397167882321E-2</v>
      </c>
      <c r="AG25">
        <v>0.77324747459334087</v>
      </c>
      <c r="AH25">
        <v>0.64577166051210055</v>
      </c>
      <c r="AI25">
        <v>2.9999694814905241E-2</v>
      </c>
      <c r="AJ25">
        <v>0.33542893765068515</v>
      </c>
      <c r="AK25">
        <v>0.8664815210425123</v>
      </c>
      <c r="AL25">
        <v>0.17825861384929961</v>
      </c>
      <c r="AM25">
        <v>0.74452955717642755</v>
      </c>
      <c r="AN25">
        <v>0.39185766167180397</v>
      </c>
      <c r="AO25">
        <v>0.35831781975768301</v>
      </c>
      <c r="AP25">
        <v>0.39304788354136783</v>
      </c>
      <c r="AQ25">
        <v>7.5075533310953093E-3</v>
      </c>
      <c r="AR25">
        <v>0.94512771996215705</v>
      </c>
      <c r="AS25">
        <v>0.478286080507828</v>
      </c>
    </row>
    <row r="26" spans="1:45">
      <c r="A26">
        <v>24</v>
      </c>
      <c r="B26">
        <v>41.38103703444358</v>
      </c>
      <c r="E26">
        <f t="shared" si="0"/>
        <v>41.38103703444358</v>
      </c>
      <c r="F26">
        <f t="shared" si="1"/>
        <v>41.38103703444358</v>
      </c>
      <c r="G26">
        <f t="shared" si="2"/>
        <v>41.38103703444358</v>
      </c>
      <c r="H26" t="b">
        <f t="shared" si="3"/>
        <v>0</v>
      </c>
      <c r="I26" t="b">
        <f t="shared" si="4"/>
        <v>0</v>
      </c>
      <c r="J26" t="b">
        <f t="shared" si="5"/>
        <v>0</v>
      </c>
      <c r="K26">
        <f t="shared" si="6"/>
        <v>41.38103703444358</v>
      </c>
      <c r="L26" t="b">
        <f t="shared" si="7"/>
        <v>0</v>
      </c>
      <c r="M26" t="b">
        <f t="shared" si="8"/>
        <v>0</v>
      </c>
      <c r="N26">
        <f t="shared" si="9"/>
        <v>41.38103703444358</v>
      </c>
      <c r="O26">
        <f t="shared" si="10"/>
        <v>41.38103703444358</v>
      </c>
      <c r="P26" t="b">
        <f t="shared" si="11"/>
        <v>0</v>
      </c>
      <c r="Q26" t="b">
        <f t="shared" si="12"/>
        <v>0</v>
      </c>
      <c r="R26">
        <f t="shared" si="13"/>
        <v>41.38103703444358</v>
      </c>
      <c r="S26" t="b">
        <f t="shared" si="14"/>
        <v>0</v>
      </c>
      <c r="T26" t="b">
        <f t="shared" si="15"/>
        <v>0</v>
      </c>
      <c r="U26" t="b">
        <f t="shared" si="16"/>
        <v>0</v>
      </c>
      <c r="V26" t="b">
        <f t="shared" si="17"/>
        <v>0</v>
      </c>
      <c r="W26">
        <f t="shared" si="18"/>
        <v>41.38103703444358</v>
      </c>
      <c r="X26">
        <f t="shared" si="19"/>
        <v>41.38103703444358</v>
      </c>
      <c r="Z26">
        <v>0.21689504684591204</v>
      </c>
      <c r="AA26">
        <v>0.10180974761192664</v>
      </c>
      <c r="AB26">
        <v>0.21732230597857602</v>
      </c>
      <c r="AC26">
        <v>0.73915829950865197</v>
      </c>
      <c r="AD26">
        <v>0.53111362041077914</v>
      </c>
      <c r="AE26">
        <v>0.69569994201483198</v>
      </c>
      <c r="AF26">
        <v>0.24219489120151372</v>
      </c>
      <c r="AG26">
        <v>0.99700918607135225</v>
      </c>
      <c r="AH26">
        <v>0.5042573320719016</v>
      </c>
      <c r="AI26">
        <v>0.30375072481460008</v>
      </c>
      <c r="AJ26">
        <v>0.27411725211340676</v>
      </c>
      <c r="AK26">
        <v>0.90124210333567312</v>
      </c>
      <c r="AL26">
        <v>0.87398907437360762</v>
      </c>
      <c r="AM26">
        <v>0.19980468153935363</v>
      </c>
      <c r="AN26">
        <v>0.57145908993804739</v>
      </c>
      <c r="AO26">
        <v>0.66447950682088686</v>
      </c>
      <c r="AP26">
        <v>0.49540696432386244</v>
      </c>
      <c r="AQ26">
        <v>0.97103793450727871</v>
      </c>
      <c r="AR26">
        <v>0.24393444624164556</v>
      </c>
      <c r="AS26">
        <v>1.0895107882930999E-2</v>
      </c>
    </row>
    <row r="27" spans="1:45">
      <c r="A27">
        <v>25</v>
      </c>
      <c r="B27">
        <v>52.882495664380258</v>
      </c>
      <c r="E27" t="b">
        <f t="shared" si="0"/>
        <v>0</v>
      </c>
      <c r="F27" t="b">
        <f t="shared" si="1"/>
        <v>0</v>
      </c>
      <c r="G27">
        <f t="shared" si="2"/>
        <v>52.882495664380258</v>
      </c>
      <c r="H27">
        <f t="shared" si="3"/>
        <v>52.882495664380258</v>
      </c>
      <c r="I27">
        <f t="shared" si="4"/>
        <v>52.882495664380258</v>
      </c>
      <c r="J27">
        <f t="shared" si="5"/>
        <v>52.882495664380258</v>
      </c>
      <c r="K27">
        <f t="shared" si="6"/>
        <v>52.882495664380258</v>
      </c>
      <c r="L27">
        <f t="shared" si="7"/>
        <v>52.882495664380258</v>
      </c>
      <c r="M27" t="b">
        <f t="shared" si="8"/>
        <v>0</v>
      </c>
      <c r="N27" t="b">
        <f t="shared" si="9"/>
        <v>0</v>
      </c>
      <c r="O27">
        <f t="shared" si="10"/>
        <v>52.882495664380258</v>
      </c>
      <c r="P27">
        <f t="shared" si="11"/>
        <v>52.882495664380258</v>
      </c>
      <c r="Q27">
        <f t="shared" si="12"/>
        <v>52.882495664380258</v>
      </c>
      <c r="R27">
        <f t="shared" si="13"/>
        <v>52.882495664380258</v>
      </c>
      <c r="S27" t="b">
        <f t="shared" si="14"/>
        <v>0</v>
      </c>
      <c r="T27">
        <f t="shared" si="15"/>
        <v>52.882495664380258</v>
      </c>
      <c r="U27" t="b">
        <f t="shared" si="16"/>
        <v>0</v>
      </c>
      <c r="V27" t="b">
        <f t="shared" si="17"/>
        <v>0</v>
      </c>
      <c r="W27" t="b">
        <f t="shared" si="18"/>
        <v>0</v>
      </c>
      <c r="X27">
        <f t="shared" si="19"/>
        <v>52.882495664380258</v>
      </c>
      <c r="Z27">
        <v>0.53273110141300695</v>
      </c>
      <c r="AA27">
        <v>0.68935209204382453</v>
      </c>
      <c r="AB27">
        <v>1.0650959807123021E-2</v>
      </c>
      <c r="AC27">
        <v>0.20777001251258889</v>
      </c>
      <c r="AD27">
        <v>2.9328287606433301E-2</v>
      </c>
      <c r="AE27">
        <v>0.1379741813409833</v>
      </c>
      <c r="AF27">
        <v>0.15591906491286966</v>
      </c>
      <c r="AG27">
        <v>0.37864314706869717</v>
      </c>
      <c r="AH27">
        <v>0.45652638325144201</v>
      </c>
      <c r="AI27">
        <v>0.75792718283639027</v>
      </c>
      <c r="AJ27">
        <v>0.39759514145329145</v>
      </c>
      <c r="AK27">
        <v>0.34025086214789269</v>
      </c>
      <c r="AL27">
        <v>0.20761741996520891</v>
      </c>
      <c r="AM27">
        <v>9.2776268807031465E-3</v>
      </c>
      <c r="AN27">
        <v>0.42359691152684104</v>
      </c>
      <c r="AO27">
        <v>0.13046662800988801</v>
      </c>
      <c r="AP27">
        <v>0.43736075930051577</v>
      </c>
      <c r="AQ27">
        <v>0.90353099154637284</v>
      </c>
      <c r="AR27">
        <v>0.83639027069917904</v>
      </c>
      <c r="AS27">
        <v>6.8880275887325662E-2</v>
      </c>
    </row>
    <row r="28" spans="1:45">
      <c r="A28">
        <v>26</v>
      </c>
      <c r="B28">
        <v>77.951318770647049</v>
      </c>
      <c r="E28" t="b">
        <f t="shared" si="0"/>
        <v>0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 t="b">
        <f t="shared" si="4"/>
        <v>0</v>
      </c>
      <c r="J28" t="b">
        <f t="shared" si="5"/>
        <v>0</v>
      </c>
      <c r="K28">
        <f t="shared" si="6"/>
        <v>77.951318770647049</v>
      </c>
      <c r="L28">
        <f t="shared" si="7"/>
        <v>77.951318770647049</v>
      </c>
      <c r="M28">
        <f t="shared" si="8"/>
        <v>77.951318770647049</v>
      </c>
      <c r="N28" t="b">
        <f t="shared" si="9"/>
        <v>0</v>
      </c>
      <c r="O28" t="b">
        <f t="shared" si="10"/>
        <v>0</v>
      </c>
      <c r="P28">
        <f t="shared" si="11"/>
        <v>77.951318770647049</v>
      </c>
      <c r="Q28">
        <f t="shared" si="12"/>
        <v>77.951318770647049</v>
      </c>
      <c r="R28">
        <f t="shared" si="13"/>
        <v>77.951318770647049</v>
      </c>
      <c r="S28" t="b">
        <f t="shared" si="14"/>
        <v>0</v>
      </c>
      <c r="T28" t="b">
        <f t="shared" si="15"/>
        <v>0</v>
      </c>
      <c r="U28" t="b">
        <f t="shared" si="16"/>
        <v>0</v>
      </c>
      <c r="V28" t="b">
        <f t="shared" si="17"/>
        <v>0</v>
      </c>
      <c r="W28">
        <f t="shared" si="18"/>
        <v>77.951318770647049</v>
      </c>
      <c r="X28" t="b">
        <f t="shared" si="19"/>
        <v>0</v>
      </c>
      <c r="Z28">
        <v>0.42976165044099246</v>
      </c>
      <c r="AA28">
        <v>0.64259773552659694</v>
      </c>
      <c r="AB28">
        <v>0.94927823725089266</v>
      </c>
      <c r="AC28">
        <v>0.8027588732566302</v>
      </c>
      <c r="AD28">
        <v>0.59532456434827719</v>
      </c>
      <c r="AE28">
        <v>0.63841669972838522</v>
      </c>
      <c r="AF28">
        <v>0.30671102023377178</v>
      </c>
      <c r="AG28">
        <v>0.22894985808893092</v>
      </c>
      <c r="AH28">
        <v>0.22107608264412365</v>
      </c>
      <c r="AI28">
        <v>0.84664448988311414</v>
      </c>
      <c r="AJ28">
        <v>0.70329905087435529</v>
      </c>
      <c r="AK28">
        <v>2.8199102755821406E-2</v>
      </c>
      <c r="AL28">
        <v>0.1968749046296579</v>
      </c>
      <c r="AM28">
        <v>0.27771843623157444</v>
      </c>
      <c r="AN28">
        <v>0.72325815607165744</v>
      </c>
      <c r="AO28">
        <v>0.47639393292031618</v>
      </c>
      <c r="AP28">
        <v>0.98638874477370531</v>
      </c>
      <c r="AQ28">
        <v>0.53257850886562697</v>
      </c>
      <c r="AR28">
        <v>1.2543107394634847E-2</v>
      </c>
      <c r="AS28">
        <v>0.67525254066591389</v>
      </c>
    </row>
    <row r="29" spans="1:45">
      <c r="A29">
        <v>27</v>
      </c>
      <c r="B29">
        <v>27.881634549703449</v>
      </c>
      <c r="E29">
        <f t="shared" si="0"/>
        <v>27.881634549703449</v>
      </c>
      <c r="F29">
        <f t="shared" si="1"/>
        <v>27.881634549703449</v>
      </c>
      <c r="G29">
        <f t="shared" si="2"/>
        <v>27.881634549703449</v>
      </c>
      <c r="H29" t="b">
        <f t="shared" si="3"/>
        <v>0</v>
      </c>
      <c r="I29" t="b">
        <f t="shared" si="4"/>
        <v>0</v>
      </c>
      <c r="J29">
        <f t="shared" si="5"/>
        <v>27.881634549703449</v>
      </c>
      <c r="K29" t="b">
        <f t="shared" si="6"/>
        <v>0</v>
      </c>
      <c r="L29" t="b">
        <f t="shared" si="7"/>
        <v>0</v>
      </c>
      <c r="M29" t="b">
        <f t="shared" si="8"/>
        <v>0</v>
      </c>
      <c r="N29">
        <f t="shared" si="9"/>
        <v>27.881634549703449</v>
      </c>
      <c r="O29" t="b">
        <f t="shared" si="10"/>
        <v>0</v>
      </c>
      <c r="P29" t="b">
        <f t="shared" si="11"/>
        <v>0</v>
      </c>
      <c r="Q29">
        <f t="shared" si="12"/>
        <v>27.881634549703449</v>
      </c>
      <c r="R29" t="b">
        <f t="shared" si="13"/>
        <v>0</v>
      </c>
      <c r="S29">
        <f t="shared" si="14"/>
        <v>27.881634549703449</v>
      </c>
      <c r="T29">
        <f t="shared" si="15"/>
        <v>27.881634549703449</v>
      </c>
      <c r="U29">
        <f t="shared" si="16"/>
        <v>27.881634549703449</v>
      </c>
      <c r="V29">
        <f t="shared" si="17"/>
        <v>27.881634549703449</v>
      </c>
      <c r="W29">
        <f t="shared" si="18"/>
        <v>27.881634549703449</v>
      </c>
      <c r="X29">
        <f t="shared" si="19"/>
        <v>27.881634549703449</v>
      </c>
      <c r="Z29">
        <v>2.8962065492721335E-2</v>
      </c>
      <c r="AA29">
        <v>0.21076082644123662</v>
      </c>
      <c r="AB29">
        <v>0.26151310769981995</v>
      </c>
      <c r="AC29">
        <v>0.4727622302926725</v>
      </c>
      <c r="AD29">
        <v>0.79314554277169103</v>
      </c>
      <c r="AE29">
        <v>0.33649708548234503</v>
      </c>
      <c r="AF29">
        <v>0.59285256508072148</v>
      </c>
      <c r="AG29">
        <v>0.46473586230048525</v>
      </c>
      <c r="AH29">
        <v>0.52525406659138762</v>
      </c>
      <c r="AI29">
        <v>1.7761772515030368E-2</v>
      </c>
      <c r="AJ29">
        <v>0.50379955442976165</v>
      </c>
      <c r="AK29">
        <v>0.69487594225898008</v>
      </c>
      <c r="AL29">
        <v>0.21225623340556046</v>
      </c>
      <c r="AM29">
        <v>0.52644428846095159</v>
      </c>
      <c r="AN29">
        <v>7.0131534775841553E-2</v>
      </c>
      <c r="AO29">
        <v>0.22391430402539139</v>
      </c>
      <c r="AP29">
        <v>0.1770683919797357</v>
      </c>
      <c r="AQ29">
        <v>0.26697592089602346</v>
      </c>
      <c r="AR29">
        <v>7.0528275399029505E-2</v>
      </c>
      <c r="AS29">
        <v>0.17584765160069582</v>
      </c>
    </row>
    <row r="30" spans="1:45">
      <c r="A30">
        <v>28</v>
      </c>
      <c r="B30">
        <v>54.876289949606871</v>
      </c>
      <c r="E30" t="b">
        <f t="shared" si="0"/>
        <v>0</v>
      </c>
      <c r="F30" t="b">
        <f t="shared" si="1"/>
        <v>0</v>
      </c>
      <c r="G30" t="b">
        <f t="shared" si="2"/>
        <v>0</v>
      </c>
      <c r="H30">
        <f t="shared" si="3"/>
        <v>54.876289949606871</v>
      </c>
      <c r="I30" t="b">
        <f t="shared" si="4"/>
        <v>0</v>
      </c>
      <c r="J30" t="b">
        <f t="shared" si="5"/>
        <v>0</v>
      </c>
      <c r="K30">
        <f t="shared" si="6"/>
        <v>54.876289949606871</v>
      </c>
      <c r="L30" t="b">
        <f t="shared" si="7"/>
        <v>0</v>
      </c>
      <c r="M30">
        <f t="shared" si="8"/>
        <v>54.876289949606871</v>
      </c>
      <c r="N30">
        <f t="shared" si="9"/>
        <v>54.876289949606871</v>
      </c>
      <c r="O30" t="b">
        <f t="shared" si="10"/>
        <v>0</v>
      </c>
      <c r="P30" t="b">
        <f t="shared" si="11"/>
        <v>0</v>
      </c>
      <c r="Q30" t="b">
        <f t="shared" si="12"/>
        <v>0</v>
      </c>
      <c r="R30" t="b">
        <f t="shared" si="13"/>
        <v>0</v>
      </c>
      <c r="S30" t="b">
        <f t="shared" si="14"/>
        <v>0</v>
      </c>
      <c r="T30">
        <f t="shared" si="15"/>
        <v>54.876289949606871</v>
      </c>
      <c r="U30">
        <f t="shared" si="16"/>
        <v>54.876289949606871</v>
      </c>
      <c r="V30" t="b">
        <f t="shared" si="17"/>
        <v>0</v>
      </c>
      <c r="W30">
        <f t="shared" si="18"/>
        <v>54.876289949606871</v>
      </c>
      <c r="X30" t="b">
        <f t="shared" si="19"/>
        <v>0</v>
      </c>
      <c r="Z30">
        <v>0.91015350810266427</v>
      </c>
      <c r="AA30">
        <v>0.4468520157475509</v>
      </c>
      <c r="AB30">
        <v>0.72423474837488933</v>
      </c>
      <c r="AC30">
        <v>0.14319284646137884</v>
      </c>
      <c r="AD30">
        <v>0.89205603198339789</v>
      </c>
      <c r="AE30">
        <v>0.85048982207708979</v>
      </c>
      <c r="AF30">
        <v>0.19388409070101018</v>
      </c>
      <c r="AG30">
        <v>0.50700399792474138</v>
      </c>
      <c r="AH30">
        <v>3.9155247657704395E-2</v>
      </c>
      <c r="AI30">
        <v>2.3834955900753806E-2</v>
      </c>
      <c r="AJ30">
        <v>0.60451063570055241</v>
      </c>
      <c r="AK30">
        <v>0.70720542008728293</v>
      </c>
      <c r="AL30">
        <v>0.86547441022980443</v>
      </c>
      <c r="AM30">
        <v>0.59465315713980527</v>
      </c>
      <c r="AN30">
        <v>0.48612933744315928</v>
      </c>
      <c r="AO30">
        <v>1.8616290780358287E-3</v>
      </c>
      <c r="AP30">
        <v>0.10245063631092258</v>
      </c>
      <c r="AQ30">
        <v>0.70232245857112341</v>
      </c>
      <c r="AR30">
        <v>0.16226691488387707</v>
      </c>
      <c r="AS30">
        <v>0.61076693014313177</v>
      </c>
    </row>
    <row r="31" spans="1:45">
      <c r="A31">
        <v>29</v>
      </c>
      <c r="B31">
        <v>45.385701367922593</v>
      </c>
      <c r="E31" t="b">
        <f t="shared" si="0"/>
        <v>0</v>
      </c>
      <c r="F31">
        <f t="shared" si="1"/>
        <v>45.385701367922593</v>
      </c>
      <c r="G31">
        <f t="shared" si="2"/>
        <v>45.385701367922593</v>
      </c>
      <c r="H31" t="b">
        <f t="shared" si="3"/>
        <v>0</v>
      </c>
      <c r="I31" t="b">
        <f t="shared" si="4"/>
        <v>0</v>
      </c>
      <c r="J31" t="b">
        <f t="shared" si="5"/>
        <v>0</v>
      </c>
      <c r="K31" t="b">
        <f t="shared" si="6"/>
        <v>0</v>
      </c>
      <c r="L31" t="b">
        <f t="shared" si="7"/>
        <v>0</v>
      </c>
      <c r="M31" t="b">
        <f t="shared" si="8"/>
        <v>0</v>
      </c>
      <c r="N31" t="b">
        <f t="shared" si="9"/>
        <v>0</v>
      </c>
      <c r="O31" t="b">
        <f t="shared" si="10"/>
        <v>0</v>
      </c>
      <c r="P31" t="b">
        <f t="shared" si="11"/>
        <v>0</v>
      </c>
      <c r="Q31">
        <f t="shared" si="12"/>
        <v>45.385701367922593</v>
      </c>
      <c r="R31" t="b">
        <f t="shared" si="13"/>
        <v>0</v>
      </c>
      <c r="S31">
        <f t="shared" si="14"/>
        <v>45.385701367922593</v>
      </c>
      <c r="T31">
        <f t="shared" si="15"/>
        <v>45.385701367922593</v>
      </c>
      <c r="U31">
        <f t="shared" si="16"/>
        <v>45.385701367922593</v>
      </c>
      <c r="V31" t="b">
        <f t="shared" si="17"/>
        <v>0</v>
      </c>
      <c r="W31" t="b">
        <f t="shared" si="18"/>
        <v>0</v>
      </c>
      <c r="X31" t="b">
        <f t="shared" si="19"/>
        <v>0</v>
      </c>
      <c r="Z31">
        <v>0.83938108462782679</v>
      </c>
      <c r="AA31">
        <v>4.4465468306527908E-2</v>
      </c>
      <c r="AB31">
        <v>9.2745750297555468E-2</v>
      </c>
      <c r="AC31">
        <v>0.60112308114871671</v>
      </c>
      <c r="AD31">
        <v>0.68443861201818901</v>
      </c>
      <c r="AE31">
        <v>0.4055909909360027</v>
      </c>
      <c r="AF31">
        <v>0.43958861049226355</v>
      </c>
      <c r="AG31">
        <v>0.91271706289864807</v>
      </c>
      <c r="AH31">
        <v>0.76564836573381756</v>
      </c>
      <c r="AI31">
        <v>0.89724417859431749</v>
      </c>
      <c r="AJ31">
        <v>0.45936460463270973</v>
      </c>
      <c r="AK31">
        <v>0.79393902401806693</v>
      </c>
      <c r="AL31">
        <v>0.26184881130405591</v>
      </c>
      <c r="AM31">
        <v>0.60487685781426437</v>
      </c>
      <c r="AN31">
        <v>0.35047456282235173</v>
      </c>
      <c r="AO31">
        <v>0.24417859431745353</v>
      </c>
      <c r="AP31">
        <v>0.30765709402752772</v>
      </c>
      <c r="AQ31">
        <v>0.97482222968230237</v>
      </c>
      <c r="AR31">
        <v>0.62697225867488637</v>
      </c>
      <c r="AS31">
        <v>0.53151036103396709</v>
      </c>
    </row>
    <row r="32" spans="1:45">
      <c r="A32">
        <v>30</v>
      </c>
      <c r="B32">
        <v>49.587942056678003</v>
      </c>
      <c r="E32" t="b">
        <f t="shared" si="0"/>
        <v>0</v>
      </c>
      <c r="F32" t="b">
        <f t="shared" si="1"/>
        <v>0</v>
      </c>
      <c r="G32">
        <f t="shared" si="2"/>
        <v>49.587942056678003</v>
      </c>
      <c r="H32">
        <f t="shared" si="3"/>
        <v>49.587942056678003</v>
      </c>
      <c r="I32" t="b">
        <f t="shared" si="4"/>
        <v>0</v>
      </c>
      <c r="J32">
        <f t="shared" si="5"/>
        <v>49.587942056678003</v>
      </c>
      <c r="K32">
        <f t="shared" si="6"/>
        <v>49.587942056678003</v>
      </c>
      <c r="L32" t="b">
        <f t="shared" si="7"/>
        <v>0</v>
      </c>
      <c r="M32">
        <f t="shared" si="8"/>
        <v>49.587942056678003</v>
      </c>
      <c r="N32">
        <f t="shared" si="9"/>
        <v>49.587942056678003</v>
      </c>
      <c r="O32">
        <f t="shared" si="10"/>
        <v>49.587942056678003</v>
      </c>
      <c r="P32">
        <f t="shared" si="11"/>
        <v>49.587942056678003</v>
      </c>
      <c r="Q32" t="b">
        <f t="shared" si="12"/>
        <v>0</v>
      </c>
      <c r="R32" t="b">
        <f t="shared" si="13"/>
        <v>0</v>
      </c>
      <c r="S32" t="b">
        <f t="shared" si="14"/>
        <v>0</v>
      </c>
      <c r="T32">
        <f t="shared" si="15"/>
        <v>49.587942056678003</v>
      </c>
      <c r="U32" t="b">
        <f t="shared" si="16"/>
        <v>0</v>
      </c>
      <c r="V32">
        <f t="shared" si="17"/>
        <v>49.587942056678003</v>
      </c>
      <c r="W32" t="b">
        <f t="shared" si="18"/>
        <v>0</v>
      </c>
      <c r="X32" t="b">
        <f t="shared" si="19"/>
        <v>0</v>
      </c>
      <c r="Z32">
        <v>0.40940580462050236</v>
      </c>
      <c r="AA32">
        <v>0.71788689840388198</v>
      </c>
      <c r="AB32">
        <v>5.9602649006622516E-2</v>
      </c>
      <c r="AC32">
        <v>0.32621234778893399</v>
      </c>
      <c r="AD32">
        <v>0.87133396404919583</v>
      </c>
      <c r="AE32">
        <v>4.0742210150456253E-2</v>
      </c>
      <c r="AF32">
        <v>0.1000091555528428</v>
      </c>
      <c r="AG32">
        <v>0.7737968077639088</v>
      </c>
      <c r="AH32">
        <v>3.5096285897396773E-2</v>
      </c>
      <c r="AI32">
        <v>0.39109469893490401</v>
      </c>
      <c r="AJ32">
        <v>0.26941740165410322</v>
      </c>
      <c r="AK32">
        <v>9.6957304605243086E-2</v>
      </c>
      <c r="AL32">
        <v>0.80242316965239413</v>
      </c>
      <c r="AM32">
        <v>0.68572038941618096</v>
      </c>
      <c r="AN32">
        <v>0.84511856440931421</v>
      </c>
      <c r="AO32">
        <v>1.4709921567430647E-2</v>
      </c>
      <c r="AP32">
        <v>0.83538315988647116</v>
      </c>
      <c r="AQ32">
        <v>6.616412854396192E-2</v>
      </c>
      <c r="AR32">
        <v>0.75212866603595085</v>
      </c>
      <c r="AS32">
        <v>0.68971831415753659</v>
      </c>
    </row>
    <row r="33" spans="1:45">
      <c r="A33">
        <v>31</v>
      </c>
      <c r="B33">
        <v>41.412050803774036</v>
      </c>
      <c r="E33" t="b">
        <f t="shared" si="0"/>
        <v>0</v>
      </c>
      <c r="F33" t="b">
        <f t="shared" si="1"/>
        <v>0</v>
      </c>
      <c r="G33" t="b">
        <f t="shared" si="2"/>
        <v>0</v>
      </c>
      <c r="H33">
        <f t="shared" si="3"/>
        <v>41.412050803774036</v>
      </c>
      <c r="I33" t="b">
        <f t="shared" si="4"/>
        <v>0</v>
      </c>
      <c r="J33">
        <f t="shared" si="5"/>
        <v>41.412050803774036</v>
      </c>
      <c r="K33">
        <f t="shared" si="6"/>
        <v>41.412050803774036</v>
      </c>
      <c r="L33" t="b">
        <f t="shared" si="7"/>
        <v>0</v>
      </c>
      <c r="M33" t="b">
        <f t="shared" si="8"/>
        <v>0</v>
      </c>
      <c r="N33">
        <f t="shared" si="9"/>
        <v>41.412050803774036</v>
      </c>
      <c r="O33" t="b">
        <f t="shared" si="10"/>
        <v>0</v>
      </c>
      <c r="P33" t="b">
        <f t="shared" si="11"/>
        <v>0</v>
      </c>
      <c r="Q33" t="b">
        <f t="shared" si="12"/>
        <v>0</v>
      </c>
      <c r="R33" t="b">
        <f t="shared" si="13"/>
        <v>0</v>
      </c>
      <c r="S33" t="b">
        <f t="shared" si="14"/>
        <v>0</v>
      </c>
      <c r="T33">
        <f t="shared" si="15"/>
        <v>41.412050803774036</v>
      </c>
      <c r="U33">
        <f t="shared" si="16"/>
        <v>41.412050803774036</v>
      </c>
      <c r="V33" t="b">
        <f t="shared" si="17"/>
        <v>0</v>
      </c>
      <c r="W33" t="b">
        <f t="shared" si="18"/>
        <v>0</v>
      </c>
      <c r="X33" t="b">
        <f t="shared" si="19"/>
        <v>0</v>
      </c>
      <c r="Z33">
        <v>0.43992431409649951</v>
      </c>
      <c r="AA33">
        <v>0.83315530869472332</v>
      </c>
      <c r="AB33">
        <v>0.86397900326548049</v>
      </c>
      <c r="AC33">
        <v>0.15128025147251808</v>
      </c>
      <c r="AD33">
        <v>0.61638233588671532</v>
      </c>
      <c r="AE33">
        <v>0.34089175084688866</v>
      </c>
      <c r="AF33">
        <v>4.7914059877315592E-3</v>
      </c>
      <c r="AG33">
        <v>0.41032135990478225</v>
      </c>
      <c r="AH33">
        <v>0.77309488204596089</v>
      </c>
      <c r="AI33">
        <v>0.13400677510910367</v>
      </c>
      <c r="AJ33">
        <v>0.99945066682943207</v>
      </c>
      <c r="AK33">
        <v>0.87597277748954738</v>
      </c>
      <c r="AL33">
        <v>0.80928983428449353</v>
      </c>
      <c r="AM33">
        <v>0.88061159092989894</v>
      </c>
      <c r="AN33">
        <v>0.87270729697561567</v>
      </c>
      <c r="AO33">
        <v>0.31885738700521865</v>
      </c>
      <c r="AP33">
        <v>9.1494491409039577E-2</v>
      </c>
      <c r="AQ33">
        <v>0.80471205786309397</v>
      </c>
      <c r="AR33">
        <v>0.97747734000671405</v>
      </c>
      <c r="AS33">
        <v>0.80489516891994994</v>
      </c>
    </row>
    <row r="34" spans="1:45">
      <c r="A34">
        <v>32</v>
      </c>
      <c r="B34">
        <v>57.908533916634042</v>
      </c>
      <c r="E34" t="b">
        <f t="shared" si="0"/>
        <v>0</v>
      </c>
      <c r="F34">
        <f t="shared" si="1"/>
        <v>57.908533916634042</v>
      </c>
      <c r="G34" t="b">
        <f t="shared" si="2"/>
        <v>0</v>
      </c>
      <c r="H34" t="b">
        <f t="shared" si="3"/>
        <v>0</v>
      </c>
      <c r="I34">
        <f t="shared" si="4"/>
        <v>57.908533916634042</v>
      </c>
      <c r="J34">
        <f t="shared" si="5"/>
        <v>57.908533916634042</v>
      </c>
      <c r="K34" t="b">
        <f t="shared" si="6"/>
        <v>0</v>
      </c>
      <c r="L34">
        <f t="shared" si="7"/>
        <v>57.908533916634042</v>
      </c>
      <c r="M34">
        <f t="shared" si="8"/>
        <v>57.908533916634042</v>
      </c>
      <c r="N34">
        <f t="shared" si="9"/>
        <v>57.908533916634042</v>
      </c>
      <c r="O34" t="b">
        <f t="shared" si="10"/>
        <v>0</v>
      </c>
      <c r="P34">
        <f t="shared" si="11"/>
        <v>57.908533916634042</v>
      </c>
      <c r="Q34">
        <f t="shared" si="12"/>
        <v>57.908533916634042</v>
      </c>
      <c r="R34">
        <f t="shared" si="13"/>
        <v>57.908533916634042</v>
      </c>
      <c r="S34">
        <f t="shared" si="14"/>
        <v>57.908533916634042</v>
      </c>
      <c r="T34">
        <f t="shared" si="15"/>
        <v>57.908533916634042</v>
      </c>
      <c r="U34" t="b">
        <f t="shared" si="16"/>
        <v>0</v>
      </c>
      <c r="V34" t="b">
        <f t="shared" si="17"/>
        <v>0</v>
      </c>
      <c r="W34" t="b">
        <f t="shared" si="18"/>
        <v>0</v>
      </c>
      <c r="X34" t="b">
        <f t="shared" si="19"/>
        <v>0</v>
      </c>
      <c r="Z34">
        <v>0.64247566148869284</v>
      </c>
      <c r="AA34">
        <v>2.639851069673757E-2</v>
      </c>
      <c r="AB34">
        <v>0.59746086001159704</v>
      </c>
      <c r="AC34">
        <v>0.86355174413281655</v>
      </c>
      <c r="AD34">
        <v>0.18372142704550309</v>
      </c>
      <c r="AE34">
        <v>0.19946897793511764</v>
      </c>
      <c r="AF34">
        <v>0.72862941373943302</v>
      </c>
      <c r="AG34">
        <v>0.39594714194158759</v>
      </c>
      <c r="AH34">
        <v>0.17804498428296761</v>
      </c>
      <c r="AI34">
        <v>0.33448286385692921</v>
      </c>
      <c r="AJ34">
        <v>0.93755912961210974</v>
      </c>
      <c r="AK34">
        <v>0.23923459578234199</v>
      </c>
      <c r="AL34">
        <v>0.10174871059297463</v>
      </c>
      <c r="AM34">
        <v>0.11111789300210578</v>
      </c>
      <c r="AN34">
        <v>9.2684713278603476E-2</v>
      </c>
      <c r="AO34">
        <v>0.21820734275337991</v>
      </c>
      <c r="AP34">
        <v>0.83358256782738727</v>
      </c>
      <c r="AQ34">
        <v>0.9038666951506088</v>
      </c>
      <c r="AR34">
        <v>0.76766258735923343</v>
      </c>
      <c r="AS34">
        <v>0.98123111667226171</v>
      </c>
    </row>
    <row r="35" spans="1:45">
      <c r="A35">
        <v>33</v>
      </c>
      <c r="B35">
        <v>47.54481905256398</v>
      </c>
      <c r="E35">
        <f t="shared" ref="E35:E66" si="20">IF($D$2&gt;Z35,$B35)</f>
        <v>47.54481905256398</v>
      </c>
      <c r="F35" t="b">
        <f t="shared" ref="F35:F66" si="21">IF($D$2&gt;AA35,$B35)</f>
        <v>0</v>
      </c>
      <c r="G35">
        <f t="shared" ref="G35:G66" si="22">IF($D$2&gt;AB35,$B35)</f>
        <v>47.54481905256398</v>
      </c>
      <c r="H35" t="b">
        <f t="shared" ref="H35:H66" si="23">IF($D$2&gt;AC35,$B35)</f>
        <v>0</v>
      </c>
      <c r="I35" t="b">
        <f t="shared" ref="I35:I66" si="24">IF($D$2&gt;AD35,$B35)</f>
        <v>0</v>
      </c>
      <c r="J35" t="b">
        <f t="shared" ref="J35:J66" si="25">IF($D$2&gt;AE35,$B35)</f>
        <v>0</v>
      </c>
      <c r="K35">
        <f t="shared" ref="K35:K66" si="26">IF($D$2&gt;AF35,$B35)</f>
        <v>47.54481905256398</v>
      </c>
      <c r="L35">
        <f t="shared" ref="L35:L66" si="27">IF($D$2&gt;AG35,$B35)</f>
        <v>47.54481905256398</v>
      </c>
      <c r="M35" t="b">
        <f t="shared" ref="M35:M66" si="28">IF($D$2&gt;AH35,$B35)</f>
        <v>0</v>
      </c>
      <c r="N35">
        <f t="shared" ref="N35:N66" si="29">IF($D$2&gt;AI35,$B35)</f>
        <v>47.54481905256398</v>
      </c>
      <c r="O35">
        <f t="shared" ref="O35:O66" si="30">IF($D$2&gt;AJ35,$B35)</f>
        <v>47.54481905256398</v>
      </c>
      <c r="P35" t="b">
        <f t="shared" ref="P35:P66" si="31">IF($D$2&gt;AK35,$B35)</f>
        <v>0</v>
      </c>
      <c r="Q35" t="b">
        <f t="shared" ref="Q35:Q66" si="32">IF($D$2&gt;AL35,$B35)</f>
        <v>0</v>
      </c>
      <c r="R35">
        <f t="shared" ref="R35:R66" si="33">IF($D$2&gt;AM35,$B35)</f>
        <v>47.54481905256398</v>
      </c>
      <c r="S35" t="b">
        <f t="shared" ref="S35:S66" si="34">IF($D$2&gt;AN35,$B35)</f>
        <v>0</v>
      </c>
      <c r="T35" t="b">
        <f t="shared" ref="T35:T66" si="35">IF($D$2&gt;AO35,$B35)</f>
        <v>0</v>
      </c>
      <c r="U35">
        <f t="shared" ref="U35:U66" si="36">IF($D$2&gt;AP35,$B35)</f>
        <v>47.54481905256398</v>
      </c>
      <c r="V35">
        <f t="shared" ref="V35:V66" si="37">IF($D$2&gt;AQ35,$B35)</f>
        <v>47.54481905256398</v>
      </c>
      <c r="W35">
        <f t="shared" ref="W35:W66" si="38">IF($D$2&gt;AR35,$B35)</f>
        <v>47.54481905256398</v>
      </c>
      <c r="X35" t="b">
        <f t="shared" ref="X35:X66" si="39">IF($D$2&gt;AS35,$B35)</f>
        <v>0</v>
      </c>
      <c r="Z35">
        <v>0.29200109866634116</v>
      </c>
      <c r="AA35">
        <v>0.83388775292214723</v>
      </c>
      <c r="AB35">
        <v>0.380535294656209</v>
      </c>
      <c r="AC35">
        <v>0.47709585863826409</v>
      </c>
      <c r="AD35">
        <v>0.71745963927121803</v>
      </c>
      <c r="AE35">
        <v>0.6870632038331248</v>
      </c>
      <c r="AF35">
        <v>0.3639332255012665</v>
      </c>
      <c r="AG35">
        <v>0.10290841395306254</v>
      </c>
      <c r="AH35">
        <v>0.49665822321237829</v>
      </c>
      <c r="AI35">
        <v>0.2251350444044313</v>
      </c>
      <c r="AJ35">
        <v>0.33924375133518481</v>
      </c>
      <c r="AK35">
        <v>0.52818384350108338</v>
      </c>
      <c r="AL35">
        <v>0.89434492019409773</v>
      </c>
      <c r="AM35">
        <v>0.33054597613452558</v>
      </c>
      <c r="AN35">
        <v>0.91741691335795161</v>
      </c>
      <c r="AO35">
        <v>0.47160252693258459</v>
      </c>
      <c r="AP35">
        <v>0.36045411542100286</v>
      </c>
      <c r="AQ35">
        <v>5.2797021393475141E-2</v>
      </c>
      <c r="AR35">
        <v>0.35938596758934294</v>
      </c>
      <c r="AS35">
        <v>0.40745262001403854</v>
      </c>
    </row>
    <row r="36" spans="1:45">
      <c r="A36">
        <v>34</v>
      </c>
      <c r="B36">
        <v>41.355502970691305</v>
      </c>
      <c r="E36" t="b">
        <f t="shared" si="20"/>
        <v>0</v>
      </c>
      <c r="F36" t="b">
        <f t="shared" si="21"/>
        <v>0</v>
      </c>
      <c r="G36">
        <f t="shared" si="22"/>
        <v>41.355502970691305</v>
      </c>
      <c r="H36" t="b">
        <f t="shared" si="23"/>
        <v>0</v>
      </c>
      <c r="I36">
        <f t="shared" si="24"/>
        <v>41.355502970691305</v>
      </c>
      <c r="J36" t="b">
        <f t="shared" si="25"/>
        <v>0</v>
      </c>
      <c r="K36">
        <f t="shared" si="26"/>
        <v>41.355502970691305</v>
      </c>
      <c r="L36">
        <f t="shared" si="27"/>
        <v>41.355502970691305</v>
      </c>
      <c r="M36">
        <f t="shared" si="28"/>
        <v>41.355502970691305</v>
      </c>
      <c r="N36">
        <f t="shared" si="29"/>
        <v>41.355502970691305</v>
      </c>
      <c r="O36" t="b">
        <f t="shared" si="30"/>
        <v>0</v>
      </c>
      <c r="P36" t="b">
        <f t="shared" si="31"/>
        <v>0</v>
      </c>
      <c r="Q36" t="b">
        <f t="shared" si="32"/>
        <v>0</v>
      </c>
      <c r="R36">
        <f t="shared" si="33"/>
        <v>41.355502970691305</v>
      </c>
      <c r="S36" t="b">
        <f t="shared" si="34"/>
        <v>0</v>
      </c>
      <c r="T36" t="b">
        <f t="shared" si="35"/>
        <v>0</v>
      </c>
      <c r="U36">
        <f t="shared" si="36"/>
        <v>41.355502970691305</v>
      </c>
      <c r="V36" t="b">
        <f t="shared" si="37"/>
        <v>0</v>
      </c>
      <c r="W36" t="b">
        <f t="shared" si="38"/>
        <v>0</v>
      </c>
      <c r="X36" t="b">
        <f t="shared" si="39"/>
        <v>0</v>
      </c>
      <c r="Z36">
        <v>0.58565019684438613</v>
      </c>
      <c r="AA36">
        <v>0.54139835810419024</v>
      </c>
      <c r="AB36">
        <v>3.6255989257484668E-2</v>
      </c>
      <c r="AC36">
        <v>0.54295480208746605</v>
      </c>
      <c r="AD36">
        <v>0.31611072115237893</v>
      </c>
      <c r="AE36">
        <v>0.81582079531235696</v>
      </c>
      <c r="AF36">
        <v>0.26310007019257181</v>
      </c>
      <c r="AG36">
        <v>0.37055574205755792</v>
      </c>
      <c r="AH36">
        <v>0.3345744193853572</v>
      </c>
      <c r="AI36">
        <v>0.1804864650410474</v>
      </c>
      <c r="AJ36">
        <v>0.50386059144871365</v>
      </c>
      <c r="AK36">
        <v>0.56083864864040045</v>
      </c>
      <c r="AL36">
        <v>0.64760277108066044</v>
      </c>
      <c r="AM36">
        <v>0.2249214148380993</v>
      </c>
      <c r="AN36">
        <v>0.64760277108066044</v>
      </c>
      <c r="AO36">
        <v>0.41319009979552601</v>
      </c>
      <c r="AP36">
        <v>2.3010956144901885E-2</v>
      </c>
      <c r="AQ36">
        <v>0.95162816248054449</v>
      </c>
      <c r="AR36">
        <v>0.95767082735679188</v>
      </c>
      <c r="AS36">
        <v>0.86632892849513232</v>
      </c>
    </row>
    <row r="37" spans="1:45">
      <c r="A37">
        <v>35</v>
      </c>
      <c r="B37">
        <v>68.46487975853961</v>
      </c>
      <c r="E37">
        <f t="shared" si="20"/>
        <v>68.46487975853961</v>
      </c>
      <c r="F37">
        <f t="shared" si="21"/>
        <v>68.46487975853961</v>
      </c>
      <c r="G37" t="b">
        <f t="shared" si="22"/>
        <v>0</v>
      </c>
      <c r="H37">
        <f t="shared" si="23"/>
        <v>68.46487975853961</v>
      </c>
      <c r="I37" t="b">
        <f t="shared" si="24"/>
        <v>0</v>
      </c>
      <c r="J37" t="b">
        <f t="shared" si="25"/>
        <v>0</v>
      </c>
      <c r="K37">
        <f t="shared" si="26"/>
        <v>68.46487975853961</v>
      </c>
      <c r="L37">
        <f t="shared" si="27"/>
        <v>68.46487975853961</v>
      </c>
      <c r="M37">
        <f t="shared" si="28"/>
        <v>68.46487975853961</v>
      </c>
      <c r="N37">
        <f t="shared" si="29"/>
        <v>68.46487975853961</v>
      </c>
      <c r="O37" t="b">
        <f t="shared" si="30"/>
        <v>0</v>
      </c>
      <c r="P37" t="b">
        <f t="shared" si="31"/>
        <v>0</v>
      </c>
      <c r="Q37" t="b">
        <f t="shared" si="32"/>
        <v>0</v>
      </c>
      <c r="R37">
        <f t="shared" si="33"/>
        <v>68.46487975853961</v>
      </c>
      <c r="S37">
        <f t="shared" si="34"/>
        <v>68.46487975853961</v>
      </c>
      <c r="T37" t="b">
        <f t="shared" si="35"/>
        <v>0</v>
      </c>
      <c r="U37">
        <f t="shared" si="36"/>
        <v>68.46487975853961</v>
      </c>
      <c r="V37">
        <f t="shared" si="37"/>
        <v>68.46487975853961</v>
      </c>
      <c r="W37">
        <f t="shared" si="38"/>
        <v>68.46487975853961</v>
      </c>
      <c r="X37" t="b">
        <f t="shared" si="39"/>
        <v>0</v>
      </c>
      <c r="Z37">
        <v>0.13724173711355939</v>
      </c>
      <c r="AA37">
        <v>0.15796380504776147</v>
      </c>
      <c r="AB37">
        <v>0.79909665211951053</v>
      </c>
      <c r="AC37">
        <v>0.13653981139561144</v>
      </c>
      <c r="AD37">
        <v>0.73009430219428084</v>
      </c>
      <c r="AE37">
        <v>0.467238380077517</v>
      </c>
      <c r="AF37">
        <v>0.19611194189275796</v>
      </c>
      <c r="AG37">
        <v>0.2074343089083529</v>
      </c>
      <c r="AH37">
        <v>2.2461622974333934E-2</v>
      </c>
      <c r="AI37">
        <v>0.20172734763634145</v>
      </c>
      <c r="AJ37">
        <v>0.95312356944486831</v>
      </c>
      <c r="AK37">
        <v>0.97457808160649428</v>
      </c>
      <c r="AL37">
        <v>0.40397350993377484</v>
      </c>
      <c r="AM37">
        <v>0.11639759514145329</v>
      </c>
      <c r="AN37">
        <v>3.1373027741325117E-2</v>
      </c>
      <c r="AO37">
        <v>0.46702475051118503</v>
      </c>
      <c r="AP37">
        <v>0.10620441297647024</v>
      </c>
      <c r="AQ37">
        <v>0.38697470015564439</v>
      </c>
      <c r="AR37">
        <v>0.33976256599627674</v>
      </c>
      <c r="AS37">
        <v>0.42585528122806482</v>
      </c>
    </row>
    <row r="38" spans="1:45">
      <c r="A38">
        <v>36</v>
      </c>
      <c r="B38">
        <v>49.5289726939518</v>
      </c>
      <c r="E38" t="b">
        <f t="shared" si="20"/>
        <v>0</v>
      </c>
      <c r="F38">
        <f t="shared" si="21"/>
        <v>49.5289726939518</v>
      </c>
      <c r="G38">
        <f t="shared" si="22"/>
        <v>49.5289726939518</v>
      </c>
      <c r="H38" t="b">
        <f t="shared" si="23"/>
        <v>0</v>
      </c>
      <c r="I38">
        <f t="shared" si="24"/>
        <v>49.5289726939518</v>
      </c>
      <c r="J38" t="b">
        <f t="shared" si="25"/>
        <v>0</v>
      </c>
      <c r="K38" t="b">
        <f t="shared" si="26"/>
        <v>0</v>
      </c>
      <c r="L38">
        <f t="shared" si="27"/>
        <v>49.5289726939518</v>
      </c>
      <c r="M38">
        <f t="shared" si="28"/>
        <v>49.5289726939518</v>
      </c>
      <c r="N38" t="b">
        <f t="shared" si="29"/>
        <v>0</v>
      </c>
      <c r="O38" t="b">
        <f t="shared" si="30"/>
        <v>0</v>
      </c>
      <c r="P38" t="b">
        <f t="shared" si="31"/>
        <v>0</v>
      </c>
      <c r="Q38">
        <f t="shared" si="32"/>
        <v>49.5289726939518</v>
      </c>
      <c r="R38">
        <f t="shared" si="33"/>
        <v>49.5289726939518</v>
      </c>
      <c r="S38">
        <f t="shared" si="34"/>
        <v>49.5289726939518</v>
      </c>
      <c r="T38">
        <f t="shared" si="35"/>
        <v>49.5289726939518</v>
      </c>
      <c r="U38" t="b">
        <f t="shared" si="36"/>
        <v>0</v>
      </c>
      <c r="V38">
        <f t="shared" si="37"/>
        <v>49.5289726939518</v>
      </c>
      <c r="W38" t="b">
        <f t="shared" si="38"/>
        <v>0</v>
      </c>
      <c r="X38" t="b">
        <f t="shared" si="39"/>
        <v>0</v>
      </c>
      <c r="Z38">
        <v>0.77681814020203255</v>
      </c>
      <c r="AA38">
        <v>0.25547044282357251</v>
      </c>
      <c r="AB38">
        <v>8.0355235450300613E-2</v>
      </c>
      <c r="AC38">
        <v>0.70513016144291518</v>
      </c>
      <c r="AD38">
        <v>0.38566240424817649</v>
      </c>
      <c r="AE38">
        <v>0.62059389019440292</v>
      </c>
      <c r="AF38">
        <v>0.76342051454206972</v>
      </c>
      <c r="AG38">
        <v>0.26041444135868402</v>
      </c>
      <c r="AH38">
        <v>8.8198492385631891E-2</v>
      </c>
      <c r="AI38">
        <v>0.86266670735801265</v>
      </c>
      <c r="AJ38">
        <v>0.84566789757988214</v>
      </c>
      <c r="AK38">
        <v>0.51832636494033635</v>
      </c>
      <c r="AL38">
        <v>0.30512405774101992</v>
      </c>
      <c r="AM38">
        <v>0.22696615497299111</v>
      </c>
      <c r="AN38">
        <v>2.4231696523941772E-2</v>
      </c>
      <c r="AO38">
        <v>0.2151249732963042</v>
      </c>
      <c r="AP38">
        <v>0.58143864253669852</v>
      </c>
      <c r="AQ38">
        <v>0.10449537644581439</v>
      </c>
      <c r="AR38">
        <v>0.85229041413617357</v>
      </c>
      <c r="AS38">
        <v>0.60872219000824002</v>
      </c>
    </row>
    <row r="39" spans="1:45">
      <c r="A39">
        <v>37</v>
      </c>
      <c r="B39">
        <v>38.018066687800456</v>
      </c>
      <c r="E39" t="b">
        <f t="shared" si="20"/>
        <v>0</v>
      </c>
      <c r="F39">
        <f t="shared" si="21"/>
        <v>38.018066687800456</v>
      </c>
      <c r="G39" t="b">
        <f t="shared" si="22"/>
        <v>0</v>
      </c>
      <c r="H39">
        <f t="shared" si="23"/>
        <v>38.018066687800456</v>
      </c>
      <c r="I39">
        <f t="shared" si="24"/>
        <v>38.018066687800456</v>
      </c>
      <c r="J39" t="b">
        <f t="shared" si="25"/>
        <v>0</v>
      </c>
      <c r="K39">
        <f t="shared" si="26"/>
        <v>38.018066687800456</v>
      </c>
      <c r="L39" t="b">
        <f t="shared" si="27"/>
        <v>0</v>
      </c>
      <c r="M39" t="b">
        <f t="shared" si="28"/>
        <v>0</v>
      </c>
      <c r="N39" t="b">
        <f t="shared" si="29"/>
        <v>0</v>
      </c>
      <c r="O39" t="b">
        <f t="shared" si="30"/>
        <v>0</v>
      </c>
      <c r="P39" t="b">
        <f t="shared" si="31"/>
        <v>0</v>
      </c>
      <c r="Q39">
        <f t="shared" si="32"/>
        <v>38.018066687800456</v>
      </c>
      <c r="R39">
        <f t="shared" si="33"/>
        <v>38.018066687800456</v>
      </c>
      <c r="S39">
        <f t="shared" si="34"/>
        <v>38.018066687800456</v>
      </c>
      <c r="T39" t="b">
        <f t="shared" si="35"/>
        <v>0</v>
      </c>
      <c r="U39" t="b">
        <f t="shared" si="36"/>
        <v>0</v>
      </c>
      <c r="V39" t="b">
        <f t="shared" si="37"/>
        <v>0</v>
      </c>
      <c r="W39">
        <f t="shared" si="38"/>
        <v>38.018066687800456</v>
      </c>
      <c r="X39" t="b">
        <f t="shared" si="39"/>
        <v>0</v>
      </c>
      <c r="Z39">
        <v>0.62288277840510264</v>
      </c>
      <c r="AA39">
        <v>2.0813623462630087E-2</v>
      </c>
      <c r="AB39">
        <v>0.50352488784447769</v>
      </c>
      <c r="AC39">
        <v>0.38856166264839626</v>
      </c>
      <c r="AD39">
        <v>0.14557329020050661</v>
      </c>
      <c r="AE39">
        <v>0.90331736198004087</v>
      </c>
      <c r="AF39">
        <v>0.24826807458723715</v>
      </c>
      <c r="AG39">
        <v>0.74532303842280345</v>
      </c>
      <c r="AH39">
        <v>0.99960325937681205</v>
      </c>
      <c r="AI39">
        <v>0.47654652546769616</v>
      </c>
      <c r="AJ39">
        <v>0.98815881832331309</v>
      </c>
      <c r="AK39">
        <v>0.45991393780327766</v>
      </c>
      <c r="AL39">
        <v>4.5808282723471788E-2</v>
      </c>
      <c r="AM39">
        <v>0.28980376598406932</v>
      </c>
      <c r="AN39">
        <v>3.6744285409100623E-2</v>
      </c>
      <c r="AO39">
        <v>0.40757469405194252</v>
      </c>
      <c r="AP39">
        <v>0.81496627704702906</v>
      </c>
      <c r="AQ39">
        <v>0.46830652790917693</v>
      </c>
      <c r="AR39">
        <v>7.6479384746848969E-2</v>
      </c>
      <c r="AS39">
        <v>0.46284371471297342</v>
      </c>
    </row>
    <row r="40" spans="1:45">
      <c r="A40">
        <v>38</v>
      </c>
      <c r="B40">
        <v>39.368825481506065</v>
      </c>
      <c r="E40">
        <f t="shared" si="20"/>
        <v>39.368825481506065</v>
      </c>
      <c r="F40" t="b">
        <f t="shared" si="21"/>
        <v>0</v>
      </c>
      <c r="G40" t="b">
        <f t="shared" si="22"/>
        <v>0</v>
      </c>
      <c r="H40">
        <f t="shared" si="23"/>
        <v>39.368825481506065</v>
      </c>
      <c r="I40">
        <f t="shared" si="24"/>
        <v>39.368825481506065</v>
      </c>
      <c r="J40">
        <f t="shared" si="25"/>
        <v>39.368825481506065</v>
      </c>
      <c r="K40" t="b">
        <f t="shared" si="26"/>
        <v>0</v>
      </c>
      <c r="L40">
        <f t="shared" si="27"/>
        <v>39.368825481506065</v>
      </c>
      <c r="M40">
        <f t="shared" si="28"/>
        <v>39.368825481506065</v>
      </c>
      <c r="N40" t="b">
        <f t="shared" si="29"/>
        <v>0</v>
      </c>
      <c r="O40" t="b">
        <f t="shared" si="30"/>
        <v>0</v>
      </c>
      <c r="P40" t="b">
        <f t="shared" si="31"/>
        <v>0</v>
      </c>
      <c r="Q40" t="b">
        <f t="shared" si="32"/>
        <v>0</v>
      </c>
      <c r="R40" t="b">
        <f t="shared" si="33"/>
        <v>0</v>
      </c>
      <c r="S40">
        <f t="shared" si="34"/>
        <v>39.368825481506065</v>
      </c>
      <c r="T40" t="b">
        <f t="shared" si="35"/>
        <v>0</v>
      </c>
      <c r="U40" t="b">
        <f t="shared" si="36"/>
        <v>0</v>
      </c>
      <c r="V40" t="b">
        <f t="shared" si="37"/>
        <v>0</v>
      </c>
      <c r="W40" t="b">
        <f t="shared" si="38"/>
        <v>0</v>
      </c>
      <c r="X40" t="b">
        <f t="shared" si="39"/>
        <v>0</v>
      </c>
      <c r="Z40">
        <v>0.39820551164281137</v>
      </c>
      <c r="AA40">
        <v>0.86046937467574081</v>
      </c>
      <c r="AB40">
        <v>0.43806268501846368</v>
      </c>
      <c r="AC40">
        <v>0.37406537064729761</v>
      </c>
      <c r="AD40">
        <v>0.37354655598620562</v>
      </c>
      <c r="AE40">
        <v>1.0742515335551012E-2</v>
      </c>
      <c r="AF40">
        <v>0.51771599475081642</v>
      </c>
      <c r="AG40">
        <v>0.2640461439863277</v>
      </c>
      <c r="AH40">
        <v>0.15454573198644977</v>
      </c>
      <c r="AI40">
        <v>0.80108035523545029</v>
      </c>
      <c r="AJ40">
        <v>0.42463454084902491</v>
      </c>
      <c r="AK40">
        <v>0.41642506179998168</v>
      </c>
      <c r="AL40">
        <v>0.59025849177526168</v>
      </c>
      <c r="AM40">
        <v>0.77904599139378028</v>
      </c>
      <c r="AN40">
        <v>0.108737449262978</v>
      </c>
      <c r="AO40">
        <v>0.85088656270027774</v>
      </c>
      <c r="AP40">
        <v>0.67232276375621813</v>
      </c>
      <c r="AQ40">
        <v>0.83944212164677878</v>
      </c>
      <c r="AR40">
        <v>0.61909848323007899</v>
      </c>
      <c r="AS40">
        <v>0.41126743369853819</v>
      </c>
    </row>
    <row r="41" spans="1:45">
      <c r="A41">
        <v>39</v>
      </c>
      <c r="B41">
        <v>47.355143932509236</v>
      </c>
      <c r="E41">
        <f t="shared" si="20"/>
        <v>47.355143932509236</v>
      </c>
      <c r="F41" t="b">
        <f t="shared" si="21"/>
        <v>0</v>
      </c>
      <c r="G41">
        <f t="shared" si="22"/>
        <v>47.355143932509236</v>
      </c>
      <c r="H41" t="b">
        <f t="shared" si="23"/>
        <v>0</v>
      </c>
      <c r="I41" t="b">
        <f t="shared" si="24"/>
        <v>0</v>
      </c>
      <c r="J41">
        <f t="shared" si="25"/>
        <v>47.355143932509236</v>
      </c>
      <c r="K41">
        <f t="shared" si="26"/>
        <v>47.355143932509236</v>
      </c>
      <c r="L41">
        <f t="shared" si="27"/>
        <v>47.355143932509236</v>
      </c>
      <c r="M41" t="b">
        <f t="shared" si="28"/>
        <v>0</v>
      </c>
      <c r="N41" t="b">
        <f t="shared" si="29"/>
        <v>0</v>
      </c>
      <c r="O41">
        <f t="shared" si="30"/>
        <v>47.355143932509236</v>
      </c>
      <c r="P41">
        <f t="shared" si="31"/>
        <v>47.355143932509236</v>
      </c>
      <c r="Q41">
        <f t="shared" si="32"/>
        <v>47.355143932509236</v>
      </c>
      <c r="R41" t="b">
        <f t="shared" si="33"/>
        <v>0</v>
      </c>
      <c r="S41" t="b">
        <f t="shared" si="34"/>
        <v>0</v>
      </c>
      <c r="T41" t="b">
        <f t="shared" si="35"/>
        <v>0</v>
      </c>
      <c r="U41">
        <f t="shared" si="36"/>
        <v>47.355143932509236</v>
      </c>
      <c r="V41">
        <f t="shared" si="37"/>
        <v>47.355143932509236</v>
      </c>
      <c r="W41">
        <f t="shared" si="38"/>
        <v>47.355143932509236</v>
      </c>
      <c r="X41" t="b">
        <f t="shared" si="39"/>
        <v>0</v>
      </c>
      <c r="Z41">
        <v>0.28788109988708149</v>
      </c>
      <c r="AA41">
        <v>0.90722373119296851</v>
      </c>
      <c r="AB41">
        <v>0.23313089388714256</v>
      </c>
      <c r="AC41">
        <v>0.93380535294656208</v>
      </c>
      <c r="AD41">
        <v>0.60661641285439616</v>
      </c>
      <c r="AE41">
        <v>0.33350627155369733</v>
      </c>
      <c r="AF41">
        <v>0.20728171636097292</v>
      </c>
      <c r="AG41">
        <v>5.0965910824915313E-2</v>
      </c>
      <c r="AH41">
        <v>0.7397686696981719</v>
      </c>
      <c r="AI41">
        <v>0.66957609790337835</v>
      </c>
      <c r="AJ41">
        <v>0.21887874996185186</v>
      </c>
      <c r="AK41">
        <v>1.0620441297647023E-2</v>
      </c>
      <c r="AL41">
        <v>0.19034394360179449</v>
      </c>
      <c r="AM41">
        <v>0.89010284737693413</v>
      </c>
      <c r="AN41">
        <v>0.86275826288644064</v>
      </c>
      <c r="AO41">
        <v>0.86346018860438856</v>
      </c>
      <c r="AP41">
        <v>0.20236823633533738</v>
      </c>
      <c r="AQ41">
        <v>0.37101351969969787</v>
      </c>
      <c r="AR41">
        <v>0.18341624195074313</v>
      </c>
      <c r="AS41">
        <v>0.66771446882534258</v>
      </c>
    </row>
    <row r="42" spans="1:45">
      <c r="A42">
        <v>40</v>
      </c>
      <c r="B42">
        <v>56.354071047098842</v>
      </c>
      <c r="E42" t="b">
        <f t="shared" si="20"/>
        <v>0</v>
      </c>
      <c r="F42" t="b">
        <f t="shared" si="21"/>
        <v>0</v>
      </c>
      <c r="G42">
        <f t="shared" si="22"/>
        <v>56.354071047098842</v>
      </c>
      <c r="H42" t="b">
        <f t="shared" si="23"/>
        <v>0</v>
      </c>
      <c r="I42" t="b">
        <f t="shared" si="24"/>
        <v>0</v>
      </c>
      <c r="J42" t="b">
        <f t="shared" si="25"/>
        <v>0</v>
      </c>
      <c r="K42">
        <f t="shared" si="26"/>
        <v>56.354071047098842</v>
      </c>
      <c r="L42">
        <f t="shared" si="27"/>
        <v>56.354071047098842</v>
      </c>
      <c r="M42" t="b">
        <f t="shared" si="28"/>
        <v>0</v>
      </c>
      <c r="N42">
        <f t="shared" si="29"/>
        <v>56.354071047098842</v>
      </c>
      <c r="O42">
        <f t="shared" si="30"/>
        <v>56.354071047098842</v>
      </c>
      <c r="P42" t="b">
        <f t="shared" si="31"/>
        <v>0</v>
      </c>
      <c r="Q42">
        <f t="shared" si="32"/>
        <v>56.354071047098842</v>
      </c>
      <c r="R42" t="b">
        <f t="shared" si="33"/>
        <v>0</v>
      </c>
      <c r="S42">
        <f t="shared" si="34"/>
        <v>56.354071047098842</v>
      </c>
      <c r="T42">
        <f t="shared" si="35"/>
        <v>56.354071047098842</v>
      </c>
      <c r="U42" t="b">
        <f t="shared" si="36"/>
        <v>0</v>
      </c>
      <c r="V42" t="b">
        <f t="shared" si="37"/>
        <v>0</v>
      </c>
      <c r="W42" t="b">
        <f t="shared" si="38"/>
        <v>0</v>
      </c>
      <c r="X42" t="b">
        <f t="shared" si="39"/>
        <v>0</v>
      </c>
      <c r="Z42">
        <v>0.42429883724478895</v>
      </c>
      <c r="AA42">
        <v>0.42954802087466049</v>
      </c>
      <c r="AB42">
        <v>0.39985351115451523</v>
      </c>
      <c r="AC42">
        <v>0.64745017853328046</v>
      </c>
      <c r="AD42">
        <v>0.5790276802880947</v>
      </c>
      <c r="AE42">
        <v>0.81170079653309735</v>
      </c>
      <c r="AF42">
        <v>0.38044373912778101</v>
      </c>
      <c r="AG42">
        <v>0.32654805139316995</v>
      </c>
      <c r="AH42">
        <v>0.673421430097354</v>
      </c>
      <c r="AI42">
        <v>0.15100558488723412</v>
      </c>
      <c r="AJ42">
        <v>0.32084109012115847</v>
      </c>
      <c r="AK42">
        <v>0.93169957579271834</v>
      </c>
      <c r="AL42">
        <v>0.2238227484969634</v>
      </c>
      <c r="AM42">
        <v>0.96704000976592308</v>
      </c>
      <c r="AN42">
        <v>0.39780877101962342</v>
      </c>
      <c r="AO42">
        <v>6.7232276375621819E-2</v>
      </c>
      <c r="AP42">
        <v>0.84490493484298224</v>
      </c>
      <c r="AQ42">
        <v>0.63994262520218514</v>
      </c>
      <c r="AR42">
        <v>0.913266396069216</v>
      </c>
      <c r="AS42">
        <v>0.49055452131717886</v>
      </c>
    </row>
    <row r="43" spans="1:45">
      <c r="A43">
        <v>41</v>
      </c>
      <c r="B43">
        <v>52.38428583543282</v>
      </c>
      <c r="E43" t="b">
        <f t="shared" si="20"/>
        <v>0</v>
      </c>
      <c r="F43">
        <f t="shared" si="21"/>
        <v>52.38428583543282</v>
      </c>
      <c r="G43">
        <f t="shared" si="22"/>
        <v>52.38428583543282</v>
      </c>
      <c r="H43" t="b">
        <f t="shared" si="23"/>
        <v>0</v>
      </c>
      <c r="I43" t="b">
        <f t="shared" si="24"/>
        <v>0</v>
      </c>
      <c r="J43">
        <f t="shared" si="25"/>
        <v>52.38428583543282</v>
      </c>
      <c r="K43">
        <f t="shared" si="26"/>
        <v>52.38428583543282</v>
      </c>
      <c r="L43">
        <f t="shared" si="27"/>
        <v>52.38428583543282</v>
      </c>
      <c r="M43" t="b">
        <f t="shared" si="28"/>
        <v>0</v>
      </c>
      <c r="N43" t="b">
        <f t="shared" si="29"/>
        <v>0</v>
      </c>
      <c r="O43" t="b">
        <f t="shared" si="30"/>
        <v>0</v>
      </c>
      <c r="P43">
        <f t="shared" si="31"/>
        <v>52.38428583543282</v>
      </c>
      <c r="Q43">
        <f t="shared" si="32"/>
        <v>52.38428583543282</v>
      </c>
      <c r="R43" t="b">
        <f t="shared" si="33"/>
        <v>0</v>
      </c>
      <c r="S43">
        <f t="shared" si="34"/>
        <v>52.38428583543282</v>
      </c>
      <c r="T43" t="b">
        <f t="shared" si="35"/>
        <v>0</v>
      </c>
      <c r="U43" t="b">
        <f t="shared" si="36"/>
        <v>0</v>
      </c>
      <c r="V43">
        <f t="shared" si="37"/>
        <v>52.38428583543282</v>
      </c>
      <c r="W43" t="b">
        <f t="shared" si="38"/>
        <v>0</v>
      </c>
      <c r="X43" t="b">
        <f t="shared" si="39"/>
        <v>0</v>
      </c>
      <c r="Z43">
        <v>0.44233527634510328</v>
      </c>
      <c r="AA43">
        <v>5.9511093478194527E-2</v>
      </c>
      <c r="AB43">
        <v>0.24375133518478959</v>
      </c>
      <c r="AC43">
        <v>0.55592516861476482</v>
      </c>
      <c r="AD43">
        <v>0.60835596789452806</v>
      </c>
      <c r="AE43">
        <v>0.2336497085482345</v>
      </c>
      <c r="AF43">
        <v>0.26160466322824794</v>
      </c>
      <c r="AG43">
        <v>0.21179845576342052</v>
      </c>
      <c r="AH43">
        <v>0.522171697134312</v>
      </c>
      <c r="AI43">
        <v>0.81868953520310073</v>
      </c>
      <c r="AJ43">
        <v>0.94936979277932065</v>
      </c>
      <c r="AK43">
        <v>0.35377056184575945</v>
      </c>
      <c r="AL43">
        <v>0.23880733664967804</v>
      </c>
      <c r="AM43">
        <v>0.46601763969847715</v>
      </c>
      <c r="AN43">
        <v>0.10586870937223426</v>
      </c>
      <c r="AO43">
        <v>0.81710257271034881</v>
      </c>
      <c r="AP43">
        <v>0.50520340586565748</v>
      </c>
      <c r="AQ43">
        <v>0.33252967925046539</v>
      </c>
      <c r="AR43">
        <v>0.60487685781426437</v>
      </c>
      <c r="AS43">
        <v>0.73735770744956819</v>
      </c>
    </row>
    <row r="44" spans="1:45">
      <c r="A44">
        <v>42</v>
      </c>
      <c r="B44">
        <v>46.366318555374164</v>
      </c>
      <c r="E44" t="b">
        <f t="shared" si="20"/>
        <v>0</v>
      </c>
      <c r="F44" t="b">
        <f t="shared" si="21"/>
        <v>0</v>
      </c>
      <c r="G44">
        <f t="shared" si="22"/>
        <v>46.366318555374164</v>
      </c>
      <c r="H44">
        <f t="shared" si="23"/>
        <v>46.366318555374164</v>
      </c>
      <c r="I44" t="b">
        <f t="shared" si="24"/>
        <v>0</v>
      </c>
      <c r="J44" t="b">
        <f t="shared" si="25"/>
        <v>0</v>
      </c>
      <c r="K44" t="b">
        <f t="shared" si="26"/>
        <v>0</v>
      </c>
      <c r="L44" t="b">
        <f t="shared" si="27"/>
        <v>0</v>
      </c>
      <c r="M44">
        <f t="shared" si="28"/>
        <v>46.366318555374164</v>
      </c>
      <c r="N44">
        <f t="shared" si="29"/>
        <v>46.366318555374164</v>
      </c>
      <c r="O44">
        <f t="shared" si="30"/>
        <v>46.366318555374164</v>
      </c>
      <c r="P44">
        <f t="shared" si="31"/>
        <v>46.366318555374164</v>
      </c>
      <c r="Q44" t="b">
        <f t="shared" si="32"/>
        <v>0</v>
      </c>
      <c r="R44" t="b">
        <f t="shared" si="33"/>
        <v>0</v>
      </c>
      <c r="S44">
        <f t="shared" si="34"/>
        <v>46.366318555374164</v>
      </c>
      <c r="T44" t="b">
        <f t="shared" si="35"/>
        <v>0</v>
      </c>
      <c r="U44" t="b">
        <f t="shared" si="36"/>
        <v>0</v>
      </c>
      <c r="V44">
        <f t="shared" si="37"/>
        <v>46.366318555374164</v>
      </c>
      <c r="W44">
        <f t="shared" si="38"/>
        <v>46.366318555374164</v>
      </c>
      <c r="X44">
        <f t="shared" si="39"/>
        <v>46.366318555374164</v>
      </c>
      <c r="Z44">
        <v>0.61497848445081937</v>
      </c>
      <c r="AA44">
        <v>0.56260872219000824</v>
      </c>
      <c r="AB44">
        <v>2.8077028717917417E-2</v>
      </c>
      <c r="AC44">
        <v>0.25284585100863671</v>
      </c>
      <c r="AD44">
        <v>0.575609607226783</v>
      </c>
      <c r="AE44">
        <v>0.53373821222571494</v>
      </c>
      <c r="AF44">
        <v>0.62779625843073827</v>
      </c>
      <c r="AG44">
        <v>0.69780571916867584</v>
      </c>
      <c r="AH44">
        <v>0.15909298989837337</v>
      </c>
      <c r="AI44">
        <v>7.7028717917416917E-2</v>
      </c>
      <c r="AJ44">
        <v>0.35419782097842339</v>
      </c>
      <c r="AK44">
        <v>0.37235633411664176</v>
      </c>
      <c r="AL44">
        <v>0.4770653401287881</v>
      </c>
      <c r="AM44">
        <v>0.88991973632007815</v>
      </c>
      <c r="AN44">
        <v>0.3567003387554552</v>
      </c>
      <c r="AO44">
        <v>0.68172246467482533</v>
      </c>
      <c r="AP44">
        <v>0.50648518326364944</v>
      </c>
      <c r="AQ44">
        <v>0.20447401348918118</v>
      </c>
      <c r="AR44">
        <v>0.37821588793603322</v>
      </c>
      <c r="AS44">
        <v>0.19983520004882963</v>
      </c>
    </row>
    <row r="45" spans="1:45">
      <c r="A45">
        <v>43</v>
      </c>
      <c r="B45">
        <v>53.136233317491133</v>
      </c>
      <c r="E45" t="b">
        <f t="shared" si="20"/>
        <v>0</v>
      </c>
      <c r="F45">
        <f t="shared" si="21"/>
        <v>53.136233317491133</v>
      </c>
      <c r="G45" t="b">
        <f t="shared" si="22"/>
        <v>0</v>
      </c>
      <c r="H45" t="b">
        <f t="shared" si="23"/>
        <v>0</v>
      </c>
      <c r="I45">
        <f t="shared" si="24"/>
        <v>53.136233317491133</v>
      </c>
      <c r="J45" t="b">
        <f t="shared" si="25"/>
        <v>0</v>
      </c>
      <c r="K45">
        <f t="shared" si="26"/>
        <v>53.136233317491133</v>
      </c>
      <c r="L45">
        <f t="shared" si="27"/>
        <v>53.136233317491133</v>
      </c>
      <c r="M45">
        <f t="shared" si="28"/>
        <v>53.136233317491133</v>
      </c>
      <c r="N45" t="b">
        <f t="shared" si="29"/>
        <v>0</v>
      </c>
      <c r="O45" t="b">
        <f t="shared" si="30"/>
        <v>0</v>
      </c>
      <c r="P45">
        <f t="shared" si="31"/>
        <v>53.136233317491133</v>
      </c>
      <c r="Q45" t="b">
        <f t="shared" si="32"/>
        <v>0</v>
      </c>
      <c r="R45" t="b">
        <f t="shared" si="33"/>
        <v>0</v>
      </c>
      <c r="S45" t="b">
        <f t="shared" si="34"/>
        <v>0</v>
      </c>
      <c r="T45">
        <f t="shared" si="35"/>
        <v>53.136233317491133</v>
      </c>
      <c r="U45" t="b">
        <f t="shared" si="36"/>
        <v>0</v>
      </c>
      <c r="V45" t="b">
        <f t="shared" si="37"/>
        <v>0</v>
      </c>
      <c r="W45" t="b">
        <f t="shared" si="38"/>
        <v>0</v>
      </c>
      <c r="X45">
        <f t="shared" si="39"/>
        <v>53.136233317491133</v>
      </c>
      <c r="Z45">
        <v>0.97003082369457072</v>
      </c>
      <c r="AA45">
        <v>0.19400616473891416</v>
      </c>
      <c r="AB45">
        <v>0.78356273079622796</v>
      </c>
      <c r="AC45">
        <v>0.81948301644947663</v>
      </c>
      <c r="AD45">
        <v>2.9999694814905241E-2</v>
      </c>
      <c r="AE45">
        <v>0.74779503769035915</v>
      </c>
      <c r="AF45">
        <v>0.13364055299539171</v>
      </c>
      <c r="AG45">
        <v>9.6224860377819146E-2</v>
      </c>
      <c r="AH45">
        <v>0.13458662678914762</v>
      </c>
      <c r="AI45">
        <v>0.88128299813837097</v>
      </c>
      <c r="AJ45">
        <v>0.76854762413403732</v>
      </c>
      <c r="AK45">
        <v>0.27570421460615863</v>
      </c>
      <c r="AL45">
        <v>0.6726279488509781</v>
      </c>
      <c r="AM45">
        <v>0.55229346598712115</v>
      </c>
      <c r="AN45">
        <v>0.72487563707388536</v>
      </c>
      <c r="AO45">
        <v>0.20334482863856929</v>
      </c>
      <c r="AP45">
        <v>0.98583941160313726</v>
      </c>
      <c r="AQ45">
        <v>0.86510818811609236</v>
      </c>
      <c r="AR45">
        <v>0.40620136112552263</v>
      </c>
      <c r="AS45">
        <v>0.16934720908230841</v>
      </c>
    </row>
    <row r="46" spans="1:45">
      <c r="A46">
        <v>44</v>
      </c>
      <c r="B46">
        <v>70.099651010241359</v>
      </c>
      <c r="E46" t="b">
        <f t="shared" si="20"/>
        <v>0</v>
      </c>
      <c r="F46">
        <f t="shared" si="21"/>
        <v>70.099651010241359</v>
      </c>
      <c r="G46" t="b">
        <f t="shared" si="22"/>
        <v>0</v>
      </c>
      <c r="H46" t="b">
        <f t="shared" si="23"/>
        <v>0</v>
      </c>
      <c r="I46" t="b">
        <f t="shared" si="24"/>
        <v>0</v>
      </c>
      <c r="J46" t="b">
        <f t="shared" si="25"/>
        <v>0</v>
      </c>
      <c r="K46">
        <f t="shared" si="26"/>
        <v>70.099651010241359</v>
      </c>
      <c r="L46" t="b">
        <f t="shared" si="27"/>
        <v>0</v>
      </c>
      <c r="M46">
        <f t="shared" si="28"/>
        <v>70.099651010241359</v>
      </c>
      <c r="N46">
        <f t="shared" si="29"/>
        <v>70.099651010241359</v>
      </c>
      <c r="O46" t="b">
        <f t="shared" si="30"/>
        <v>0</v>
      </c>
      <c r="P46">
        <f t="shared" si="31"/>
        <v>70.099651010241359</v>
      </c>
      <c r="Q46" t="b">
        <f t="shared" si="32"/>
        <v>0</v>
      </c>
      <c r="R46" t="b">
        <f t="shared" si="33"/>
        <v>0</v>
      </c>
      <c r="S46" t="b">
        <f t="shared" si="34"/>
        <v>0</v>
      </c>
      <c r="T46" t="b">
        <f t="shared" si="35"/>
        <v>0</v>
      </c>
      <c r="U46">
        <f t="shared" si="36"/>
        <v>70.099651010241359</v>
      </c>
      <c r="V46" t="b">
        <f t="shared" si="37"/>
        <v>0</v>
      </c>
      <c r="W46" t="b">
        <f t="shared" si="38"/>
        <v>0</v>
      </c>
      <c r="X46" t="b">
        <f t="shared" si="39"/>
        <v>0</v>
      </c>
      <c r="Z46">
        <v>0.63570055238502154</v>
      </c>
      <c r="AA46">
        <v>0.15030365916928617</v>
      </c>
      <c r="AB46">
        <v>0.48902859584337899</v>
      </c>
      <c r="AC46">
        <v>0.67638172551652576</v>
      </c>
      <c r="AD46">
        <v>0.45057527390362256</v>
      </c>
      <c r="AE46">
        <v>0.7788933988464003</v>
      </c>
      <c r="AF46">
        <v>0.36222418897061065</v>
      </c>
      <c r="AG46">
        <v>0.84441663869136629</v>
      </c>
      <c r="AH46">
        <v>0.39024018066957611</v>
      </c>
      <c r="AI46">
        <v>0.20865504928739281</v>
      </c>
      <c r="AJ46">
        <v>0.45045319986571858</v>
      </c>
      <c r="AK46">
        <v>0.20569475386822109</v>
      </c>
      <c r="AL46">
        <v>0.71413312173833432</v>
      </c>
      <c r="AM46">
        <v>0.65694143498031554</v>
      </c>
      <c r="AN46">
        <v>0.5527512436292612</v>
      </c>
      <c r="AO46">
        <v>0.80730613116855376</v>
      </c>
      <c r="AP46">
        <v>0.37330240791039765</v>
      </c>
      <c r="AQ46">
        <v>0.71895504623554185</v>
      </c>
      <c r="AR46">
        <v>0.95300149540696433</v>
      </c>
      <c r="AS46">
        <v>0.73253578295236066</v>
      </c>
    </row>
    <row r="47" spans="1:45">
      <c r="A47">
        <v>45</v>
      </c>
      <c r="B47">
        <v>50.151089807332028</v>
      </c>
      <c r="E47" t="b">
        <f t="shared" si="20"/>
        <v>0</v>
      </c>
      <c r="F47" t="b">
        <f t="shared" si="21"/>
        <v>0</v>
      </c>
      <c r="G47" t="b">
        <f t="shared" si="22"/>
        <v>0</v>
      </c>
      <c r="H47" t="b">
        <f t="shared" si="23"/>
        <v>0</v>
      </c>
      <c r="I47" t="b">
        <f t="shared" si="24"/>
        <v>0</v>
      </c>
      <c r="J47" t="b">
        <f t="shared" si="25"/>
        <v>0</v>
      </c>
      <c r="K47" t="b">
        <f t="shared" si="26"/>
        <v>0</v>
      </c>
      <c r="L47">
        <f t="shared" si="27"/>
        <v>50.151089807332028</v>
      </c>
      <c r="M47">
        <f t="shared" si="28"/>
        <v>50.151089807332028</v>
      </c>
      <c r="N47" t="b">
        <f t="shared" si="29"/>
        <v>0</v>
      </c>
      <c r="O47" t="b">
        <f t="shared" si="30"/>
        <v>0</v>
      </c>
      <c r="P47">
        <f t="shared" si="31"/>
        <v>50.151089807332028</v>
      </c>
      <c r="Q47" t="b">
        <f t="shared" si="32"/>
        <v>0</v>
      </c>
      <c r="R47">
        <f t="shared" si="33"/>
        <v>50.151089807332028</v>
      </c>
      <c r="S47" t="b">
        <f t="shared" si="34"/>
        <v>0</v>
      </c>
      <c r="T47">
        <f t="shared" si="35"/>
        <v>50.151089807332028</v>
      </c>
      <c r="U47" t="b">
        <f t="shared" si="36"/>
        <v>0</v>
      </c>
      <c r="V47" t="b">
        <f t="shared" si="37"/>
        <v>0</v>
      </c>
      <c r="W47" t="b">
        <f t="shared" si="38"/>
        <v>0</v>
      </c>
      <c r="X47" t="b">
        <f t="shared" si="39"/>
        <v>0</v>
      </c>
      <c r="Z47">
        <v>0.58641315958128604</v>
      </c>
      <c r="AA47">
        <v>0.85207678456984159</v>
      </c>
      <c r="AB47">
        <v>0.66451002533036285</v>
      </c>
      <c r="AC47">
        <v>0.48057496871852778</v>
      </c>
      <c r="AD47">
        <v>0.52748191778313547</v>
      </c>
      <c r="AE47">
        <v>0.63539536729026158</v>
      </c>
      <c r="AF47">
        <v>0.86410107730338448</v>
      </c>
      <c r="AG47">
        <v>0.12579729606006043</v>
      </c>
      <c r="AH47">
        <v>0.18222602008117925</v>
      </c>
      <c r="AI47">
        <v>0.93301187170018618</v>
      </c>
      <c r="AJ47">
        <v>0.56559953611865599</v>
      </c>
      <c r="AK47">
        <v>0.2011169774468215</v>
      </c>
      <c r="AL47">
        <v>0.44068727683339948</v>
      </c>
      <c r="AM47">
        <v>0.13278603473006378</v>
      </c>
      <c r="AN47">
        <v>0.77666554765465257</v>
      </c>
      <c r="AO47">
        <v>0.32657856990264594</v>
      </c>
      <c r="AP47">
        <v>0.80587176122318183</v>
      </c>
      <c r="AQ47">
        <v>0.75966673787652206</v>
      </c>
      <c r="AR47">
        <v>0.88698995941038239</v>
      </c>
      <c r="AS47">
        <v>0.54817346720786153</v>
      </c>
    </row>
    <row r="48" spans="1:45">
      <c r="A48">
        <v>46</v>
      </c>
      <c r="B48">
        <v>50.570605607208563</v>
      </c>
      <c r="E48">
        <f t="shared" si="20"/>
        <v>50.570605607208563</v>
      </c>
      <c r="F48" t="b">
        <f t="shared" si="21"/>
        <v>0</v>
      </c>
      <c r="G48" t="b">
        <f t="shared" si="22"/>
        <v>0</v>
      </c>
      <c r="H48" t="b">
        <f t="shared" si="23"/>
        <v>0</v>
      </c>
      <c r="I48" t="b">
        <f t="shared" si="24"/>
        <v>0</v>
      </c>
      <c r="J48" t="b">
        <f t="shared" si="25"/>
        <v>0</v>
      </c>
      <c r="K48" t="b">
        <f t="shared" si="26"/>
        <v>0</v>
      </c>
      <c r="L48">
        <f t="shared" si="27"/>
        <v>50.570605607208563</v>
      </c>
      <c r="M48">
        <f t="shared" si="28"/>
        <v>50.570605607208563</v>
      </c>
      <c r="N48" t="b">
        <f t="shared" si="29"/>
        <v>0</v>
      </c>
      <c r="O48" t="b">
        <f t="shared" si="30"/>
        <v>0</v>
      </c>
      <c r="P48" t="b">
        <f t="shared" si="31"/>
        <v>0</v>
      </c>
      <c r="Q48">
        <f t="shared" si="32"/>
        <v>50.570605607208563</v>
      </c>
      <c r="R48">
        <f t="shared" si="33"/>
        <v>50.570605607208563</v>
      </c>
      <c r="S48" t="b">
        <f t="shared" si="34"/>
        <v>0</v>
      </c>
      <c r="T48">
        <f t="shared" si="35"/>
        <v>50.570605607208563</v>
      </c>
      <c r="U48">
        <f t="shared" si="36"/>
        <v>50.570605607208563</v>
      </c>
      <c r="V48" t="b">
        <f t="shared" si="37"/>
        <v>0</v>
      </c>
      <c r="W48" t="b">
        <f t="shared" si="38"/>
        <v>0</v>
      </c>
      <c r="X48" t="b">
        <f t="shared" si="39"/>
        <v>0</v>
      </c>
      <c r="Z48">
        <v>8.6092715231788075E-2</v>
      </c>
      <c r="AA48">
        <v>0.41392254402294992</v>
      </c>
      <c r="AB48">
        <v>0.55885494552446058</v>
      </c>
      <c r="AC48">
        <v>0.7695852534562212</v>
      </c>
      <c r="AD48">
        <v>0.60863063447981203</v>
      </c>
      <c r="AE48">
        <v>0.95458845789971614</v>
      </c>
      <c r="AF48">
        <v>0.99697866756187625</v>
      </c>
      <c r="AG48">
        <v>0.12097537156285287</v>
      </c>
      <c r="AH48">
        <v>2.0203253273110143E-2</v>
      </c>
      <c r="AI48">
        <v>0.93386638996551408</v>
      </c>
      <c r="AJ48">
        <v>0.90746787926877648</v>
      </c>
      <c r="AK48">
        <v>0.88448744163335058</v>
      </c>
      <c r="AL48">
        <v>3.8148136844996489E-2</v>
      </c>
      <c r="AM48">
        <v>7.4221015045625172E-2</v>
      </c>
      <c r="AN48">
        <v>0.72035889767143768</v>
      </c>
      <c r="AO48">
        <v>0.28229621265297405</v>
      </c>
      <c r="AP48">
        <v>0.30600909451582387</v>
      </c>
      <c r="AQ48">
        <v>0.97491378521073035</v>
      </c>
      <c r="AR48">
        <v>0.64213995788445688</v>
      </c>
      <c r="AS48">
        <v>0.43653675954466387</v>
      </c>
    </row>
    <row r="49" spans="1:45">
      <c r="A49">
        <v>47</v>
      </c>
      <c r="B49">
        <v>31.614473654190078</v>
      </c>
      <c r="E49" t="b">
        <f t="shared" si="20"/>
        <v>0</v>
      </c>
      <c r="F49">
        <f t="shared" si="21"/>
        <v>31.614473654190078</v>
      </c>
      <c r="G49">
        <f t="shared" si="22"/>
        <v>31.614473654190078</v>
      </c>
      <c r="H49" t="b">
        <f t="shared" si="23"/>
        <v>0</v>
      </c>
      <c r="I49">
        <f t="shared" si="24"/>
        <v>31.614473654190078</v>
      </c>
      <c r="J49">
        <f t="shared" si="25"/>
        <v>31.614473654190078</v>
      </c>
      <c r="K49">
        <f t="shared" si="26"/>
        <v>31.614473654190078</v>
      </c>
      <c r="L49" t="b">
        <f t="shared" si="27"/>
        <v>0</v>
      </c>
      <c r="M49">
        <f t="shared" si="28"/>
        <v>31.614473654190078</v>
      </c>
      <c r="N49" t="b">
        <f t="shared" si="29"/>
        <v>0</v>
      </c>
      <c r="O49" t="b">
        <f t="shared" si="30"/>
        <v>0</v>
      </c>
      <c r="P49">
        <f t="shared" si="31"/>
        <v>31.614473654190078</v>
      </c>
      <c r="Q49" t="b">
        <f t="shared" si="32"/>
        <v>0</v>
      </c>
      <c r="R49" t="b">
        <f t="shared" si="33"/>
        <v>0</v>
      </c>
      <c r="S49" t="b">
        <f t="shared" si="34"/>
        <v>0</v>
      </c>
      <c r="T49" t="b">
        <f t="shared" si="35"/>
        <v>0</v>
      </c>
      <c r="U49" t="b">
        <f t="shared" si="36"/>
        <v>0</v>
      </c>
      <c r="V49">
        <f t="shared" si="37"/>
        <v>31.614473654190078</v>
      </c>
      <c r="W49" t="b">
        <f t="shared" si="38"/>
        <v>0</v>
      </c>
      <c r="X49">
        <f t="shared" si="39"/>
        <v>31.614473654190078</v>
      </c>
      <c r="Z49">
        <v>0.58314767906735432</v>
      </c>
      <c r="AA49">
        <v>0.29233680227057712</v>
      </c>
      <c r="AB49">
        <v>0.21060823389385663</v>
      </c>
      <c r="AC49">
        <v>0.76689962462233341</v>
      </c>
      <c r="AD49">
        <v>0.31861323892941068</v>
      </c>
      <c r="AE49">
        <v>4.0223395489364301E-2</v>
      </c>
      <c r="AF49">
        <v>0.1292764061403241</v>
      </c>
      <c r="AG49">
        <v>0.44752342295602282</v>
      </c>
      <c r="AH49">
        <v>0.19504379406109806</v>
      </c>
      <c r="AI49">
        <v>0.97030549027985469</v>
      </c>
      <c r="AJ49">
        <v>0.71123386333811456</v>
      </c>
      <c r="AK49">
        <v>0.27436140018921473</v>
      </c>
      <c r="AL49">
        <v>0.8409375286111026</v>
      </c>
      <c r="AM49">
        <v>0.62086855677968689</v>
      </c>
      <c r="AN49">
        <v>0.59953611865596479</v>
      </c>
      <c r="AO49">
        <v>0.93597216711935793</v>
      </c>
      <c r="AP49">
        <v>0.92529068880275889</v>
      </c>
      <c r="AQ49">
        <v>1.3794366283150731E-2</v>
      </c>
      <c r="AR49">
        <v>0.92208624530777916</v>
      </c>
      <c r="AS49">
        <v>0.14590899380474256</v>
      </c>
    </row>
    <row r="50" spans="1:45">
      <c r="A50">
        <v>48</v>
      </c>
      <c r="B50">
        <v>42.501125234412029</v>
      </c>
      <c r="E50" t="b">
        <f t="shared" si="20"/>
        <v>0</v>
      </c>
      <c r="F50">
        <f t="shared" si="21"/>
        <v>42.501125234412029</v>
      </c>
      <c r="G50" t="b">
        <f t="shared" si="22"/>
        <v>0</v>
      </c>
      <c r="H50">
        <f t="shared" si="23"/>
        <v>42.501125234412029</v>
      </c>
      <c r="I50" t="b">
        <f t="shared" si="24"/>
        <v>0</v>
      </c>
      <c r="J50" t="b">
        <f t="shared" si="25"/>
        <v>0</v>
      </c>
      <c r="K50" t="b">
        <f t="shared" si="26"/>
        <v>0</v>
      </c>
      <c r="L50">
        <f t="shared" si="27"/>
        <v>42.501125234412029</v>
      </c>
      <c r="M50">
        <f t="shared" si="28"/>
        <v>42.501125234412029</v>
      </c>
      <c r="N50" t="b">
        <f t="shared" si="29"/>
        <v>0</v>
      </c>
      <c r="O50" t="b">
        <f t="shared" si="30"/>
        <v>0</v>
      </c>
      <c r="P50" t="b">
        <f t="shared" si="31"/>
        <v>0</v>
      </c>
      <c r="Q50" t="b">
        <f t="shared" si="32"/>
        <v>0</v>
      </c>
      <c r="R50" t="b">
        <f t="shared" si="33"/>
        <v>0</v>
      </c>
      <c r="S50" t="b">
        <f t="shared" si="34"/>
        <v>0</v>
      </c>
      <c r="T50">
        <f t="shared" si="35"/>
        <v>42.501125234412029</v>
      </c>
      <c r="U50" t="b">
        <f t="shared" si="36"/>
        <v>0</v>
      </c>
      <c r="V50" t="b">
        <f t="shared" si="37"/>
        <v>0</v>
      </c>
      <c r="W50" t="b">
        <f t="shared" si="38"/>
        <v>0</v>
      </c>
      <c r="X50">
        <f t="shared" si="39"/>
        <v>42.501125234412029</v>
      </c>
      <c r="Z50">
        <v>0.717734305856502</v>
      </c>
      <c r="AA50">
        <v>0.37656788842432937</v>
      </c>
      <c r="AB50">
        <v>0.83477278969695123</v>
      </c>
      <c r="AC50">
        <v>0.24137089144566179</v>
      </c>
      <c r="AD50">
        <v>0.92159794915616322</v>
      </c>
      <c r="AE50">
        <v>0.94976653340250861</v>
      </c>
      <c r="AF50">
        <v>0.85174108096560563</v>
      </c>
      <c r="AG50">
        <v>0.10776085695974609</v>
      </c>
      <c r="AH50">
        <v>0.18958098086489455</v>
      </c>
      <c r="AI50">
        <v>0.68688009277626882</v>
      </c>
      <c r="AJ50">
        <v>0.71791741691335798</v>
      </c>
      <c r="AK50">
        <v>0.50325022125919372</v>
      </c>
      <c r="AL50">
        <v>0.44734031189916684</v>
      </c>
      <c r="AM50">
        <v>0.80220954008606216</v>
      </c>
      <c r="AN50">
        <v>0.41395306253242592</v>
      </c>
      <c r="AO50">
        <v>0.33637501144444104</v>
      </c>
      <c r="AP50">
        <v>0.43626209295937984</v>
      </c>
      <c r="AQ50">
        <v>0.61488692892239138</v>
      </c>
      <c r="AR50">
        <v>0.90527054658650474</v>
      </c>
      <c r="AS50">
        <v>0.271645252845851</v>
      </c>
    </row>
    <row r="51" spans="1:45">
      <c r="A51">
        <v>49</v>
      </c>
      <c r="B51">
        <v>56.903974281158298</v>
      </c>
      <c r="E51" t="b">
        <f t="shared" si="20"/>
        <v>0</v>
      </c>
      <c r="F51">
        <f t="shared" si="21"/>
        <v>56.903974281158298</v>
      </c>
      <c r="G51">
        <f t="shared" si="22"/>
        <v>56.903974281158298</v>
      </c>
      <c r="H51">
        <f t="shared" si="23"/>
        <v>56.903974281158298</v>
      </c>
      <c r="I51">
        <f t="shared" si="24"/>
        <v>56.903974281158298</v>
      </c>
      <c r="J51" t="b">
        <f t="shared" si="25"/>
        <v>0</v>
      </c>
      <c r="K51">
        <f t="shared" si="26"/>
        <v>56.903974281158298</v>
      </c>
      <c r="L51" t="b">
        <f t="shared" si="27"/>
        <v>0</v>
      </c>
      <c r="M51">
        <f t="shared" si="28"/>
        <v>56.903974281158298</v>
      </c>
      <c r="N51" t="b">
        <f t="shared" si="29"/>
        <v>0</v>
      </c>
      <c r="O51" t="b">
        <f t="shared" si="30"/>
        <v>0</v>
      </c>
      <c r="P51" t="b">
        <f t="shared" si="31"/>
        <v>0</v>
      </c>
      <c r="Q51" t="b">
        <f t="shared" si="32"/>
        <v>0</v>
      </c>
      <c r="R51">
        <f t="shared" si="33"/>
        <v>56.903974281158298</v>
      </c>
      <c r="S51">
        <f t="shared" si="34"/>
        <v>56.903974281158298</v>
      </c>
      <c r="T51">
        <f t="shared" si="35"/>
        <v>56.903974281158298</v>
      </c>
      <c r="U51">
        <f t="shared" si="36"/>
        <v>56.903974281158298</v>
      </c>
      <c r="V51">
        <f t="shared" si="37"/>
        <v>56.903974281158298</v>
      </c>
      <c r="W51" t="b">
        <f t="shared" si="38"/>
        <v>0</v>
      </c>
      <c r="X51" t="b">
        <f t="shared" si="39"/>
        <v>0</v>
      </c>
      <c r="Z51">
        <v>0.58952604754783777</v>
      </c>
      <c r="AA51">
        <v>0.3303628650776696</v>
      </c>
      <c r="AB51">
        <v>0.36448255867183449</v>
      </c>
      <c r="AC51">
        <v>0.18295846430860316</v>
      </c>
      <c r="AD51">
        <v>0.39228492080446792</v>
      </c>
      <c r="AE51">
        <v>0.98831141087069307</v>
      </c>
      <c r="AF51">
        <v>0.37339396343882564</v>
      </c>
      <c r="AG51">
        <v>0.66319772942289501</v>
      </c>
      <c r="AH51">
        <v>6.5553758354441966E-2</v>
      </c>
      <c r="AI51">
        <v>0.72231208227790156</v>
      </c>
      <c r="AJ51">
        <v>0.81109042634357742</v>
      </c>
      <c r="AK51">
        <v>0.72383800775170137</v>
      </c>
      <c r="AL51">
        <v>0.55204931791131318</v>
      </c>
      <c r="AM51">
        <v>0.3890499588000122</v>
      </c>
      <c r="AN51">
        <v>0.35001678518021179</v>
      </c>
      <c r="AO51">
        <v>0.24027222510452589</v>
      </c>
      <c r="AP51">
        <v>0.18301950132755515</v>
      </c>
      <c r="AQ51">
        <v>0.21466719565416426</v>
      </c>
      <c r="AR51">
        <v>0.93816949980162967</v>
      </c>
      <c r="AS51">
        <v>0.61876277962584303</v>
      </c>
    </row>
    <row r="52" spans="1:45">
      <c r="A52">
        <v>50</v>
      </c>
      <c r="B52">
        <v>49.846613718545996</v>
      </c>
      <c r="E52" t="b">
        <f t="shared" si="20"/>
        <v>0</v>
      </c>
      <c r="F52" t="b">
        <f t="shared" si="21"/>
        <v>0</v>
      </c>
      <c r="G52" t="b">
        <f t="shared" si="22"/>
        <v>0</v>
      </c>
      <c r="H52" t="b">
        <f t="shared" si="23"/>
        <v>0</v>
      </c>
      <c r="I52" t="b">
        <f t="shared" si="24"/>
        <v>0</v>
      </c>
      <c r="J52" t="b">
        <f t="shared" si="25"/>
        <v>0</v>
      </c>
      <c r="K52">
        <f t="shared" si="26"/>
        <v>49.846613718545996</v>
      </c>
      <c r="L52">
        <f t="shared" si="27"/>
        <v>49.846613718545996</v>
      </c>
      <c r="M52" t="b">
        <f t="shared" si="28"/>
        <v>0</v>
      </c>
      <c r="N52" t="b">
        <f t="shared" si="29"/>
        <v>0</v>
      </c>
      <c r="O52" t="b">
        <f t="shared" si="30"/>
        <v>0</v>
      </c>
      <c r="P52">
        <f t="shared" si="31"/>
        <v>49.846613718545996</v>
      </c>
      <c r="Q52" t="b">
        <f t="shared" si="32"/>
        <v>0</v>
      </c>
      <c r="R52">
        <f t="shared" si="33"/>
        <v>49.846613718545996</v>
      </c>
      <c r="S52" t="b">
        <f t="shared" si="34"/>
        <v>0</v>
      </c>
      <c r="T52">
        <f t="shared" si="35"/>
        <v>49.846613718545996</v>
      </c>
      <c r="U52" t="b">
        <f t="shared" si="36"/>
        <v>0</v>
      </c>
      <c r="V52">
        <f t="shared" si="37"/>
        <v>49.846613718545996</v>
      </c>
      <c r="W52">
        <f t="shared" si="38"/>
        <v>49.846613718545996</v>
      </c>
      <c r="X52" t="b">
        <f t="shared" si="39"/>
        <v>0</v>
      </c>
      <c r="Z52">
        <v>0.62273018585772266</v>
      </c>
      <c r="AA52">
        <v>0.42237617114780113</v>
      </c>
      <c r="AB52">
        <v>0.68233283486434526</v>
      </c>
      <c r="AC52">
        <v>0.94088564714499345</v>
      </c>
      <c r="AD52">
        <v>0.50477614673299354</v>
      </c>
      <c r="AE52">
        <v>0.93072298348948634</v>
      </c>
      <c r="AF52">
        <v>0.39130832850123598</v>
      </c>
      <c r="AG52">
        <v>2.0477919858394117E-2</v>
      </c>
      <c r="AH52">
        <v>0.9217505417035432</v>
      </c>
      <c r="AI52">
        <v>0.88634907071138647</v>
      </c>
      <c r="AJ52">
        <v>0.60530411694692832</v>
      </c>
      <c r="AK52">
        <v>0.31601916562395094</v>
      </c>
      <c r="AL52">
        <v>0.40662862025818658</v>
      </c>
      <c r="AM52">
        <v>0.26480910672322766</v>
      </c>
      <c r="AN52">
        <v>0.4051942503128147</v>
      </c>
      <c r="AO52">
        <v>2.4384289071321757E-2</v>
      </c>
      <c r="AP52">
        <v>0.9906613361003449</v>
      </c>
      <c r="AQ52">
        <v>0.28589739677114168</v>
      </c>
      <c r="AR52">
        <v>0.32151249732963044</v>
      </c>
      <c r="AS52">
        <v>0.44026001770073547</v>
      </c>
    </row>
    <row r="53" spans="1:45">
      <c r="A53">
        <v>51</v>
      </c>
      <c r="B53">
        <v>60.363100955146365</v>
      </c>
      <c r="E53">
        <f t="shared" si="20"/>
        <v>60.363100955146365</v>
      </c>
      <c r="F53">
        <f t="shared" si="21"/>
        <v>60.363100955146365</v>
      </c>
      <c r="G53">
        <f t="shared" si="22"/>
        <v>60.363100955146365</v>
      </c>
      <c r="H53" t="b">
        <f t="shared" si="23"/>
        <v>0</v>
      </c>
      <c r="I53" t="b">
        <f t="shared" si="24"/>
        <v>0</v>
      </c>
      <c r="J53">
        <f t="shared" si="25"/>
        <v>60.363100955146365</v>
      </c>
      <c r="K53" t="b">
        <f t="shared" si="26"/>
        <v>0</v>
      </c>
      <c r="L53" t="b">
        <f t="shared" si="27"/>
        <v>0</v>
      </c>
      <c r="M53" t="b">
        <f t="shared" si="28"/>
        <v>0</v>
      </c>
      <c r="N53">
        <f t="shared" si="29"/>
        <v>60.363100955146365</v>
      </c>
      <c r="O53" t="b">
        <f t="shared" si="30"/>
        <v>0</v>
      </c>
      <c r="P53" t="b">
        <f t="shared" si="31"/>
        <v>0</v>
      </c>
      <c r="Q53" t="b">
        <f t="shared" si="32"/>
        <v>0</v>
      </c>
      <c r="R53">
        <f t="shared" si="33"/>
        <v>60.363100955146365</v>
      </c>
      <c r="S53">
        <f t="shared" si="34"/>
        <v>60.363100955146365</v>
      </c>
      <c r="T53" t="b">
        <f t="shared" si="35"/>
        <v>0</v>
      </c>
      <c r="U53">
        <f t="shared" si="36"/>
        <v>60.363100955146365</v>
      </c>
      <c r="V53" t="b">
        <f t="shared" si="37"/>
        <v>0</v>
      </c>
      <c r="W53" t="b">
        <f t="shared" si="38"/>
        <v>0</v>
      </c>
      <c r="X53">
        <f t="shared" si="39"/>
        <v>60.363100955146365</v>
      </c>
      <c r="Z53">
        <v>0.38343455305642871</v>
      </c>
      <c r="AA53">
        <v>3.1403546250801113E-2</v>
      </c>
      <c r="AB53">
        <v>0.23352763451033051</v>
      </c>
      <c r="AC53">
        <v>0.99707022309030424</v>
      </c>
      <c r="AD53">
        <v>0.67271950437940609</v>
      </c>
      <c r="AE53">
        <v>2.0111697744682151E-2</v>
      </c>
      <c r="AF53">
        <v>0.53587450788903468</v>
      </c>
      <c r="AG53">
        <v>0.771202734458449</v>
      </c>
      <c r="AH53">
        <v>0.847773674733726</v>
      </c>
      <c r="AI53">
        <v>0.3792840357676931</v>
      </c>
      <c r="AJ53">
        <v>0.93798638874477369</v>
      </c>
      <c r="AK53">
        <v>0.79064302499465922</v>
      </c>
      <c r="AL53">
        <v>0.97219763786736657</v>
      </c>
      <c r="AM53">
        <v>0.37833796197393721</v>
      </c>
      <c r="AN53">
        <v>0.29920346690267646</v>
      </c>
      <c r="AO53">
        <v>0.64342173528244884</v>
      </c>
      <c r="AP53">
        <v>0.21567430646687216</v>
      </c>
      <c r="AQ53">
        <v>0.40812402722251045</v>
      </c>
      <c r="AR53">
        <v>0.4307382427442244</v>
      </c>
      <c r="AS53">
        <v>8.0233161412396614E-2</v>
      </c>
    </row>
    <row r="54" spans="1:45">
      <c r="A54">
        <v>52</v>
      </c>
      <c r="B54">
        <v>64.777697288081981</v>
      </c>
      <c r="E54" t="b">
        <f t="shared" si="20"/>
        <v>0</v>
      </c>
      <c r="F54">
        <f t="shared" si="21"/>
        <v>64.777697288081981</v>
      </c>
      <c r="G54" t="b">
        <f t="shared" si="22"/>
        <v>0</v>
      </c>
      <c r="H54">
        <f t="shared" si="23"/>
        <v>64.777697288081981</v>
      </c>
      <c r="I54" t="b">
        <f t="shared" si="24"/>
        <v>0</v>
      </c>
      <c r="J54" t="b">
        <f t="shared" si="25"/>
        <v>0</v>
      </c>
      <c r="K54">
        <f t="shared" si="26"/>
        <v>64.777697288081981</v>
      </c>
      <c r="L54">
        <f t="shared" si="27"/>
        <v>64.777697288081981</v>
      </c>
      <c r="M54" t="b">
        <f t="shared" si="28"/>
        <v>0</v>
      </c>
      <c r="N54" t="b">
        <f t="shared" si="29"/>
        <v>0</v>
      </c>
      <c r="O54" t="b">
        <f t="shared" si="30"/>
        <v>0</v>
      </c>
      <c r="P54" t="b">
        <f t="shared" si="31"/>
        <v>0</v>
      </c>
      <c r="Q54">
        <f t="shared" si="32"/>
        <v>64.777697288081981</v>
      </c>
      <c r="R54">
        <f t="shared" si="33"/>
        <v>64.777697288081981</v>
      </c>
      <c r="S54" t="b">
        <f t="shared" si="34"/>
        <v>0</v>
      </c>
      <c r="T54" t="b">
        <f t="shared" si="35"/>
        <v>0</v>
      </c>
      <c r="U54" t="b">
        <f t="shared" si="36"/>
        <v>0</v>
      </c>
      <c r="V54" t="b">
        <f t="shared" si="37"/>
        <v>0</v>
      </c>
      <c r="W54" t="b">
        <f t="shared" si="38"/>
        <v>0</v>
      </c>
      <c r="X54" t="b">
        <f t="shared" si="39"/>
        <v>0</v>
      </c>
      <c r="Z54">
        <v>0.67442854091006199</v>
      </c>
      <c r="AA54">
        <v>9.9948118533890809E-2</v>
      </c>
      <c r="AB54">
        <v>0.45048371837519458</v>
      </c>
      <c r="AC54">
        <v>0.33741264076662497</v>
      </c>
      <c r="AD54">
        <v>0.90176091799676505</v>
      </c>
      <c r="AE54">
        <v>0.91170995208594008</v>
      </c>
      <c r="AF54">
        <v>0.13757744071779535</v>
      </c>
      <c r="AG54">
        <v>9.8452711569566947E-2</v>
      </c>
      <c r="AH54">
        <v>0.58296456801049834</v>
      </c>
      <c r="AI54">
        <v>0.67995239112521744</v>
      </c>
      <c r="AJ54">
        <v>0.9286172063356426</v>
      </c>
      <c r="AK54">
        <v>0.64659566026795257</v>
      </c>
      <c r="AL54">
        <v>0.24198126163518174</v>
      </c>
      <c r="AM54">
        <v>9.2043824579607539E-2</v>
      </c>
      <c r="AN54">
        <v>0.48023926511429182</v>
      </c>
      <c r="AO54">
        <v>0.45887630848109379</v>
      </c>
      <c r="AP54">
        <v>0.71797845393230997</v>
      </c>
      <c r="AQ54">
        <v>0.98217719046601759</v>
      </c>
      <c r="AR54">
        <v>0.68593401898251294</v>
      </c>
      <c r="AS54">
        <v>0.72371593371379739</v>
      </c>
    </row>
    <row r="55" spans="1:45">
      <c r="A55">
        <v>53</v>
      </c>
      <c r="B55">
        <v>39.360730978660285</v>
      </c>
      <c r="E55">
        <f t="shared" si="20"/>
        <v>39.360730978660285</v>
      </c>
      <c r="F55" t="b">
        <f t="shared" si="21"/>
        <v>0</v>
      </c>
      <c r="G55" t="b">
        <f t="shared" si="22"/>
        <v>0</v>
      </c>
      <c r="H55">
        <f t="shared" si="23"/>
        <v>39.360730978660285</v>
      </c>
      <c r="I55">
        <f t="shared" si="24"/>
        <v>39.360730978660285</v>
      </c>
      <c r="J55" t="b">
        <f t="shared" si="25"/>
        <v>0</v>
      </c>
      <c r="K55" t="b">
        <f t="shared" si="26"/>
        <v>0</v>
      </c>
      <c r="L55" t="b">
        <f t="shared" si="27"/>
        <v>0</v>
      </c>
      <c r="M55" t="b">
        <f t="shared" si="28"/>
        <v>0</v>
      </c>
      <c r="N55" t="b">
        <f t="shared" si="29"/>
        <v>0</v>
      </c>
      <c r="O55" t="b">
        <f t="shared" si="30"/>
        <v>0</v>
      </c>
      <c r="P55">
        <f t="shared" si="31"/>
        <v>39.360730978660285</v>
      </c>
      <c r="Q55" t="b">
        <f t="shared" si="32"/>
        <v>0</v>
      </c>
      <c r="R55" t="b">
        <f t="shared" si="33"/>
        <v>0</v>
      </c>
      <c r="S55" t="b">
        <f t="shared" si="34"/>
        <v>0</v>
      </c>
      <c r="T55" t="b">
        <f t="shared" si="35"/>
        <v>0</v>
      </c>
      <c r="U55">
        <f t="shared" si="36"/>
        <v>39.360730978660285</v>
      </c>
      <c r="V55" t="b">
        <f t="shared" si="37"/>
        <v>0</v>
      </c>
      <c r="W55" t="b">
        <f t="shared" si="38"/>
        <v>0</v>
      </c>
      <c r="X55">
        <f t="shared" si="39"/>
        <v>39.360730978660285</v>
      </c>
      <c r="Z55">
        <v>0.28202154606769003</v>
      </c>
      <c r="AA55">
        <v>0.66338084047975099</v>
      </c>
      <c r="AB55">
        <v>0.85650196844386117</v>
      </c>
      <c r="AC55">
        <v>6.6011535996581924E-2</v>
      </c>
      <c r="AD55">
        <v>0.16974394970549639</v>
      </c>
      <c r="AE55">
        <v>0.86422315134128846</v>
      </c>
      <c r="AF55">
        <v>0.65617847224341563</v>
      </c>
      <c r="AG55">
        <v>0.47788933988464005</v>
      </c>
      <c r="AH55">
        <v>0.44856105227820675</v>
      </c>
      <c r="AI55">
        <v>0.64275032807397692</v>
      </c>
      <c r="AJ55">
        <v>0.74852748191778318</v>
      </c>
      <c r="AK55">
        <v>3.326517532883694E-3</v>
      </c>
      <c r="AL55">
        <v>0.52006591998046814</v>
      </c>
      <c r="AM55">
        <v>0.81917783135471667</v>
      </c>
      <c r="AN55">
        <v>0.79543443098239086</v>
      </c>
      <c r="AO55">
        <v>0.4817346720786157</v>
      </c>
      <c r="AP55">
        <v>0.37006744590594193</v>
      </c>
      <c r="AQ55">
        <v>0.98583941160313726</v>
      </c>
      <c r="AR55">
        <v>0.42866298409985654</v>
      </c>
      <c r="AS55">
        <v>0.33292641987365335</v>
      </c>
    </row>
    <row r="56" spans="1:45">
      <c r="A56">
        <v>54</v>
      </c>
      <c r="B56">
        <v>65.617342796758749</v>
      </c>
      <c r="E56">
        <f t="shared" si="20"/>
        <v>65.617342796758749</v>
      </c>
      <c r="F56" t="b">
        <f t="shared" si="21"/>
        <v>0</v>
      </c>
      <c r="G56" t="b">
        <f t="shared" si="22"/>
        <v>0</v>
      </c>
      <c r="H56">
        <f t="shared" si="23"/>
        <v>65.617342796758749</v>
      </c>
      <c r="I56" t="b">
        <f t="shared" si="24"/>
        <v>0</v>
      </c>
      <c r="J56">
        <f t="shared" si="25"/>
        <v>65.617342796758749</v>
      </c>
      <c r="K56" t="b">
        <f t="shared" si="26"/>
        <v>0</v>
      </c>
      <c r="L56">
        <f t="shared" si="27"/>
        <v>65.617342796758749</v>
      </c>
      <c r="M56">
        <f t="shared" si="28"/>
        <v>65.617342796758749</v>
      </c>
      <c r="N56">
        <f t="shared" si="29"/>
        <v>65.617342796758749</v>
      </c>
      <c r="O56">
        <f t="shared" si="30"/>
        <v>65.617342796758749</v>
      </c>
      <c r="P56">
        <f t="shared" si="31"/>
        <v>65.617342796758749</v>
      </c>
      <c r="Q56">
        <f t="shared" si="32"/>
        <v>65.617342796758749</v>
      </c>
      <c r="R56">
        <f t="shared" si="33"/>
        <v>65.617342796758749</v>
      </c>
      <c r="S56" t="b">
        <f t="shared" si="34"/>
        <v>0</v>
      </c>
      <c r="T56">
        <f t="shared" si="35"/>
        <v>65.617342796758749</v>
      </c>
      <c r="U56">
        <f t="shared" si="36"/>
        <v>65.617342796758749</v>
      </c>
      <c r="V56">
        <f t="shared" si="37"/>
        <v>65.617342796758749</v>
      </c>
      <c r="W56">
        <f t="shared" si="38"/>
        <v>65.617342796758749</v>
      </c>
      <c r="X56" t="b">
        <f t="shared" si="39"/>
        <v>0</v>
      </c>
      <c r="Z56">
        <v>9.7659230323191015E-4</v>
      </c>
      <c r="AA56">
        <v>0.82601397747733996</v>
      </c>
      <c r="AB56">
        <v>0.98525955992309333</v>
      </c>
      <c r="AC56">
        <v>0.10425122837000642</v>
      </c>
      <c r="AD56">
        <v>0.95846430860316778</v>
      </c>
      <c r="AE56">
        <v>0.25782036805322428</v>
      </c>
      <c r="AF56">
        <v>0.78704184087649154</v>
      </c>
      <c r="AG56">
        <v>0.37794122135074926</v>
      </c>
      <c r="AH56">
        <v>0.18823816644795069</v>
      </c>
      <c r="AI56">
        <v>0.15213476973784601</v>
      </c>
      <c r="AJ56">
        <v>0.11273537400433363</v>
      </c>
      <c r="AK56">
        <v>0.22263252662739952</v>
      </c>
      <c r="AL56">
        <v>0.26300851466414382</v>
      </c>
      <c r="AM56">
        <v>0.37699514755699332</v>
      </c>
      <c r="AN56">
        <v>0.79409161656544691</v>
      </c>
      <c r="AO56">
        <v>0.37269203772087772</v>
      </c>
      <c r="AP56">
        <v>0.32642597735526596</v>
      </c>
      <c r="AQ56">
        <v>0.35880611590929901</v>
      </c>
      <c r="AR56">
        <v>0.19373149815363017</v>
      </c>
      <c r="AS56">
        <v>0.554399243140965</v>
      </c>
    </row>
    <row r="57" spans="1:45">
      <c r="A57">
        <v>55</v>
      </c>
      <c r="B57">
        <v>45.778739503293764</v>
      </c>
      <c r="E57">
        <f t="shared" si="20"/>
        <v>45.778739503293764</v>
      </c>
      <c r="F57" t="b">
        <f t="shared" si="21"/>
        <v>0</v>
      </c>
      <c r="G57" t="b">
        <f t="shared" si="22"/>
        <v>0</v>
      </c>
      <c r="H57">
        <f t="shared" si="23"/>
        <v>45.778739503293764</v>
      </c>
      <c r="I57" t="b">
        <f t="shared" si="24"/>
        <v>0</v>
      </c>
      <c r="J57" t="b">
        <f t="shared" si="25"/>
        <v>0</v>
      </c>
      <c r="K57">
        <f t="shared" si="26"/>
        <v>45.778739503293764</v>
      </c>
      <c r="L57" t="b">
        <f t="shared" si="27"/>
        <v>0</v>
      </c>
      <c r="M57">
        <f t="shared" si="28"/>
        <v>45.778739503293764</v>
      </c>
      <c r="N57">
        <f t="shared" si="29"/>
        <v>45.778739503293764</v>
      </c>
      <c r="O57">
        <f t="shared" si="30"/>
        <v>45.778739503293764</v>
      </c>
      <c r="P57">
        <f t="shared" si="31"/>
        <v>45.778739503293764</v>
      </c>
      <c r="Q57">
        <f t="shared" si="32"/>
        <v>45.778739503293764</v>
      </c>
      <c r="R57" t="b">
        <f t="shared" si="33"/>
        <v>0</v>
      </c>
      <c r="S57">
        <f t="shared" si="34"/>
        <v>45.778739503293764</v>
      </c>
      <c r="T57" t="b">
        <f t="shared" si="35"/>
        <v>0</v>
      </c>
      <c r="U57">
        <f t="shared" si="36"/>
        <v>45.778739503293764</v>
      </c>
      <c r="V57" t="b">
        <f t="shared" si="37"/>
        <v>0</v>
      </c>
      <c r="W57" t="b">
        <f t="shared" si="38"/>
        <v>0</v>
      </c>
      <c r="X57" t="b">
        <f t="shared" si="39"/>
        <v>0</v>
      </c>
      <c r="Z57">
        <v>0.14374217963194677</v>
      </c>
      <c r="AA57">
        <v>0.81536301767021702</v>
      </c>
      <c r="AB57">
        <v>0.47218237861262857</v>
      </c>
      <c r="AC57">
        <v>0.15439313943906979</v>
      </c>
      <c r="AD57">
        <v>0.64720603045747249</v>
      </c>
      <c r="AE57">
        <v>0.5578783532212287</v>
      </c>
      <c r="AF57">
        <v>0.13660084841456344</v>
      </c>
      <c r="AG57">
        <v>0.5340128788109989</v>
      </c>
      <c r="AH57">
        <v>0.24320200201422162</v>
      </c>
      <c r="AI57">
        <v>4.608294930875576E-3</v>
      </c>
      <c r="AJ57">
        <v>0.391155735953856</v>
      </c>
      <c r="AK57">
        <v>7.9317606128116697E-2</v>
      </c>
      <c r="AL57">
        <v>5.5787835322122871E-2</v>
      </c>
      <c r="AM57">
        <v>0.59474471266823326</v>
      </c>
      <c r="AN57">
        <v>0.29902035584582048</v>
      </c>
      <c r="AO57">
        <v>0.54475539414654983</v>
      </c>
      <c r="AP57">
        <v>0.26645710623493146</v>
      </c>
      <c r="AQ57">
        <v>0.62062440870387892</v>
      </c>
      <c r="AR57">
        <v>0.81221961119418928</v>
      </c>
      <c r="AS57">
        <v>0.53932309945982237</v>
      </c>
    </row>
    <row r="58" spans="1:45">
      <c r="A58">
        <v>56</v>
      </c>
      <c r="B58">
        <v>73.667598725296557</v>
      </c>
      <c r="E58" t="b">
        <f t="shared" si="20"/>
        <v>0</v>
      </c>
      <c r="F58" t="b">
        <f t="shared" si="21"/>
        <v>0</v>
      </c>
      <c r="G58" t="b">
        <f t="shared" si="22"/>
        <v>0</v>
      </c>
      <c r="H58">
        <f t="shared" si="23"/>
        <v>73.667598725296557</v>
      </c>
      <c r="I58">
        <f t="shared" si="24"/>
        <v>73.667598725296557</v>
      </c>
      <c r="J58" t="b">
        <f t="shared" si="25"/>
        <v>0</v>
      </c>
      <c r="K58" t="b">
        <f t="shared" si="26"/>
        <v>0</v>
      </c>
      <c r="L58" t="b">
        <f t="shared" si="27"/>
        <v>0</v>
      </c>
      <c r="M58" t="b">
        <f t="shared" si="28"/>
        <v>0</v>
      </c>
      <c r="N58">
        <f t="shared" si="29"/>
        <v>73.667598725296557</v>
      </c>
      <c r="O58" t="b">
        <f t="shared" si="30"/>
        <v>0</v>
      </c>
      <c r="P58" t="b">
        <f t="shared" si="31"/>
        <v>0</v>
      </c>
      <c r="Q58">
        <f t="shared" si="32"/>
        <v>73.667598725296557</v>
      </c>
      <c r="R58" t="b">
        <f t="shared" si="33"/>
        <v>0</v>
      </c>
      <c r="S58" t="b">
        <f t="shared" si="34"/>
        <v>0</v>
      </c>
      <c r="T58">
        <f t="shared" si="35"/>
        <v>73.667598725296557</v>
      </c>
      <c r="U58" t="b">
        <f t="shared" si="36"/>
        <v>0</v>
      </c>
      <c r="V58">
        <f t="shared" si="37"/>
        <v>73.667598725296557</v>
      </c>
      <c r="W58" t="b">
        <f t="shared" si="38"/>
        <v>0</v>
      </c>
      <c r="X58">
        <f t="shared" si="39"/>
        <v>73.667598725296557</v>
      </c>
      <c r="Z58">
        <v>0.77373577074495681</v>
      </c>
      <c r="AA58">
        <v>0.64574114200262456</v>
      </c>
      <c r="AB58">
        <v>0.97372356334116639</v>
      </c>
      <c r="AC58">
        <v>0.2119510483108005</v>
      </c>
      <c r="AD58">
        <v>0.16800439466536454</v>
      </c>
      <c r="AE58">
        <v>0.77520065919980463</v>
      </c>
      <c r="AF58">
        <v>0.56416516617328405</v>
      </c>
      <c r="AG58">
        <v>0.75594347972045051</v>
      </c>
      <c r="AH58">
        <v>0.83400982696005133</v>
      </c>
      <c r="AI58">
        <v>0.15094454786828213</v>
      </c>
      <c r="AJ58">
        <v>0.76052125614185007</v>
      </c>
      <c r="AK58">
        <v>0.46491897335734123</v>
      </c>
      <c r="AL58">
        <v>2.053895687734611E-2</v>
      </c>
      <c r="AM58">
        <v>0.52833643604846336</v>
      </c>
      <c r="AN58">
        <v>0.43745231482894376</v>
      </c>
      <c r="AO58">
        <v>4.293954283272805E-2</v>
      </c>
      <c r="AP58">
        <v>0.83684804834131898</v>
      </c>
      <c r="AQ58">
        <v>0.29746391186254462</v>
      </c>
      <c r="AR58">
        <v>0.86864833521530804</v>
      </c>
      <c r="AS58">
        <v>0.35602893154698323</v>
      </c>
    </row>
    <row r="59" spans="1:45">
      <c r="A59">
        <v>57</v>
      </c>
      <c r="B59">
        <v>47.335339685378131</v>
      </c>
      <c r="E59" t="b">
        <f t="shared" si="20"/>
        <v>0</v>
      </c>
      <c r="F59">
        <f t="shared" si="21"/>
        <v>47.335339685378131</v>
      </c>
      <c r="G59">
        <f t="shared" si="22"/>
        <v>47.335339685378131</v>
      </c>
      <c r="H59" t="b">
        <f t="shared" si="23"/>
        <v>0</v>
      </c>
      <c r="I59" t="b">
        <f t="shared" si="24"/>
        <v>0</v>
      </c>
      <c r="J59" t="b">
        <f t="shared" si="25"/>
        <v>0</v>
      </c>
      <c r="K59" t="b">
        <f t="shared" si="26"/>
        <v>0</v>
      </c>
      <c r="L59">
        <f t="shared" si="27"/>
        <v>47.335339685378131</v>
      </c>
      <c r="M59">
        <f t="shared" si="28"/>
        <v>47.335339685378131</v>
      </c>
      <c r="N59" t="b">
        <f t="shared" si="29"/>
        <v>0</v>
      </c>
      <c r="O59" t="b">
        <f t="shared" si="30"/>
        <v>0</v>
      </c>
      <c r="P59">
        <f t="shared" si="31"/>
        <v>47.335339685378131</v>
      </c>
      <c r="Q59">
        <f t="shared" si="32"/>
        <v>47.335339685378131</v>
      </c>
      <c r="R59">
        <f t="shared" si="33"/>
        <v>47.335339685378131</v>
      </c>
      <c r="S59">
        <f t="shared" si="34"/>
        <v>47.335339685378131</v>
      </c>
      <c r="T59" t="b">
        <f t="shared" si="35"/>
        <v>0</v>
      </c>
      <c r="U59">
        <f t="shared" si="36"/>
        <v>47.335339685378131</v>
      </c>
      <c r="V59" t="b">
        <f t="shared" si="37"/>
        <v>0</v>
      </c>
      <c r="W59" t="b">
        <f t="shared" si="38"/>
        <v>0</v>
      </c>
      <c r="X59">
        <f t="shared" si="39"/>
        <v>47.335339685378131</v>
      </c>
      <c r="Z59">
        <v>0.51307718131046476</v>
      </c>
      <c r="AA59">
        <v>8.890041810357982E-2</v>
      </c>
      <c r="AB59">
        <v>7.1413312173833426E-2</v>
      </c>
      <c r="AC59">
        <v>0.4034852137821589</v>
      </c>
      <c r="AD59">
        <v>0.83959471419415876</v>
      </c>
      <c r="AE59">
        <v>0.92144535660878324</v>
      </c>
      <c r="AF59">
        <v>0.94445631275368513</v>
      </c>
      <c r="AG59">
        <v>0.25287636951811271</v>
      </c>
      <c r="AH59">
        <v>0.14569536423841059</v>
      </c>
      <c r="AI59">
        <v>0.66081728568376719</v>
      </c>
      <c r="AJ59">
        <v>0.61113315225684373</v>
      </c>
      <c r="AK59">
        <v>0.23450422681356242</v>
      </c>
      <c r="AL59">
        <v>7.6631977294228951E-2</v>
      </c>
      <c r="AM59">
        <v>0.27817621387371438</v>
      </c>
      <c r="AN59">
        <v>0.39555040131839964</v>
      </c>
      <c r="AO59">
        <v>0.66014587847529527</v>
      </c>
      <c r="AP59">
        <v>0.16827906125064851</v>
      </c>
      <c r="AQ59">
        <v>0.78249458296456798</v>
      </c>
      <c r="AR59">
        <v>0.89068269905697806</v>
      </c>
      <c r="AS59">
        <v>0.11365092928861355</v>
      </c>
    </row>
    <row r="60" spans="1:45">
      <c r="A60">
        <v>58</v>
      </c>
      <c r="B60">
        <v>63.060548553767148</v>
      </c>
      <c r="E60">
        <f t="shared" si="20"/>
        <v>63.060548553767148</v>
      </c>
      <c r="F60" t="b">
        <f t="shared" si="21"/>
        <v>0</v>
      </c>
      <c r="G60">
        <f t="shared" si="22"/>
        <v>63.060548553767148</v>
      </c>
      <c r="H60" t="b">
        <f t="shared" si="23"/>
        <v>0</v>
      </c>
      <c r="I60" t="b">
        <f t="shared" si="24"/>
        <v>0</v>
      </c>
      <c r="J60" t="b">
        <f t="shared" si="25"/>
        <v>0</v>
      </c>
      <c r="K60">
        <f t="shared" si="26"/>
        <v>63.060548553767148</v>
      </c>
      <c r="L60" t="b">
        <f t="shared" si="27"/>
        <v>0</v>
      </c>
      <c r="M60">
        <f t="shared" si="28"/>
        <v>63.060548553767148</v>
      </c>
      <c r="N60">
        <f t="shared" si="29"/>
        <v>63.060548553767148</v>
      </c>
      <c r="O60">
        <f t="shared" si="30"/>
        <v>63.060548553767148</v>
      </c>
      <c r="P60" t="b">
        <f t="shared" si="31"/>
        <v>0</v>
      </c>
      <c r="Q60" t="b">
        <f t="shared" si="32"/>
        <v>0</v>
      </c>
      <c r="R60">
        <f t="shared" si="33"/>
        <v>63.060548553767148</v>
      </c>
      <c r="S60">
        <f t="shared" si="34"/>
        <v>63.060548553767148</v>
      </c>
      <c r="T60">
        <f t="shared" si="35"/>
        <v>63.060548553767148</v>
      </c>
      <c r="U60">
        <f t="shared" si="36"/>
        <v>63.060548553767148</v>
      </c>
      <c r="V60" t="b">
        <f t="shared" si="37"/>
        <v>0</v>
      </c>
      <c r="W60" t="b">
        <f t="shared" si="38"/>
        <v>0</v>
      </c>
      <c r="X60">
        <f t="shared" si="39"/>
        <v>63.060548553767148</v>
      </c>
      <c r="Z60">
        <v>9.0884121219519637E-2</v>
      </c>
      <c r="AA60">
        <v>0.70616779076509906</v>
      </c>
      <c r="AB60">
        <v>0.14914395580919829</v>
      </c>
      <c r="AC60">
        <v>0.43772698141422772</v>
      </c>
      <c r="AD60">
        <v>0.76769310586870942</v>
      </c>
      <c r="AE60">
        <v>0.54570146794030583</v>
      </c>
      <c r="AF60">
        <v>0.34299752800073247</v>
      </c>
      <c r="AG60">
        <v>0.75179296243171478</v>
      </c>
      <c r="AH60">
        <v>3.9002655110324413E-2</v>
      </c>
      <c r="AI60">
        <v>0.38999603259376814</v>
      </c>
      <c r="AJ60">
        <v>0.1022980437635426</v>
      </c>
      <c r="AK60">
        <v>0.7627491073335978</v>
      </c>
      <c r="AL60">
        <v>0.60490737632374036</v>
      </c>
      <c r="AM60">
        <v>9.1555528427991577E-5</v>
      </c>
      <c r="AN60">
        <v>0.37302774132511368</v>
      </c>
      <c r="AO60">
        <v>0.10748619037446211</v>
      </c>
      <c r="AP60">
        <v>0.25785088656270028</v>
      </c>
      <c r="AQ60">
        <v>0.50492873928037352</v>
      </c>
      <c r="AR60">
        <v>0.89144566179387796</v>
      </c>
      <c r="AS60">
        <v>0.18207342753379924</v>
      </c>
    </row>
    <row r="61" spans="1:45">
      <c r="A61">
        <v>59</v>
      </c>
      <c r="B61">
        <v>42.997641129477415</v>
      </c>
      <c r="E61" t="b">
        <f t="shared" si="20"/>
        <v>0</v>
      </c>
      <c r="F61">
        <f t="shared" si="21"/>
        <v>42.997641129477415</v>
      </c>
      <c r="G61" t="b">
        <f t="shared" si="22"/>
        <v>0</v>
      </c>
      <c r="H61">
        <f t="shared" si="23"/>
        <v>42.997641129477415</v>
      </c>
      <c r="I61" t="b">
        <f t="shared" si="24"/>
        <v>0</v>
      </c>
      <c r="J61" t="b">
        <f t="shared" si="25"/>
        <v>0</v>
      </c>
      <c r="K61" t="b">
        <f t="shared" si="26"/>
        <v>0</v>
      </c>
      <c r="L61" t="b">
        <f t="shared" si="27"/>
        <v>0</v>
      </c>
      <c r="M61">
        <f t="shared" si="28"/>
        <v>42.997641129477415</v>
      </c>
      <c r="N61" t="b">
        <f t="shared" si="29"/>
        <v>0</v>
      </c>
      <c r="O61" t="b">
        <f t="shared" si="30"/>
        <v>0</v>
      </c>
      <c r="P61">
        <f t="shared" si="31"/>
        <v>42.997641129477415</v>
      </c>
      <c r="Q61" t="b">
        <f t="shared" si="32"/>
        <v>0</v>
      </c>
      <c r="R61">
        <f t="shared" si="33"/>
        <v>42.997641129477415</v>
      </c>
      <c r="S61">
        <f t="shared" si="34"/>
        <v>42.997641129477415</v>
      </c>
      <c r="T61">
        <f t="shared" si="35"/>
        <v>42.997641129477415</v>
      </c>
      <c r="U61" t="b">
        <f t="shared" si="36"/>
        <v>0</v>
      </c>
      <c r="V61" t="b">
        <f t="shared" si="37"/>
        <v>0</v>
      </c>
      <c r="W61">
        <f t="shared" si="38"/>
        <v>42.997641129477415</v>
      </c>
      <c r="X61">
        <f t="shared" si="39"/>
        <v>42.997641129477415</v>
      </c>
      <c r="Z61">
        <v>0.93887142551957758</v>
      </c>
      <c r="AA61">
        <v>0.26752525406659139</v>
      </c>
      <c r="AB61">
        <v>0.51329081087679673</v>
      </c>
      <c r="AC61">
        <v>0.10760826441236609</v>
      </c>
      <c r="AD61">
        <v>0.74925992614520709</v>
      </c>
      <c r="AE61">
        <v>0.79216895046845914</v>
      </c>
      <c r="AF61">
        <v>0.53511154515213477</v>
      </c>
      <c r="AG61">
        <v>0.8664815210425123</v>
      </c>
      <c r="AH61">
        <v>0.16565446943571277</v>
      </c>
      <c r="AI61">
        <v>0.9659718619342631</v>
      </c>
      <c r="AJ61">
        <v>0.95913571581163981</v>
      </c>
      <c r="AK61">
        <v>0.18250068666646321</v>
      </c>
      <c r="AL61">
        <v>0.84456923123874628</v>
      </c>
      <c r="AM61">
        <v>0.37507248146000549</v>
      </c>
      <c r="AN61">
        <v>0.19391460921048617</v>
      </c>
      <c r="AO61">
        <v>0.12463759269997253</v>
      </c>
      <c r="AP61">
        <v>0.81478316599017309</v>
      </c>
      <c r="AQ61">
        <v>0.86550492873928042</v>
      </c>
      <c r="AR61">
        <v>0.14633625293740654</v>
      </c>
      <c r="AS61">
        <v>0.11557359538560137</v>
      </c>
    </row>
    <row r="62" spans="1:45">
      <c r="A62">
        <v>60</v>
      </c>
      <c r="B62">
        <v>33.143379722605459</v>
      </c>
      <c r="E62">
        <f t="shared" si="20"/>
        <v>33.143379722605459</v>
      </c>
      <c r="F62" t="b">
        <f t="shared" si="21"/>
        <v>0</v>
      </c>
      <c r="G62" t="b">
        <f t="shared" si="22"/>
        <v>0</v>
      </c>
      <c r="H62" t="b">
        <f t="shared" si="23"/>
        <v>0</v>
      </c>
      <c r="I62">
        <f t="shared" si="24"/>
        <v>33.143379722605459</v>
      </c>
      <c r="J62">
        <f t="shared" si="25"/>
        <v>33.143379722605459</v>
      </c>
      <c r="K62" t="b">
        <f t="shared" si="26"/>
        <v>0</v>
      </c>
      <c r="L62" t="b">
        <f t="shared" si="27"/>
        <v>0</v>
      </c>
      <c r="M62">
        <f t="shared" si="28"/>
        <v>33.143379722605459</v>
      </c>
      <c r="N62" t="b">
        <f t="shared" si="29"/>
        <v>0</v>
      </c>
      <c r="O62" t="b">
        <f t="shared" si="30"/>
        <v>0</v>
      </c>
      <c r="P62">
        <f t="shared" si="31"/>
        <v>33.143379722605459</v>
      </c>
      <c r="Q62">
        <f t="shared" si="32"/>
        <v>33.143379722605459</v>
      </c>
      <c r="R62" t="b">
        <f t="shared" si="33"/>
        <v>0</v>
      </c>
      <c r="S62">
        <f t="shared" si="34"/>
        <v>33.143379722605459</v>
      </c>
      <c r="T62">
        <f t="shared" si="35"/>
        <v>33.143379722605459</v>
      </c>
      <c r="U62" t="b">
        <f t="shared" si="36"/>
        <v>0</v>
      </c>
      <c r="V62" t="b">
        <f t="shared" si="37"/>
        <v>0</v>
      </c>
      <c r="W62" t="b">
        <f t="shared" si="38"/>
        <v>0</v>
      </c>
      <c r="X62">
        <f t="shared" si="39"/>
        <v>33.143379722605459</v>
      </c>
      <c r="Z62">
        <v>0.23868526261177403</v>
      </c>
      <c r="AA62">
        <v>0.59849848933378091</v>
      </c>
      <c r="AB62">
        <v>0.88882106997894228</v>
      </c>
      <c r="AC62">
        <v>0.69713431196020381</v>
      </c>
      <c r="AD62">
        <v>0.3686025574510941</v>
      </c>
      <c r="AE62">
        <v>0.1619922482985931</v>
      </c>
      <c r="AF62">
        <v>0.56682027649769584</v>
      </c>
      <c r="AG62">
        <v>0.87185277871028777</v>
      </c>
      <c r="AH62">
        <v>0.27478865932187874</v>
      </c>
      <c r="AI62">
        <v>0.98248237556077767</v>
      </c>
      <c r="AJ62">
        <v>0.94018372142704554</v>
      </c>
      <c r="AK62">
        <v>0.26703695791497545</v>
      </c>
      <c r="AL62">
        <v>0.39179662465285198</v>
      </c>
      <c r="AM62">
        <v>0.6794030579546495</v>
      </c>
      <c r="AN62">
        <v>0.39695425275429547</v>
      </c>
      <c r="AO62">
        <v>0.30536820581682789</v>
      </c>
      <c r="AP62">
        <v>0.49006622516556292</v>
      </c>
      <c r="AQ62">
        <v>0.42640461439863275</v>
      </c>
      <c r="AR62">
        <v>0.98565630054628128</v>
      </c>
      <c r="AS62">
        <v>0.18503372295297096</v>
      </c>
    </row>
    <row r="63" spans="1:45">
      <c r="A63">
        <v>61</v>
      </c>
      <c r="B63">
        <v>48.536350176436827</v>
      </c>
      <c r="E63" t="b">
        <f t="shared" si="20"/>
        <v>0</v>
      </c>
      <c r="F63">
        <f t="shared" si="21"/>
        <v>48.536350176436827</v>
      </c>
      <c r="G63" t="b">
        <f t="shared" si="22"/>
        <v>0</v>
      </c>
      <c r="H63" t="b">
        <f t="shared" si="23"/>
        <v>0</v>
      </c>
      <c r="I63">
        <f t="shared" si="24"/>
        <v>48.536350176436827</v>
      </c>
      <c r="J63" t="b">
        <f t="shared" si="25"/>
        <v>0</v>
      </c>
      <c r="K63" t="b">
        <f t="shared" si="26"/>
        <v>0</v>
      </c>
      <c r="L63" t="b">
        <f t="shared" si="27"/>
        <v>0</v>
      </c>
      <c r="M63" t="b">
        <f t="shared" si="28"/>
        <v>0</v>
      </c>
      <c r="N63" t="b">
        <f t="shared" si="29"/>
        <v>0</v>
      </c>
      <c r="O63" t="b">
        <f t="shared" si="30"/>
        <v>0</v>
      </c>
      <c r="P63" t="b">
        <f t="shared" si="31"/>
        <v>0</v>
      </c>
      <c r="Q63">
        <f t="shared" si="32"/>
        <v>48.536350176436827</v>
      </c>
      <c r="R63" t="b">
        <f t="shared" si="33"/>
        <v>0</v>
      </c>
      <c r="S63">
        <f t="shared" si="34"/>
        <v>48.536350176436827</v>
      </c>
      <c r="T63">
        <f t="shared" si="35"/>
        <v>48.536350176436827</v>
      </c>
      <c r="U63" t="b">
        <f t="shared" si="36"/>
        <v>0</v>
      </c>
      <c r="V63" t="b">
        <f t="shared" si="37"/>
        <v>0</v>
      </c>
      <c r="W63" t="b">
        <f t="shared" si="38"/>
        <v>0</v>
      </c>
      <c r="X63" t="b">
        <f t="shared" si="39"/>
        <v>0</v>
      </c>
      <c r="Z63">
        <v>0.99807733390301223</v>
      </c>
      <c r="AA63">
        <v>0.37089144566179388</v>
      </c>
      <c r="AB63">
        <v>0.98721274452955721</v>
      </c>
      <c r="AC63">
        <v>0.45298623615222633</v>
      </c>
      <c r="AD63">
        <v>5.4567094943082983E-2</v>
      </c>
      <c r="AE63">
        <v>0.92440565202795499</v>
      </c>
      <c r="AF63">
        <v>0.77697073274941253</v>
      </c>
      <c r="AG63">
        <v>0.87572862941373941</v>
      </c>
      <c r="AH63">
        <v>0.98248237556077767</v>
      </c>
      <c r="AI63">
        <v>0.83541367839594716</v>
      </c>
      <c r="AJ63">
        <v>0.50972014526810505</v>
      </c>
      <c r="AK63">
        <v>0.60444959868160042</v>
      </c>
      <c r="AL63">
        <v>0.10174871059297463</v>
      </c>
      <c r="AM63">
        <v>0.80190435499130219</v>
      </c>
      <c r="AN63">
        <v>1.5564439832758568E-2</v>
      </c>
      <c r="AO63">
        <v>0.26172673726615192</v>
      </c>
      <c r="AP63">
        <v>0.87276833399456766</v>
      </c>
      <c r="AQ63">
        <v>0.45762504959257788</v>
      </c>
      <c r="AR63">
        <v>0.55034028138065738</v>
      </c>
      <c r="AS63">
        <v>0.92703024384289068</v>
      </c>
    </row>
    <row r="64" spans="1:45">
      <c r="A64">
        <v>62</v>
      </c>
      <c r="B64">
        <v>51.316891484748339</v>
      </c>
      <c r="E64">
        <f t="shared" si="20"/>
        <v>51.316891484748339</v>
      </c>
      <c r="F64">
        <f t="shared" si="21"/>
        <v>51.316891484748339</v>
      </c>
      <c r="G64">
        <f t="shared" si="22"/>
        <v>51.316891484748339</v>
      </c>
      <c r="H64">
        <f t="shared" si="23"/>
        <v>51.316891484748339</v>
      </c>
      <c r="I64" t="b">
        <f t="shared" si="24"/>
        <v>0</v>
      </c>
      <c r="J64" t="b">
        <f t="shared" si="25"/>
        <v>0</v>
      </c>
      <c r="K64" t="b">
        <f t="shared" si="26"/>
        <v>0</v>
      </c>
      <c r="L64" t="b">
        <f t="shared" si="27"/>
        <v>0</v>
      </c>
      <c r="M64" t="b">
        <f t="shared" si="28"/>
        <v>0</v>
      </c>
      <c r="N64">
        <f t="shared" si="29"/>
        <v>51.316891484748339</v>
      </c>
      <c r="O64" t="b">
        <f t="shared" si="30"/>
        <v>0</v>
      </c>
      <c r="P64">
        <f t="shared" si="31"/>
        <v>51.316891484748339</v>
      </c>
      <c r="Q64">
        <f t="shared" si="32"/>
        <v>51.316891484748339</v>
      </c>
      <c r="R64">
        <f t="shared" si="33"/>
        <v>51.316891484748339</v>
      </c>
      <c r="S64">
        <f t="shared" si="34"/>
        <v>51.316891484748339</v>
      </c>
      <c r="T64" t="b">
        <f t="shared" si="35"/>
        <v>0</v>
      </c>
      <c r="U64" t="b">
        <f t="shared" si="36"/>
        <v>0</v>
      </c>
      <c r="V64">
        <f t="shared" si="37"/>
        <v>51.316891484748339</v>
      </c>
      <c r="W64" t="b">
        <f t="shared" si="38"/>
        <v>0</v>
      </c>
      <c r="X64" t="b">
        <f t="shared" si="39"/>
        <v>0</v>
      </c>
      <c r="Z64">
        <v>0.11017181920834987</v>
      </c>
      <c r="AA64">
        <v>0.2259285256508072</v>
      </c>
      <c r="AB64">
        <v>0.23557237464522232</v>
      </c>
      <c r="AC64">
        <v>0.10425122837000642</v>
      </c>
      <c r="AD64">
        <v>0.40055543687246314</v>
      </c>
      <c r="AE64">
        <v>0.51905880916776026</v>
      </c>
      <c r="AF64">
        <v>0.49855037079989012</v>
      </c>
      <c r="AG64">
        <v>0.98428296761986145</v>
      </c>
      <c r="AH64">
        <v>0.46681112094485305</v>
      </c>
      <c r="AI64">
        <v>6.2807092501602227E-2</v>
      </c>
      <c r="AJ64">
        <v>0.74214911343729972</v>
      </c>
      <c r="AK64">
        <v>0.23242896816919462</v>
      </c>
      <c r="AL64">
        <v>0.14142277291177099</v>
      </c>
      <c r="AM64">
        <v>0.21375164036988434</v>
      </c>
      <c r="AN64">
        <v>0.28199102755821404</v>
      </c>
      <c r="AO64">
        <v>0.67223120822779014</v>
      </c>
      <c r="AP64">
        <v>0.86465041047395241</v>
      </c>
      <c r="AQ64">
        <v>0.25440229499191258</v>
      </c>
      <c r="AR64">
        <v>0.51551866206854458</v>
      </c>
      <c r="AS64">
        <v>0.94628742332224491</v>
      </c>
    </row>
    <row r="65" spans="1:45">
      <c r="A65">
        <v>63</v>
      </c>
      <c r="B65">
        <v>54.11362179875141</v>
      </c>
      <c r="E65">
        <f t="shared" si="20"/>
        <v>54.11362179875141</v>
      </c>
      <c r="F65" t="b">
        <f t="shared" si="21"/>
        <v>0</v>
      </c>
      <c r="G65">
        <f t="shared" si="22"/>
        <v>54.11362179875141</v>
      </c>
      <c r="H65">
        <f t="shared" si="23"/>
        <v>54.11362179875141</v>
      </c>
      <c r="I65">
        <f t="shared" si="24"/>
        <v>54.11362179875141</v>
      </c>
      <c r="J65" t="b">
        <f t="shared" si="25"/>
        <v>0</v>
      </c>
      <c r="K65" t="b">
        <f t="shared" si="26"/>
        <v>0</v>
      </c>
      <c r="L65">
        <f t="shared" si="27"/>
        <v>54.11362179875141</v>
      </c>
      <c r="M65" t="b">
        <f t="shared" si="28"/>
        <v>0</v>
      </c>
      <c r="N65">
        <f t="shared" si="29"/>
        <v>54.11362179875141</v>
      </c>
      <c r="O65" t="b">
        <f t="shared" si="30"/>
        <v>0</v>
      </c>
      <c r="P65">
        <f t="shared" si="31"/>
        <v>54.11362179875141</v>
      </c>
      <c r="Q65" t="b">
        <f t="shared" si="32"/>
        <v>0</v>
      </c>
      <c r="R65">
        <f t="shared" si="33"/>
        <v>54.11362179875141</v>
      </c>
      <c r="S65" t="b">
        <f t="shared" si="34"/>
        <v>0</v>
      </c>
      <c r="T65" t="b">
        <f t="shared" si="35"/>
        <v>0</v>
      </c>
      <c r="U65" t="b">
        <f t="shared" si="36"/>
        <v>0</v>
      </c>
      <c r="V65" t="b">
        <f t="shared" si="37"/>
        <v>0</v>
      </c>
      <c r="W65">
        <f t="shared" si="38"/>
        <v>54.11362179875141</v>
      </c>
      <c r="X65" t="b">
        <f t="shared" si="39"/>
        <v>0</v>
      </c>
      <c r="Z65">
        <v>5.551316873683889E-2</v>
      </c>
      <c r="AA65">
        <v>0.50032044434949796</v>
      </c>
      <c r="AB65">
        <v>0.10187078463087863</v>
      </c>
      <c r="AC65">
        <v>0.37549974059266944</v>
      </c>
      <c r="AD65">
        <v>0.1609546189764092</v>
      </c>
      <c r="AE65">
        <v>0.96179082613605149</v>
      </c>
      <c r="AF65">
        <v>0.65941343424787136</v>
      </c>
      <c r="AG65">
        <v>5.1026947843867305E-2</v>
      </c>
      <c r="AH65">
        <v>0.56859035004730374</v>
      </c>
      <c r="AI65">
        <v>7.0192571794793542E-4</v>
      </c>
      <c r="AJ65">
        <v>0.99566637165440841</v>
      </c>
      <c r="AK65">
        <v>0.37086092715231789</v>
      </c>
      <c r="AL65">
        <v>0.53022858363597525</v>
      </c>
      <c r="AM65">
        <v>0.13223670155949582</v>
      </c>
      <c r="AN65">
        <v>0.7806634723960082</v>
      </c>
      <c r="AO65">
        <v>0.88756981109042632</v>
      </c>
      <c r="AP65">
        <v>0.66383861812189093</v>
      </c>
      <c r="AQ65">
        <v>0.78398998992889191</v>
      </c>
      <c r="AR65">
        <v>0.35737174596392712</v>
      </c>
      <c r="AS65">
        <v>0.49345377971739862</v>
      </c>
    </row>
    <row r="66" spans="1:45">
      <c r="A66">
        <v>64</v>
      </c>
      <c r="B66">
        <v>50.517741227668012</v>
      </c>
      <c r="E66">
        <f t="shared" si="20"/>
        <v>50.517741227668012</v>
      </c>
      <c r="F66">
        <f t="shared" si="21"/>
        <v>50.517741227668012</v>
      </c>
      <c r="G66" t="b">
        <f t="shared" si="22"/>
        <v>0</v>
      </c>
      <c r="H66">
        <f t="shared" si="23"/>
        <v>50.517741227668012</v>
      </c>
      <c r="I66">
        <f t="shared" si="24"/>
        <v>50.517741227668012</v>
      </c>
      <c r="J66" t="b">
        <f t="shared" si="25"/>
        <v>0</v>
      </c>
      <c r="K66" t="b">
        <f t="shared" si="26"/>
        <v>0</v>
      </c>
      <c r="L66" t="b">
        <f t="shared" si="27"/>
        <v>0</v>
      </c>
      <c r="M66" t="b">
        <f t="shared" si="28"/>
        <v>0</v>
      </c>
      <c r="N66" t="b">
        <f t="shared" si="29"/>
        <v>0</v>
      </c>
      <c r="O66">
        <f t="shared" si="30"/>
        <v>50.517741227668012</v>
      </c>
      <c r="P66" t="b">
        <f t="shared" si="31"/>
        <v>0</v>
      </c>
      <c r="Q66" t="b">
        <f t="shared" si="32"/>
        <v>0</v>
      </c>
      <c r="R66">
        <f t="shared" si="33"/>
        <v>50.517741227668012</v>
      </c>
      <c r="S66" t="b">
        <f t="shared" si="34"/>
        <v>0</v>
      </c>
      <c r="T66">
        <f t="shared" si="35"/>
        <v>50.517741227668012</v>
      </c>
      <c r="U66">
        <f t="shared" si="36"/>
        <v>50.517741227668012</v>
      </c>
      <c r="V66">
        <f t="shared" si="37"/>
        <v>50.517741227668012</v>
      </c>
      <c r="W66" t="b">
        <f t="shared" si="38"/>
        <v>0</v>
      </c>
      <c r="X66">
        <f t="shared" si="39"/>
        <v>50.517741227668012</v>
      </c>
      <c r="Z66">
        <v>6.3997314371166111E-2</v>
      </c>
      <c r="AA66">
        <v>0.35309915463728753</v>
      </c>
      <c r="AB66">
        <v>0.87459944456312755</v>
      </c>
      <c r="AC66">
        <v>0.16669209875789667</v>
      </c>
      <c r="AD66">
        <v>0.15182958464308602</v>
      </c>
      <c r="AE66">
        <v>0.81865901669362473</v>
      </c>
      <c r="AF66">
        <v>0.83199560533463546</v>
      </c>
      <c r="AG66">
        <v>0.60954618976409192</v>
      </c>
      <c r="AH66">
        <v>0.74736777855769521</v>
      </c>
      <c r="AI66">
        <v>0.65251625110629596</v>
      </c>
      <c r="AJ66">
        <v>4.3244727927488021E-2</v>
      </c>
      <c r="AK66">
        <v>0.43903927732169562</v>
      </c>
      <c r="AL66">
        <v>0.85763115329447315</v>
      </c>
      <c r="AM66">
        <v>5.9022797326578572E-2</v>
      </c>
      <c r="AN66">
        <v>0.75875118259224217</v>
      </c>
      <c r="AO66">
        <v>0.22193060090945158</v>
      </c>
      <c r="AP66">
        <v>0.22302926725058747</v>
      </c>
      <c r="AQ66">
        <v>0.31467635120700704</v>
      </c>
      <c r="AR66">
        <v>0.45362712485122225</v>
      </c>
      <c r="AS66">
        <v>0.1990112002929777</v>
      </c>
    </row>
    <row r="67" spans="1:45">
      <c r="A67">
        <v>65</v>
      </c>
      <c r="B67">
        <v>47.228974280005787</v>
      </c>
      <c r="E67">
        <f t="shared" ref="E67:E102" si="40">IF($D$2&gt;Z67,$B67)</f>
        <v>47.228974280005787</v>
      </c>
      <c r="F67" t="b">
        <f t="shared" ref="F67:F102" si="41">IF($D$2&gt;AA67,$B67)</f>
        <v>0</v>
      </c>
      <c r="G67">
        <f t="shared" ref="G67:G102" si="42">IF($D$2&gt;AB67,$B67)</f>
        <v>47.228974280005787</v>
      </c>
      <c r="H67">
        <f t="shared" ref="H67:H102" si="43">IF($D$2&gt;AC67,$B67)</f>
        <v>47.228974280005787</v>
      </c>
      <c r="I67" t="b">
        <f t="shared" ref="I67:I102" si="44">IF($D$2&gt;AD67,$B67)</f>
        <v>0</v>
      </c>
      <c r="J67">
        <f t="shared" ref="J67:J102" si="45">IF($D$2&gt;AE67,$B67)</f>
        <v>47.228974280005787</v>
      </c>
      <c r="K67">
        <f t="shared" ref="K67:K102" si="46">IF($D$2&gt;AF67,$B67)</f>
        <v>47.228974280005787</v>
      </c>
      <c r="L67">
        <f t="shared" ref="L67:L102" si="47">IF($D$2&gt;AG67,$B67)</f>
        <v>47.228974280005787</v>
      </c>
      <c r="M67">
        <f t="shared" ref="M67:M102" si="48">IF($D$2&gt;AH67,$B67)</f>
        <v>47.228974280005787</v>
      </c>
      <c r="N67" t="b">
        <f t="shared" ref="N67:N102" si="49">IF($D$2&gt;AI67,$B67)</f>
        <v>0</v>
      </c>
      <c r="O67" t="b">
        <f t="shared" ref="O67:O102" si="50">IF($D$2&gt;AJ67,$B67)</f>
        <v>0</v>
      </c>
      <c r="P67">
        <f t="shared" ref="P67:P102" si="51">IF($D$2&gt;AK67,$B67)</f>
        <v>47.228974280005787</v>
      </c>
      <c r="Q67" t="b">
        <f t="shared" ref="Q67:Q102" si="52">IF($D$2&gt;AL67,$B67)</f>
        <v>0</v>
      </c>
      <c r="R67" t="b">
        <f t="shared" ref="R67:R102" si="53">IF($D$2&gt;AM67,$B67)</f>
        <v>0</v>
      </c>
      <c r="S67" t="b">
        <f t="shared" ref="S67:S102" si="54">IF($D$2&gt;AN67,$B67)</f>
        <v>0</v>
      </c>
      <c r="T67" t="b">
        <f t="shared" ref="T67:T102" si="55">IF($D$2&gt;AO67,$B67)</f>
        <v>0</v>
      </c>
      <c r="U67">
        <f t="shared" ref="U67:U102" si="56">IF($D$2&gt;AP67,$B67)</f>
        <v>47.228974280005787</v>
      </c>
      <c r="V67" t="b">
        <f t="shared" ref="V67:V102" si="57">IF($D$2&gt;AQ67,$B67)</f>
        <v>0</v>
      </c>
      <c r="W67" t="b">
        <f t="shared" ref="W67:W102" si="58">IF($D$2&gt;AR67,$B67)</f>
        <v>0</v>
      </c>
      <c r="X67" t="b">
        <f t="shared" ref="X67:X102" si="59">IF($D$2&gt;AS67,$B67)</f>
        <v>0</v>
      </c>
      <c r="Z67">
        <v>0.29142124698629718</v>
      </c>
      <c r="AA67">
        <v>0.88125247962889497</v>
      </c>
      <c r="AB67">
        <v>0.3826410718100528</v>
      </c>
      <c r="AC67">
        <v>0.19446394238105411</v>
      </c>
      <c r="AD67">
        <v>0.92559587389751885</v>
      </c>
      <c r="AE67">
        <v>0.38810388500625631</v>
      </c>
      <c r="AF67">
        <v>6.5614795373393958E-2</v>
      </c>
      <c r="AG67">
        <v>0.23957029938657795</v>
      </c>
      <c r="AH67">
        <v>0.39274269844660786</v>
      </c>
      <c r="AI67">
        <v>0.52491836298715167</v>
      </c>
      <c r="AJ67">
        <v>0.76467177343058568</v>
      </c>
      <c r="AK67">
        <v>0.29651783806878873</v>
      </c>
      <c r="AL67">
        <v>0.61177404095583976</v>
      </c>
      <c r="AM67">
        <v>0.64201788384655289</v>
      </c>
      <c r="AN67">
        <v>0.99801629688406013</v>
      </c>
      <c r="AO67">
        <v>0.96630756553849906</v>
      </c>
      <c r="AP67">
        <v>0.32312997833185825</v>
      </c>
      <c r="AQ67">
        <v>0.85558641315958128</v>
      </c>
      <c r="AR67">
        <v>0.7848445081942198</v>
      </c>
      <c r="AS67">
        <v>0.91106906338694416</v>
      </c>
    </row>
    <row r="68" spans="1:45">
      <c r="A68">
        <v>66</v>
      </c>
      <c r="B68">
        <v>63.763747119810432</v>
      </c>
      <c r="E68">
        <f t="shared" si="40"/>
        <v>63.763747119810432</v>
      </c>
      <c r="F68" t="b">
        <f t="shared" si="41"/>
        <v>0</v>
      </c>
      <c r="G68">
        <f t="shared" si="42"/>
        <v>63.763747119810432</v>
      </c>
      <c r="H68">
        <f t="shared" si="43"/>
        <v>63.763747119810432</v>
      </c>
      <c r="I68" t="b">
        <f t="shared" si="44"/>
        <v>0</v>
      </c>
      <c r="J68" t="b">
        <f t="shared" si="45"/>
        <v>0</v>
      </c>
      <c r="K68">
        <f t="shared" si="46"/>
        <v>63.763747119810432</v>
      </c>
      <c r="L68" t="b">
        <f t="shared" si="47"/>
        <v>0</v>
      </c>
      <c r="M68">
        <f t="shared" si="48"/>
        <v>63.763747119810432</v>
      </c>
      <c r="N68" t="b">
        <f t="shared" si="49"/>
        <v>0</v>
      </c>
      <c r="O68" t="b">
        <f t="shared" si="50"/>
        <v>0</v>
      </c>
      <c r="P68" t="b">
        <f t="shared" si="51"/>
        <v>0</v>
      </c>
      <c r="Q68">
        <f t="shared" si="52"/>
        <v>63.763747119810432</v>
      </c>
      <c r="R68" t="b">
        <f t="shared" si="53"/>
        <v>0</v>
      </c>
      <c r="S68" t="b">
        <f t="shared" si="54"/>
        <v>0</v>
      </c>
      <c r="T68" t="b">
        <f t="shared" si="55"/>
        <v>0</v>
      </c>
      <c r="U68" t="b">
        <f t="shared" si="56"/>
        <v>0</v>
      </c>
      <c r="V68" t="b">
        <f t="shared" si="57"/>
        <v>0</v>
      </c>
      <c r="W68" t="b">
        <f t="shared" si="58"/>
        <v>0</v>
      </c>
      <c r="X68" t="b">
        <f t="shared" si="59"/>
        <v>0</v>
      </c>
      <c r="Z68">
        <v>3.3570360423596911E-3</v>
      </c>
      <c r="AA68">
        <v>0.49336222418897063</v>
      </c>
      <c r="AB68">
        <v>9.6285897396771139E-2</v>
      </c>
      <c r="AC68">
        <v>2.1393475142674031E-2</v>
      </c>
      <c r="AD68">
        <v>0.68660542619098486</v>
      </c>
      <c r="AE68">
        <v>0.94314401684621718</v>
      </c>
      <c r="AF68">
        <v>0.19602038636432997</v>
      </c>
      <c r="AG68">
        <v>0.53349406414990697</v>
      </c>
      <c r="AH68">
        <v>0.24192022461622975</v>
      </c>
      <c r="AI68">
        <v>0.42628254036072877</v>
      </c>
      <c r="AJ68">
        <v>0.8094729453413495</v>
      </c>
      <c r="AK68">
        <v>0.72594378490554523</v>
      </c>
      <c r="AL68">
        <v>0.31275368511001922</v>
      </c>
      <c r="AM68">
        <v>0.52937406537064735</v>
      </c>
      <c r="AN68">
        <v>0.49064607684560685</v>
      </c>
      <c r="AO68">
        <v>0.64616840113528851</v>
      </c>
      <c r="AP68">
        <v>0.94402905362102119</v>
      </c>
      <c r="AQ68">
        <v>0.61018707846308784</v>
      </c>
      <c r="AR68">
        <v>0.87359233375041967</v>
      </c>
      <c r="AS68">
        <v>0.97494430372020635</v>
      </c>
    </row>
    <row r="69" spans="1:45">
      <c r="A69">
        <v>67</v>
      </c>
      <c r="B69">
        <v>66.291824067593552</v>
      </c>
      <c r="E69">
        <f t="shared" si="40"/>
        <v>66.291824067593552</v>
      </c>
      <c r="F69">
        <f t="shared" si="41"/>
        <v>66.291824067593552</v>
      </c>
      <c r="G69" t="b">
        <f t="shared" si="42"/>
        <v>0</v>
      </c>
      <c r="H69">
        <f t="shared" si="43"/>
        <v>66.291824067593552</v>
      </c>
      <c r="I69" t="b">
        <f t="shared" si="44"/>
        <v>0</v>
      </c>
      <c r="J69" t="b">
        <f t="shared" si="45"/>
        <v>0</v>
      </c>
      <c r="K69">
        <f t="shared" si="46"/>
        <v>66.291824067593552</v>
      </c>
      <c r="L69" t="b">
        <f t="shared" si="47"/>
        <v>0</v>
      </c>
      <c r="M69">
        <f t="shared" si="48"/>
        <v>66.291824067593552</v>
      </c>
      <c r="N69" t="b">
        <f t="shared" si="49"/>
        <v>0</v>
      </c>
      <c r="O69" t="b">
        <f t="shared" si="50"/>
        <v>0</v>
      </c>
      <c r="P69" t="b">
        <f t="shared" si="51"/>
        <v>0</v>
      </c>
      <c r="Q69">
        <f t="shared" si="52"/>
        <v>66.291824067593552</v>
      </c>
      <c r="R69" t="b">
        <f t="shared" si="53"/>
        <v>0</v>
      </c>
      <c r="S69" t="b">
        <f t="shared" si="54"/>
        <v>0</v>
      </c>
      <c r="T69">
        <f t="shared" si="55"/>
        <v>66.291824067593552</v>
      </c>
      <c r="U69">
        <f t="shared" si="56"/>
        <v>66.291824067593552</v>
      </c>
      <c r="V69">
        <f t="shared" si="57"/>
        <v>66.291824067593552</v>
      </c>
      <c r="W69" t="b">
        <f t="shared" si="58"/>
        <v>0</v>
      </c>
      <c r="X69" t="b">
        <f t="shared" si="59"/>
        <v>0</v>
      </c>
      <c r="Z69">
        <v>2.7680288094729454E-2</v>
      </c>
      <c r="AA69">
        <v>9.4302194280831333E-3</v>
      </c>
      <c r="AB69">
        <v>0.45780816064943386</v>
      </c>
      <c r="AC69">
        <v>0.17749565111239968</v>
      </c>
      <c r="AD69">
        <v>0.58705404828028196</v>
      </c>
      <c r="AE69">
        <v>0.86288033692434463</v>
      </c>
      <c r="AF69">
        <v>0.39069795831171605</v>
      </c>
      <c r="AG69">
        <v>0.63542588579973758</v>
      </c>
      <c r="AH69">
        <v>0.23453474532303842</v>
      </c>
      <c r="AI69">
        <v>0.48371837519455552</v>
      </c>
      <c r="AJ69">
        <v>0.46449171422467728</v>
      </c>
      <c r="AK69">
        <v>0.71013519699697869</v>
      </c>
      <c r="AL69">
        <v>4.4526505325479901E-2</v>
      </c>
      <c r="AM69">
        <v>0.68440809350871301</v>
      </c>
      <c r="AN69">
        <v>0.76473281044953767</v>
      </c>
      <c r="AO69">
        <v>0.23639637440107425</v>
      </c>
      <c r="AP69">
        <v>4.6143986327707755E-2</v>
      </c>
      <c r="AQ69">
        <v>0.3541673024689474</v>
      </c>
      <c r="AR69">
        <v>0.4833826715903195</v>
      </c>
      <c r="AS69">
        <v>0.64061403241065706</v>
      </c>
    </row>
    <row r="70" spans="1:45">
      <c r="A70">
        <v>68</v>
      </c>
      <c r="B70">
        <v>49.741794454166666</v>
      </c>
      <c r="E70" t="b">
        <f t="shared" si="40"/>
        <v>0</v>
      </c>
      <c r="F70">
        <f t="shared" si="41"/>
        <v>49.741794454166666</v>
      </c>
      <c r="G70">
        <f t="shared" si="42"/>
        <v>49.741794454166666</v>
      </c>
      <c r="H70">
        <f t="shared" si="43"/>
        <v>49.741794454166666</v>
      </c>
      <c r="I70" t="b">
        <f t="shared" si="44"/>
        <v>0</v>
      </c>
      <c r="J70" t="b">
        <f t="shared" si="45"/>
        <v>0</v>
      </c>
      <c r="K70" t="b">
        <f t="shared" si="46"/>
        <v>0</v>
      </c>
      <c r="L70" t="b">
        <f t="shared" si="47"/>
        <v>0</v>
      </c>
      <c r="M70">
        <f t="shared" si="48"/>
        <v>49.741794454166666</v>
      </c>
      <c r="N70" t="b">
        <f t="shared" si="49"/>
        <v>0</v>
      </c>
      <c r="O70" t="b">
        <f t="shared" si="50"/>
        <v>0</v>
      </c>
      <c r="P70">
        <f t="shared" si="51"/>
        <v>49.741794454166666</v>
      </c>
      <c r="Q70" t="b">
        <f t="shared" si="52"/>
        <v>0</v>
      </c>
      <c r="R70" t="b">
        <f t="shared" si="53"/>
        <v>0</v>
      </c>
      <c r="S70" t="b">
        <f t="shared" si="54"/>
        <v>0</v>
      </c>
      <c r="T70">
        <f t="shared" si="55"/>
        <v>49.741794454166666</v>
      </c>
      <c r="U70" t="b">
        <f t="shared" si="56"/>
        <v>0</v>
      </c>
      <c r="V70" t="b">
        <f t="shared" si="57"/>
        <v>0</v>
      </c>
      <c r="W70">
        <f t="shared" si="58"/>
        <v>49.741794454166666</v>
      </c>
      <c r="X70" t="b">
        <f t="shared" si="59"/>
        <v>0</v>
      </c>
      <c r="Z70">
        <v>0.95742667928098391</v>
      </c>
      <c r="AA70">
        <v>0.29035309915463731</v>
      </c>
      <c r="AB70">
        <v>0.27698599200415053</v>
      </c>
      <c r="AC70">
        <v>0.11801507614368115</v>
      </c>
      <c r="AD70">
        <v>0.42002624591814935</v>
      </c>
      <c r="AE70">
        <v>0.85442670979949342</v>
      </c>
      <c r="AF70">
        <v>0.58235419782097841</v>
      </c>
      <c r="AG70">
        <v>0.64860988189336832</v>
      </c>
      <c r="AH70">
        <v>0.16989654225287637</v>
      </c>
      <c r="AI70">
        <v>0.53511154515213477</v>
      </c>
      <c r="AJ70">
        <v>0.92059083834345534</v>
      </c>
      <c r="AK70">
        <v>0.16693624683370464</v>
      </c>
      <c r="AL70">
        <v>0.64516129032258063</v>
      </c>
      <c r="AM70">
        <v>0.63039033173619796</v>
      </c>
      <c r="AN70">
        <v>0.6997894222846156</v>
      </c>
      <c r="AO70">
        <v>6.2410351878414261E-2</v>
      </c>
      <c r="AP70">
        <v>0.82403027436140019</v>
      </c>
      <c r="AQ70">
        <v>0.80465102084414197</v>
      </c>
      <c r="AR70">
        <v>0.12445448164311655</v>
      </c>
      <c r="AS70">
        <v>0.70571001312295911</v>
      </c>
    </row>
    <row r="71" spans="1:45">
      <c r="A71">
        <v>69</v>
      </c>
      <c r="B71">
        <v>34.928763296920806</v>
      </c>
      <c r="E71" t="b">
        <f t="shared" si="40"/>
        <v>0</v>
      </c>
      <c r="F71">
        <f t="shared" si="41"/>
        <v>34.928763296920806</v>
      </c>
      <c r="G71" t="b">
        <f t="shared" si="42"/>
        <v>0</v>
      </c>
      <c r="H71" t="b">
        <f t="shared" si="43"/>
        <v>0</v>
      </c>
      <c r="I71" t="b">
        <f t="shared" si="44"/>
        <v>0</v>
      </c>
      <c r="J71" t="b">
        <f t="shared" si="45"/>
        <v>0</v>
      </c>
      <c r="K71">
        <f t="shared" si="46"/>
        <v>34.928763296920806</v>
      </c>
      <c r="L71" t="b">
        <f t="shared" si="47"/>
        <v>0</v>
      </c>
      <c r="M71">
        <f t="shared" si="48"/>
        <v>34.928763296920806</v>
      </c>
      <c r="N71">
        <f t="shared" si="49"/>
        <v>34.928763296920806</v>
      </c>
      <c r="O71" t="b">
        <f t="shared" si="50"/>
        <v>0</v>
      </c>
      <c r="P71" t="b">
        <f t="shared" si="51"/>
        <v>0</v>
      </c>
      <c r="Q71">
        <f t="shared" si="52"/>
        <v>34.928763296920806</v>
      </c>
      <c r="R71" t="b">
        <f t="shared" si="53"/>
        <v>0</v>
      </c>
      <c r="S71" t="b">
        <f t="shared" si="54"/>
        <v>0</v>
      </c>
      <c r="T71">
        <f t="shared" si="55"/>
        <v>34.928763296920806</v>
      </c>
      <c r="U71" t="b">
        <f t="shared" si="56"/>
        <v>0</v>
      </c>
      <c r="V71" t="b">
        <f t="shared" si="57"/>
        <v>0</v>
      </c>
      <c r="W71">
        <f t="shared" si="58"/>
        <v>34.928763296920806</v>
      </c>
      <c r="X71">
        <f t="shared" si="59"/>
        <v>34.928763296920806</v>
      </c>
      <c r="Z71">
        <v>0.88424329355754261</v>
      </c>
      <c r="AA71">
        <v>0.30686361278115176</v>
      </c>
      <c r="AB71">
        <v>0.71636097293008205</v>
      </c>
      <c r="AC71">
        <v>0.69353312784203625</v>
      </c>
      <c r="AD71">
        <v>0.93179113132114633</v>
      </c>
      <c r="AE71">
        <v>0.84783471175267799</v>
      </c>
      <c r="AF71">
        <v>0.2869655446028016</v>
      </c>
      <c r="AG71">
        <v>0.66881313516647845</v>
      </c>
      <c r="AH71">
        <v>0.14163640247810297</v>
      </c>
      <c r="AI71">
        <v>0.21912289803765983</v>
      </c>
      <c r="AJ71">
        <v>0.86300241096224861</v>
      </c>
      <c r="AK71">
        <v>0.61922055726798308</v>
      </c>
      <c r="AL71">
        <v>0.37266151921140173</v>
      </c>
      <c r="AM71">
        <v>0.42640461439863275</v>
      </c>
      <c r="AN71">
        <v>0.68193609424115731</v>
      </c>
      <c r="AO71">
        <v>8.8473158970915858E-2</v>
      </c>
      <c r="AP71">
        <v>0.57945493942075865</v>
      </c>
      <c r="AQ71">
        <v>0.78469191564683982</v>
      </c>
      <c r="AR71">
        <v>0.2043214209418012</v>
      </c>
      <c r="AS71">
        <v>0.12973418378246407</v>
      </c>
    </row>
    <row r="72" spans="1:45">
      <c r="A72">
        <v>70</v>
      </c>
      <c r="B72">
        <v>61.778956832131371</v>
      </c>
      <c r="E72" t="b">
        <f t="shared" si="40"/>
        <v>0</v>
      </c>
      <c r="F72">
        <f t="shared" si="41"/>
        <v>61.778956832131371</v>
      </c>
      <c r="G72" t="b">
        <f t="shared" si="42"/>
        <v>0</v>
      </c>
      <c r="H72">
        <f t="shared" si="43"/>
        <v>61.778956832131371</v>
      </c>
      <c r="I72" t="b">
        <f t="shared" si="44"/>
        <v>0</v>
      </c>
      <c r="J72">
        <f t="shared" si="45"/>
        <v>61.778956832131371</v>
      </c>
      <c r="K72">
        <f t="shared" si="46"/>
        <v>61.778956832131371</v>
      </c>
      <c r="L72" t="b">
        <f t="shared" si="47"/>
        <v>0</v>
      </c>
      <c r="M72">
        <f t="shared" si="48"/>
        <v>61.778956832131371</v>
      </c>
      <c r="N72">
        <f t="shared" si="49"/>
        <v>61.778956832131371</v>
      </c>
      <c r="O72" t="b">
        <f t="shared" si="50"/>
        <v>0</v>
      </c>
      <c r="P72" t="b">
        <f t="shared" si="51"/>
        <v>0</v>
      </c>
      <c r="Q72" t="b">
        <f t="shared" si="52"/>
        <v>0</v>
      </c>
      <c r="R72" t="b">
        <f t="shared" si="53"/>
        <v>0</v>
      </c>
      <c r="S72" t="b">
        <f t="shared" si="54"/>
        <v>0</v>
      </c>
      <c r="T72">
        <f t="shared" si="55"/>
        <v>61.778956832131371</v>
      </c>
      <c r="U72">
        <f t="shared" si="56"/>
        <v>61.778956832131371</v>
      </c>
      <c r="V72" t="b">
        <f t="shared" si="57"/>
        <v>0</v>
      </c>
      <c r="W72">
        <f t="shared" si="58"/>
        <v>61.778956832131371</v>
      </c>
      <c r="X72">
        <f t="shared" si="59"/>
        <v>61.778956832131371</v>
      </c>
      <c r="Z72">
        <v>0.94549394207586901</v>
      </c>
      <c r="AA72">
        <v>4.9684133426923432E-2</v>
      </c>
      <c r="AB72">
        <v>0.90829187902462849</v>
      </c>
      <c r="AC72">
        <v>0.25565355388042849</v>
      </c>
      <c r="AD72">
        <v>0.63322855311746573</v>
      </c>
      <c r="AE72">
        <v>0.17468794824060793</v>
      </c>
      <c r="AF72">
        <v>0.22846156193731498</v>
      </c>
      <c r="AG72">
        <v>0.43040253913998838</v>
      </c>
      <c r="AH72">
        <v>4.0955839716788234E-2</v>
      </c>
      <c r="AI72">
        <v>0.14185003204443494</v>
      </c>
      <c r="AJ72">
        <v>0.42878505813776058</v>
      </c>
      <c r="AK72">
        <v>0.92049928281502735</v>
      </c>
      <c r="AL72">
        <v>0.93478194524979397</v>
      </c>
      <c r="AM72">
        <v>0.956602679525132</v>
      </c>
      <c r="AN72">
        <v>0.59907834101382484</v>
      </c>
      <c r="AO72">
        <v>0.34220404675435651</v>
      </c>
      <c r="AP72">
        <v>0.21759697256385999</v>
      </c>
      <c r="AQ72">
        <v>0.42686239204077275</v>
      </c>
      <c r="AR72">
        <v>0.34318063905758844</v>
      </c>
      <c r="AS72">
        <v>0.31116672261726736</v>
      </c>
    </row>
    <row r="73" spans="1:45">
      <c r="A73">
        <v>71</v>
      </c>
      <c r="B73">
        <v>61.482575246191118</v>
      </c>
      <c r="E73" t="b">
        <f t="shared" si="40"/>
        <v>0</v>
      </c>
      <c r="F73">
        <f t="shared" si="41"/>
        <v>61.482575246191118</v>
      </c>
      <c r="G73" t="b">
        <f t="shared" si="42"/>
        <v>0</v>
      </c>
      <c r="H73">
        <f t="shared" si="43"/>
        <v>61.482575246191118</v>
      </c>
      <c r="I73">
        <f t="shared" si="44"/>
        <v>61.482575246191118</v>
      </c>
      <c r="J73" t="b">
        <f t="shared" si="45"/>
        <v>0</v>
      </c>
      <c r="K73">
        <f t="shared" si="46"/>
        <v>61.482575246191118</v>
      </c>
      <c r="L73">
        <f t="shared" si="47"/>
        <v>61.482575246191118</v>
      </c>
      <c r="M73" t="b">
        <f t="shared" si="48"/>
        <v>0</v>
      </c>
      <c r="N73">
        <f t="shared" si="49"/>
        <v>61.482575246191118</v>
      </c>
      <c r="O73" t="b">
        <f t="shared" si="50"/>
        <v>0</v>
      </c>
      <c r="P73" t="b">
        <f t="shared" si="51"/>
        <v>0</v>
      </c>
      <c r="Q73" t="b">
        <f t="shared" si="52"/>
        <v>0</v>
      </c>
      <c r="R73" t="b">
        <f t="shared" si="53"/>
        <v>0</v>
      </c>
      <c r="S73">
        <f t="shared" si="54"/>
        <v>61.482575246191118</v>
      </c>
      <c r="T73" t="b">
        <f t="shared" si="55"/>
        <v>0</v>
      </c>
      <c r="U73" t="b">
        <f t="shared" si="56"/>
        <v>0</v>
      </c>
      <c r="V73" t="b">
        <f t="shared" si="57"/>
        <v>0</v>
      </c>
      <c r="W73" t="b">
        <f t="shared" si="58"/>
        <v>0</v>
      </c>
      <c r="X73">
        <f t="shared" si="59"/>
        <v>61.482575246191118</v>
      </c>
      <c r="Z73">
        <v>0.79671620838038271</v>
      </c>
      <c r="AA73">
        <v>0.19357890560625018</v>
      </c>
      <c r="AB73">
        <v>0.71697134311960209</v>
      </c>
      <c r="AC73">
        <v>0.1098055970946379</v>
      </c>
      <c r="AD73">
        <v>0.22742393261513108</v>
      </c>
      <c r="AE73">
        <v>0.93084505752739033</v>
      </c>
      <c r="AF73">
        <v>0.31739249855037083</v>
      </c>
      <c r="AG73">
        <v>0.17087313455610828</v>
      </c>
      <c r="AH73">
        <v>0.56062501907406848</v>
      </c>
      <c r="AI73">
        <v>7.1535386211737426E-2</v>
      </c>
      <c r="AJ73">
        <v>0.70894497512741472</v>
      </c>
      <c r="AK73">
        <v>0.75249488814966281</v>
      </c>
      <c r="AL73">
        <v>0.98483230079042938</v>
      </c>
      <c r="AM73">
        <v>0.47782830286568806</v>
      </c>
      <c r="AN73">
        <v>9.2471083712271487E-2</v>
      </c>
      <c r="AO73">
        <v>0.47663808099612415</v>
      </c>
      <c r="AP73">
        <v>0.61192663350321974</v>
      </c>
      <c r="AQ73">
        <v>0.92651142918179874</v>
      </c>
      <c r="AR73">
        <v>0.57090975676747946</v>
      </c>
      <c r="AS73">
        <v>0.12454603717154454</v>
      </c>
    </row>
    <row r="74" spans="1:45">
      <c r="A74">
        <v>72</v>
      </c>
      <c r="B74">
        <v>61.498877938720398</v>
      </c>
      <c r="E74" t="b">
        <f t="shared" si="40"/>
        <v>0</v>
      </c>
      <c r="F74" t="b">
        <f t="shared" si="41"/>
        <v>0</v>
      </c>
      <c r="G74" t="b">
        <f t="shared" si="42"/>
        <v>0</v>
      </c>
      <c r="H74">
        <f t="shared" si="43"/>
        <v>61.498877938720398</v>
      </c>
      <c r="I74" t="b">
        <f t="shared" si="44"/>
        <v>0</v>
      </c>
      <c r="J74" t="b">
        <f t="shared" si="45"/>
        <v>0</v>
      </c>
      <c r="K74" t="b">
        <f t="shared" si="46"/>
        <v>0</v>
      </c>
      <c r="L74" t="b">
        <f t="shared" si="47"/>
        <v>0</v>
      </c>
      <c r="M74">
        <f t="shared" si="48"/>
        <v>61.498877938720398</v>
      </c>
      <c r="N74" t="b">
        <f t="shared" si="49"/>
        <v>0</v>
      </c>
      <c r="O74" t="b">
        <f t="shared" si="50"/>
        <v>0</v>
      </c>
      <c r="P74">
        <f t="shared" si="51"/>
        <v>61.498877938720398</v>
      </c>
      <c r="Q74">
        <f t="shared" si="52"/>
        <v>61.498877938720398</v>
      </c>
      <c r="R74" t="b">
        <f t="shared" si="53"/>
        <v>0</v>
      </c>
      <c r="S74">
        <f t="shared" si="54"/>
        <v>61.498877938720398</v>
      </c>
      <c r="T74">
        <f t="shared" si="55"/>
        <v>61.498877938720398</v>
      </c>
      <c r="U74">
        <f t="shared" si="56"/>
        <v>61.498877938720398</v>
      </c>
      <c r="V74" t="b">
        <f t="shared" si="57"/>
        <v>0</v>
      </c>
      <c r="W74" t="b">
        <f t="shared" si="58"/>
        <v>0</v>
      </c>
      <c r="X74" t="b">
        <f t="shared" si="59"/>
        <v>0</v>
      </c>
      <c r="Z74">
        <v>0.40598773155919066</v>
      </c>
      <c r="AA74">
        <v>0.57774590289010286</v>
      </c>
      <c r="AB74">
        <v>0.706656086916715</v>
      </c>
      <c r="AC74">
        <v>0.3792229987487411</v>
      </c>
      <c r="AD74">
        <v>0.70851771599475077</v>
      </c>
      <c r="AE74">
        <v>0.60493789483321636</v>
      </c>
      <c r="AF74">
        <v>0.98702963347270123</v>
      </c>
      <c r="AG74">
        <v>0.95440534684286016</v>
      </c>
      <c r="AH74">
        <v>0.22846156193731498</v>
      </c>
      <c r="AI74">
        <v>0.82625812555314804</v>
      </c>
      <c r="AJ74">
        <v>0.74868007446516316</v>
      </c>
      <c r="AK74">
        <v>0.28431043427838987</v>
      </c>
      <c r="AL74">
        <v>0.16379284035767694</v>
      </c>
      <c r="AM74">
        <v>0.43482772301400802</v>
      </c>
      <c r="AN74">
        <v>0.28736228522598956</v>
      </c>
      <c r="AO74">
        <v>5.0843836787011321E-2</v>
      </c>
      <c r="AP74">
        <v>0.3435468611713004</v>
      </c>
      <c r="AQ74">
        <v>0.57667775505844299</v>
      </c>
      <c r="AR74">
        <v>0.46095156712546159</v>
      </c>
      <c r="AS74">
        <v>0.80486465041047395</v>
      </c>
    </row>
    <row r="75" spans="1:45">
      <c r="A75">
        <v>73</v>
      </c>
      <c r="B75">
        <v>50.94731831268291</v>
      </c>
      <c r="E75" t="b">
        <f t="shared" si="40"/>
        <v>0</v>
      </c>
      <c r="F75" t="b">
        <f t="shared" si="41"/>
        <v>0</v>
      </c>
      <c r="G75">
        <f t="shared" si="42"/>
        <v>50.94731831268291</v>
      </c>
      <c r="H75">
        <f t="shared" si="43"/>
        <v>50.94731831268291</v>
      </c>
      <c r="I75" t="b">
        <f t="shared" si="44"/>
        <v>0</v>
      </c>
      <c r="J75" t="b">
        <f t="shared" si="45"/>
        <v>0</v>
      </c>
      <c r="K75" t="b">
        <f t="shared" si="46"/>
        <v>0</v>
      </c>
      <c r="L75" t="b">
        <f t="shared" si="47"/>
        <v>0</v>
      </c>
      <c r="M75">
        <f t="shared" si="48"/>
        <v>50.94731831268291</v>
      </c>
      <c r="N75" t="b">
        <f t="shared" si="49"/>
        <v>0</v>
      </c>
      <c r="O75">
        <f t="shared" si="50"/>
        <v>50.94731831268291</v>
      </c>
      <c r="P75">
        <f t="shared" si="51"/>
        <v>50.94731831268291</v>
      </c>
      <c r="Q75">
        <f t="shared" si="52"/>
        <v>50.94731831268291</v>
      </c>
      <c r="R75" t="b">
        <f t="shared" si="53"/>
        <v>0</v>
      </c>
      <c r="S75" t="b">
        <f t="shared" si="54"/>
        <v>0</v>
      </c>
      <c r="T75">
        <f t="shared" si="55"/>
        <v>50.94731831268291</v>
      </c>
      <c r="U75">
        <f t="shared" si="56"/>
        <v>50.94731831268291</v>
      </c>
      <c r="V75">
        <f t="shared" si="57"/>
        <v>50.94731831268291</v>
      </c>
      <c r="W75">
        <f t="shared" si="58"/>
        <v>50.94731831268291</v>
      </c>
      <c r="X75" t="b">
        <f t="shared" si="59"/>
        <v>0</v>
      </c>
      <c r="Z75">
        <v>0.42680135502182076</v>
      </c>
      <c r="AA75">
        <v>0.98190252388073362</v>
      </c>
      <c r="AB75">
        <v>0.13064973906674399</v>
      </c>
      <c r="AC75">
        <v>8.9510788293099761E-2</v>
      </c>
      <c r="AD75">
        <v>0.95574816125980411</v>
      </c>
      <c r="AE75">
        <v>0.75331888790551471</v>
      </c>
      <c r="AF75">
        <v>0.79848628192999049</v>
      </c>
      <c r="AG75">
        <v>0.96990874965666674</v>
      </c>
      <c r="AH75">
        <v>0.17313150425733206</v>
      </c>
      <c r="AI75">
        <v>0.99645985290078432</v>
      </c>
      <c r="AJ75">
        <v>4.0375988036744283E-2</v>
      </c>
      <c r="AK75">
        <v>0.26001770073549607</v>
      </c>
      <c r="AL75">
        <v>0.13830988494521929</v>
      </c>
      <c r="AM75">
        <v>0.44416638691366311</v>
      </c>
      <c r="AN75">
        <v>0.54768517105624559</v>
      </c>
      <c r="AO75">
        <v>0.14416943876461075</v>
      </c>
      <c r="AP75">
        <v>0.22272408215582751</v>
      </c>
      <c r="AQ75">
        <v>0.11490218817712942</v>
      </c>
      <c r="AR75">
        <v>0.35908078249458297</v>
      </c>
      <c r="AS75">
        <v>0.4519180883205664</v>
      </c>
    </row>
    <row r="76" spans="1:45">
      <c r="A76">
        <v>74</v>
      </c>
      <c r="B76">
        <v>42.457469488726929</v>
      </c>
      <c r="E76" t="b">
        <f t="shared" si="40"/>
        <v>0</v>
      </c>
      <c r="F76" t="b">
        <f t="shared" si="41"/>
        <v>0</v>
      </c>
      <c r="G76" t="b">
        <f t="shared" si="42"/>
        <v>0</v>
      </c>
      <c r="H76">
        <f t="shared" si="43"/>
        <v>42.457469488726929</v>
      </c>
      <c r="I76">
        <f t="shared" si="44"/>
        <v>42.457469488726929</v>
      </c>
      <c r="J76">
        <f t="shared" si="45"/>
        <v>42.457469488726929</v>
      </c>
      <c r="K76" t="b">
        <f t="shared" si="46"/>
        <v>0</v>
      </c>
      <c r="L76" t="b">
        <f t="shared" si="47"/>
        <v>0</v>
      </c>
      <c r="M76" t="b">
        <f t="shared" si="48"/>
        <v>0</v>
      </c>
      <c r="N76" t="b">
        <f t="shared" si="49"/>
        <v>0</v>
      </c>
      <c r="O76" t="b">
        <f t="shared" si="50"/>
        <v>0</v>
      </c>
      <c r="P76" t="b">
        <f t="shared" si="51"/>
        <v>0</v>
      </c>
      <c r="Q76" t="b">
        <f t="shared" si="52"/>
        <v>0</v>
      </c>
      <c r="R76">
        <f t="shared" si="53"/>
        <v>42.457469488726929</v>
      </c>
      <c r="S76">
        <f t="shared" si="54"/>
        <v>42.457469488726929</v>
      </c>
      <c r="T76" t="b">
        <f t="shared" si="55"/>
        <v>0</v>
      </c>
      <c r="U76">
        <f t="shared" si="56"/>
        <v>42.457469488726929</v>
      </c>
      <c r="V76" t="b">
        <f t="shared" si="57"/>
        <v>0</v>
      </c>
      <c r="W76">
        <f t="shared" si="58"/>
        <v>42.457469488726929</v>
      </c>
      <c r="X76" t="b">
        <f t="shared" si="59"/>
        <v>0</v>
      </c>
      <c r="Z76">
        <v>0.97106845301675471</v>
      </c>
      <c r="AA76">
        <v>0.98272652363658564</v>
      </c>
      <c r="AB76">
        <v>0.83410138248847931</v>
      </c>
      <c r="AC76">
        <v>4.2146061586352125E-2</v>
      </c>
      <c r="AD76">
        <v>0.36704611346781824</v>
      </c>
      <c r="AE76">
        <v>0.33768730735190894</v>
      </c>
      <c r="AF76">
        <v>0.71236304818872642</v>
      </c>
      <c r="AG76">
        <v>0.86086611529892876</v>
      </c>
      <c r="AH76">
        <v>0.70091860713522747</v>
      </c>
      <c r="AI76">
        <v>0.51518295846430862</v>
      </c>
      <c r="AJ76">
        <v>0.43519394512771997</v>
      </c>
      <c r="AK76">
        <v>0.98669392986846527</v>
      </c>
      <c r="AL76">
        <v>0.46836756492812892</v>
      </c>
      <c r="AM76">
        <v>0.1944944608905301</v>
      </c>
      <c r="AN76">
        <v>0.26374095889156773</v>
      </c>
      <c r="AO76">
        <v>0.52937406537064735</v>
      </c>
      <c r="AP76">
        <v>0.16351817377239294</v>
      </c>
      <c r="AQ76">
        <v>0.91463972899563584</v>
      </c>
      <c r="AR76">
        <v>0.36008789330729085</v>
      </c>
      <c r="AS76">
        <v>0.44840845973082677</v>
      </c>
    </row>
    <row r="77" spans="1:45">
      <c r="A77">
        <v>75</v>
      </c>
      <c r="B77">
        <v>53.36042376147816</v>
      </c>
      <c r="E77" t="b">
        <f t="shared" si="40"/>
        <v>0</v>
      </c>
      <c r="F77" t="b">
        <f t="shared" si="41"/>
        <v>0</v>
      </c>
      <c r="G77" t="b">
        <f t="shared" si="42"/>
        <v>0</v>
      </c>
      <c r="H77" t="b">
        <f t="shared" si="43"/>
        <v>0</v>
      </c>
      <c r="I77" t="b">
        <f t="shared" si="44"/>
        <v>0</v>
      </c>
      <c r="J77" t="b">
        <f t="shared" si="45"/>
        <v>0</v>
      </c>
      <c r="K77" t="b">
        <f t="shared" si="46"/>
        <v>0</v>
      </c>
      <c r="L77" t="b">
        <f t="shared" si="47"/>
        <v>0</v>
      </c>
      <c r="M77" t="b">
        <f t="shared" si="48"/>
        <v>0</v>
      </c>
      <c r="N77" t="b">
        <f t="shared" si="49"/>
        <v>0</v>
      </c>
      <c r="O77" t="b">
        <f t="shared" si="50"/>
        <v>0</v>
      </c>
      <c r="P77">
        <f t="shared" si="51"/>
        <v>53.36042376147816</v>
      </c>
      <c r="Q77">
        <f t="shared" si="52"/>
        <v>53.36042376147816</v>
      </c>
      <c r="R77" t="b">
        <f t="shared" si="53"/>
        <v>0</v>
      </c>
      <c r="S77" t="b">
        <f t="shared" si="54"/>
        <v>0</v>
      </c>
      <c r="T77" t="b">
        <f t="shared" si="55"/>
        <v>0</v>
      </c>
      <c r="U77">
        <f t="shared" si="56"/>
        <v>53.36042376147816</v>
      </c>
      <c r="V77">
        <f t="shared" si="57"/>
        <v>53.36042376147816</v>
      </c>
      <c r="W77">
        <f t="shared" si="58"/>
        <v>53.36042376147816</v>
      </c>
      <c r="X77" t="b">
        <f t="shared" si="59"/>
        <v>0</v>
      </c>
      <c r="Z77">
        <v>0.99639881588183232</v>
      </c>
      <c r="AA77">
        <v>0.49897762993255407</v>
      </c>
      <c r="AB77">
        <v>0.49778740806299021</v>
      </c>
      <c r="AC77">
        <v>0.44584490493484297</v>
      </c>
      <c r="AD77">
        <v>0.87490462965788751</v>
      </c>
      <c r="AE77">
        <v>0.9473250526444289</v>
      </c>
      <c r="AF77">
        <v>0.6139103366191595</v>
      </c>
      <c r="AG77">
        <v>0.57548753318887902</v>
      </c>
      <c r="AH77">
        <v>0.46830652790917693</v>
      </c>
      <c r="AI77">
        <v>0.97228919339579456</v>
      </c>
      <c r="AJ77">
        <v>0.84633930478835417</v>
      </c>
      <c r="AK77">
        <v>0.35300759910885954</v>
      </c>
      <c r="AL77">
        <v>0.16479995117038485</v>
      </c>
      <c r="AM77">
        <v>0.93450727866451</v>
      </c>
      <c r="AN77">
        <v>0.9082308420056765</v>
      </c>
      <c r="AO77">
        <v>0.94503616443372906</v>
      </c>
      <c r="AP77">
        <v>4.2085024567400126E-2</v>
      </c>
      <c r="AQ77">
        <v>0.38367870113223668</v>
      </c>
      <c r="AR77">
        <v>0.19443342387157811</v>
      </c>
      <c r="AS77">
        <v>0.55384990997039707</v>
      </c>
    </row>
    <row r="78" spans="1:45">
      <c r="A78">
        <v>76</v>
      </c>
      <c r="B78">
        <v>27.719926391728222</v>
      </c>
      <c r="E78" t="b">
        <f t="shared" si="40"/>
        <v>0</v>
      </c>
      <c r="F78" t="b">
        <f t="shared" si="41"/>
        <v>0</v>
      </c>
      <c r="G78" t="b">
        <f t="shared" si="42"/>
        <v>0</v>
      </c>
      <c r="H78" t="b">
        <f t="shared" si="43"/>
        <v>0</v>
      </c>
      <c r="I78" t="b">
        <f t="shared" si="44"/>
        <v>0</v>
      </c>
      <c r="J78">
        <f t="shared" si="45"/>
        <v>27.719926391728222</v>
      </c>
      <c r="K78" t="b">
        <f t="shared" si="46"/>
        <v>0</v>
      </c>
      <c r="L78">
        <f t="shared" si="47"/>
        <v>27.719926391728222</v>
      </c>
      <c r="M78">
        <f t="shared" si="48"/>
        <v>27.719926391728222</v>
      </c>
      <c r="N78">
        <f t="shared" si="49"/>
        <v>27.719926391728222</v>
      </c>
      <c r="O78" t="b">
        <f t="shared" si="50"/>
        <v>0</v>
      </c>
      <c r="P78">
        <f t="shared" si="51"/>
        <v>27.719926391728222</v>
      </c>
      <c r="Q78">
        <f t="shared" si="52"/>
        <v>27.719926391728222</v>
      </c>
      <c r="R78">
        <f t="shared" si="53"/>
        <v>27.719926391728222</v>
      </c>
      <c r="S78">
        <f t="shared" si="54"/>
        <v>27.719926391728222</v>
      </c>
      <c r="T78">
        <f t="shared" si="55"/>
        <v>27.719926391728222</v>
      </c>
      <c r="U78" t="b">
        <f t="shared" si="56"/>
        <v>0</v>
      </c>
      <c r="V78">
        <f t="shared" si="57"/>
        <v>27.719926391728222</v>
      </c>
      <c r="W78">
        <f t="shared" si="58"/>
        <v>27.719926391728222</v>
      </c>
      <c r="X78" t="b">
        <f t="shared" si="59"/>
        <v>0</v>
      </c>
      <c r="Z78">
        <v>0.86776329844050415</v>
      </c>
      <c r="AA78">
        <v>0.59535508285775318</v>
      </c>
      <c r="AB78">
        <v>0.76174199652088992</v>
      </c>
      <c r="AC78">
        <v>0.94109927671132543</v>
      </c>
      <c r="AD78">
        <v>0.68935209204382453</v>
      </c>
      <c r="AE78">
        <v>0.12018189031647694</v>
      </c>
      <c r="AF78">
        <v>0.69661549729911187</v>
      </c>
      <c r="AG78">
        <v>0.17255165257728813</v>
      </c>
      <c r="AH78">
        <v>0.19309060945463424</v>
      </c>
      <c r="AI78">
        <v>9.4576860866115303E-2</v>
      </c>
      <c r="AJ78">
        <v>0.70571001312295911</v>
      </c>
      <c r="AK78">
        <v>0.24500259407330546</v>
      </c>
      <c r="AL78">
        <v>8.7191381572923984E-2</v>
      </c>
      <c r="AM78">
        <v>0.34592730491042817</v>
      </c>
      <c r="AN78">
        <v>0.217230750450148</v>
      </c>
      <c r="AO78">
        <v>0.15063936277352213</v>
      </c>
      <c r="AP78">
        <v>0.73906674398022398</v>
      </c>
      <c r="AQ78">
        <v>0.21555223242896818</v>
      </c>
      <c r="AR78">
        <v>0.33765678884243294</v>
      </c>
      <c r="AS78">
        <v>0.98614459669789722</v>
      </c>
    </row>
    <row r="79" spans="1:45">
      <c r="A79">
        <v>77</v>
      </c>
      <c r="B79">
        <v>51.175044417323079</v>
      </c>
      <c r="E79">
        <f t="shared" si="40"/>
        <v>51.175044417323079</v>
      </c>
      <c r="F79" t="b">
        <f t="shared" si="41"/>
        <v>0</v>
      </c>
      <c r="G79" t="b">
        <f t="shared" si="42"/>
        <v>0</v>
      </c>
      <c r="H79">
        <f t="shared" si="43"/>
        <v>51.175044417323079</v>
      </c>
      <c r="I79" t="b">
        <f t="shared" si="44"/>
        <v>0</v>
      </c>
      <c r="J79" t="b">
        <f t="shared" si="45"/>
        <v>0</v>
      </c>
      <c r="K79">
        <f t="shared" si="46"/>
        <v>51.175044417323079</v>
      </c>
      <c r="L79">
        <f t="shared" si="47"/>
        <v>51.175044417323079</v>
      </c>
      <c r="M79" t="b">
        <f t="shared" si="48"/>
        <v>0</v>
      </c>
      <c r="N79" t="b">
        <f t="shared" si="49"/>
        <v>0</v>
      </c>
      <c r="O79" t="b">
        <f t="shared" si="50"/>
        <v>0</v>
      </c>
      <c r="P79" t="b">
        <f t="shared" si="51"/>
        <v>0</v>
      </c>
      <c r="Q79" t="b">
        <f t="shared" si="52"/>
        <v>0</v>
      </c>
      <c r="R79">
        <f t="shared" si="53"/>
        <v>51.175044417323079</v>
      </c>
      <c r="S79" t="b">
        <f t="shared" si="54"/>
        <v>0</v>
      </c>
      <c r="T79" t="b">
        <f t="shared" si="55"/>
        <v>0</v>
      </c>
      <c r="U79">
        <f t="shared" si="56"/>
        <v>51.175044417323079</v>
      </c>
      <c r="V79">
        <f t="shared" si="57"/>
        <v>51.175044417323079</v>
      </c>
      <c r="W79">
        <f t="shared" si="58"/>
        <v>51.175044417323079</v>
      </c>
      <c r="X79" t="b">
        <f t="shared" si="59"/>
        <v>0</v>
      </c>
      <c r="Z79">
        <v>7.6509903256324965E-2</v>
      </c>
      <c r="AA79">
        <v>0.84444715720084229</v>
      </c>
      <c r="AB79">
        <v>0.58058412427137063</v>
      </c>
      <c r="AC79">
        <v>0.20899075289162877</v>
      </c>
      <c r="AD79">
        <v>0.44367809076204717</v>
      </c>
      <c r="AE79">
        <v>0.98867763298440503</v>
      </c>
      <c r="AF79">
        <v>0.28000732444227422</v>
      </c>
      <c r="AG79">
        <v>0.10705893124179815</v>
      </c>
      <c r="AH79">
        <v>0.58262886440626238</v>
      </c>
      <c r="AI79">
        <v>0.60563982055116428</v>
      </c>
      <c r="AJ79">
        <v>0.48823511459700308</v>
      </c>
      <c r="AK79">
        <v>0.66435743278298287</v>
      </c>
      <c r="AL79">
        <v>0.51384014404736478</v>
      </c>
      <c r="AM79">
        <v>5.5757316812646868E-2</v>
      </c>
      <c r="AN79">
        <v>0.98648030030213329</v>
      </c>
      <c r="AO79">
        <v>0.54206976531266216</v>
      </c>
      <c r="AP79">
        <v>0.28104495376445815</v>
      </c>
      <c r="AQ79">
        <v>5.1881466109195227E-4</v>
      </c>
      <c r="AR79">
        <v>7.1413312173833426E-2</v>
      </c>
      <c r="AS79">
        <v>0.55497909482100893</v>
      </c>
    </row>
    <row r="80" spans="1:45">
      <c r="A80">
        <v>78</v>
      </c>
      <c r="B80">
        <v>70.019524527015164</v>
      </c>
      <c r="E80" t="b">
        <f t="shared" si="40"/>
        <v>0</v>
      </c>
      <c r="F80" t="b">
        <f t="shared" si="41"/>
        <v>0</v>
      </c>
      <c r="G80" t="b">
        <f t="shared" si="42"/>
        <v>0</v>
      </c>
      <c r="H80" t="b">
        <f t="shared" si="43"/>
        <v>0</v>
      </c>
      <c r="I80">
        <f t="shared" si="44"/>
        <v>70.019524527015164</v>
      </c>
      <c r="J80">
        <f t="shared" si="45"/>
        <v>70.019524527015164</v>
      </c>
      <c r="K80" t="b">
        <f t="shared" si="46"/>
        <v>0</v>
      </c>
      <c r="L80">
        <f t="shared" si="47"/>
        <v>70.019524527015164</v>
      </c>
      <c r="M80" t="b">
        <f t="shared" si="48"/>
        <v>0</v>
      </c>
      <c r="N80">
        <f t="shared" si="49"/>
        <v>70.019524527015164</v>
      </c>
      <c r="O80">
        <f t="shared" si="50"/>
        <v>70.019524527015164</v>
      </c>
      <c r="P80" t="b">
        <f t="shared" si="51"/>
        <v>0</v>
      </c>
      <c r="Q80" t="b">
        <f t="shared" si="52"/>
        <v>0</v>
      </c>
      <c r="R80" t="b">
        <f t="shared" si="53"/>
        <v>0</v>
      </c>
      <c r="S80">
        <f t="shared" si="54"/>
        <v>70.019524527015164</v>
      </c>
      <c r="T80">
        <f t="shared" si="55"/>
        <v>70.019524527015164</v>
      </c>
      <c r="U80" t="b">
        <f t="shared" si="56"/>
        <v>0</v>
      </c>
      <c r="V80">
        <f t="shared" si="57"/>
        <v>70.019524527015164</v>
      </c>
      <c r="W80" t="b">
        <f t="shared" si="58"/>
        <v>0</v>
      </c>
      <c r="X80" t="b">
        <f t="shared" si="59"/>
        <v>0</v>
      </c>
      <c r="Z80">
        <v>0.72804956205938898</v>
      </c>
      <c r="AA80">
        <v>0.6649067659535508</v>
      </c>
      <c r="AB80">
        <v>0.80687887203588982</v>
      </c>
      <c r="AC80">
        <v>0.42915128025147253</v>
      </c>
      <c r="AD80">
        <v>0.20041505172887356</v>
      </c>
      <c r="AE80">
        <v>0.12405774101992859</v>
      </c>
      <c r="AF80">
        <v>0.68511001922666093</v>
      </c>
      <c r="AG80">
        <v>0.37269203772087772</v>
      </c>
      <c r="AH80">
        <v>0.597796563615833</v>
      </c>
      <c r="AI80">
        <v>0.35932493057039094</v>
      </c>
      <c r="AJ80">
        <v>0.36259041108432266</v>
      </c>
      <c r="AK80">
        <v>0.62349314859462268</v>
      </c>
      <c r="AL80">
        <v>0.91421246986297189</v>
      </c>
      <c r="AM80">
        <v>0.94830164494766078</v>
      </c>
      <c r="AN80">
        <v>0.24811548203985717</v>
      </c>
      <c r="AO80">
        <v>0.28043458357493822</v>
      </c>
      <c r="AP80">
        <v>0.47340311899166843</v>
      </c>
      <c r="AQ80">
        <v>0.2682271797845393</v>
      </c>
      <c r="AR80">
        <v>0.53163243507187108</v>
      </c>
      <c r="AS80">
        <v>0.99063081759086891</v>
      </c>
    </row>
    <row r="81" spans="1:45">
      <c r="A81">
        <v>79</v>
      </c>
      <c r="B81">
        <v>62.36221578437835</v>
      </c>
      <c r="E81">
        <f t="shared" si="40"/>
        <v>62.36221578437835</v>
      </c>
      <c r="F81">
        <f t="shared" si="41"/>
        <v>62.36221578437835</v>
      </c>
      <c r="G81" t="b">
        <f t="shared" si="42"/>
        <v>0</v>
      </c>
      <c r="H81">
        <f t="shared" si="43"/>
        <v>62.36221578437835</v>
      </c>
      <c r="I81">
        <f t="shared" si="44"/>
        <v>62.36221578437835</v>
      </c>
      <c r="J81">
        <f t="shared" si="45"/>
        <v>62.36221578437835</v>
      </c>
      <c r="K81">
        <f t="shared" si="46"/>
        <v>62.36221578437835</v>
      </c>
      <c r="L81">
        <f t="shared" si="47"/>
        <v>62.36221578437835</v>
      </c>
      <c r="M81" t="b">
        <f t="shared" si="48"/>
        <v>0</v>
      </c>
      <c r="N81" t="b">
        <f t="shared" si="49"/>
        <v>0</v>
      </c>
      <c r="O81" t="b">
        <f t="shared" si="50"/>
        <v>0</v>
      </c>
      <c r="P81" t="b">
        <f t="shared" si="51"/>
        <v>0</v>
      </c>
      <c r="Q81" t="b">
        <f t="shared" si="52"/>
        <v>0</v>
      </c>
      <c r="R81" t="b">
        <f t="shared" si="53"/>
        <v>0</v>
      </c>
      <c r="S81">
        <f t="shared" si="54"/>
        <v>62.36221578437835</v>
      </c>
      <c r="T81">
        <f t="shared" si="55"/>
        <v>62.36221578437835</v>
      </c>
      <c r="U81">
        <f t="shared" si="56"/>
        <v>62.36221578437835</v>
      </c>
      <c r="V81" t="b">
        <f t="shared" si="57"/>
        <v>0</v>
      </c>
      <c r="W81" t="b">
        <f t="shared" si="58"/>
        <v>0</v>
      </c>
      <c r="X81">
        <f t="shared" si="59"/>
        <v>62.36221578437835</v>
      </c>
      <c r="Z81">
        <v>0.36320078127384259</v>
      </c>
      <c r="AA81">
        <v>0.18875698110904263</v>
      </c>
      <c r="AB81">
        <v>0.59276100955229349</v>
      </c>
      <c r="AC81">
        <v>6.2288277840510269E-2</v>
      </c>
      <c r="AD81">
        <v>0.13782158879360332</v>
      </c>
      <c r="AE81">
        <v>0.37238685262611776</v>
      </c>
      <c r="AF81">
        <v>4.4618060853907897E-2</v>
      </c>
      <c r="AG81">
        <v>0.12240974150822474</v>
      </c>
      <c r="AH81">
        <v>0.43882564775536365</v>
      </c>
      <c r="AI81">
        <v>0.83983886226996673</v>
      </c>
      <c r="AJ81">
        <v>0.78756065553758359</v>
      </c>
      <c r="AK81">
        <v>0.61101107821893974</v>
      </c>
      <c r="AL81">
        <v>0.79055146946623123</v>
      </c>
      <c r="AM81">
        <v>0.92474135563219095</v>
      </c>
      <c r="AN81">
        <v>0.13602099673451948</v>
      </c>
      <c r="AO81">
        <v>0.26367992187261574</v>
      </c>
      <c r="AP81">
        <v>0.28687398907437361</v>
      </c>
      <c r="AQ81">
        <v>0.42594683675649281</v>
      </c>
      <c r="AR81">
        <v>0.60093997009186073</v>
      </c>
      <c r="AS81">
        <v>0.1445966978972747</v>
      </c>
    </row>
    <row r="82" spans="1:45">
      <c r="A82">
        <v>80</v>
      </c>
      <c r="B82">
        <v>38.413264873088337</v>
      </c>
      <c r="E82">
        <f t="shared" si="40"/>
        <v>38.413264873088337</v>
      </c>
      <c r="F82" t="b">
        <f t="shared" si="41"/>
        <v>0</v>
      </c>
      <c r="G82" t="b">
        <f t="shared" si="42"/>
        <v>0</v>
      </c>
      <c r="H82" t="b">
        <f t="shared" si="43"/>
        <v>0</v>
      </c>
      <c r="I82" t="b">
        <f t="shared" si="44"/>
        <v>0</v>
      </c>
      <c r="J82">
        <f t="shared" si="45"/>
        <v>38.413264873088337</v>
      </c>
      <c r="K82" t="b">
        <f t="shared" si="46"/>
        <v>0</v>
      </c>
      <c r="L82" t="b">
        <f t="shared" si="47"/>
        <v>0</v>
      </c>
      <c r="M82" t="b">
        <f t="shared" si="48"/>
        <v>0</v>
      </c>
      <c r="N82" t="b">
        <f t="shared" si="49"/>
        <v>0</v>
      </c>
      <c r="O82">
        <f t="shared" si="50"/>
        <v>38.413264873088337</v>
      </c>
      <c r="P82">
        <f t="shared" si="51"/>
        <v>38.413264873088337</v>
      </c>
      <c r="Q82">
        <f t="shared" si="52"/>
        <v>38.413264873088337</v>
      </c>
      <c r="R82" t="b">
        <f t="shared" si="53"/>
        <v>0</v>
      </c>
      <c r="S82">
        <f t="shared" si="54"/>
        <v>38.413264873088337</v>
      </c>
      <c r="T82" t="b">
        <f t="shared" si="55"/>
        <v>0</v>
      </c>
      <c r="U82">
        <f t="shared" si="56"/>
        <v>38.413264873088337</v>
      </c>
      <c r="V82" t="b">
        <f t="shared" si="57"/>
        <v>0</v>
      </c>
      <c r="W82" t="b">
        <f t="shared" si="58"/>
        <v>0</v>
      </c>
      <c r="X82" t="b">
        <f t="shared" si="59"/>
        <v>0</v>
      </c>
      <c r="Z82">
        <v>8.7801751762443925E-2</v>
      </c>
      <c r="AA82">
        <v>0.98654133732108529</v>
      </c>
      <c r="AB82">
        <v>0.87542344431897945</v>
      </c>
      <c r="AC82">
        <v>0.4141361735892819</v>
      </c>
      <c r="AD82">
        <v>0.80046998504593037</v>
      </c>
      <c r="AE82">
        <v>0.2780236213263344</v>
      </c>
      <c r="AF82">
        <v>0.50361644337290568</v>
      </c>
      <c r="AG82">
        <v>0.64854884487441633</v>
      </c>
      <c r="AH82">
        <v>0.85940122684408093</v>
      </c>
      <c r="AI82">
        <v>0.45722830896938993</v>
      </c>
      <c r="AJ82">
        <v>0.27219458601641894</v>
      </c>
      <c r="AK82">
        <v>0.22070986053041169</v>
      </c>
      <c r="AL82">
        <v>6.0335093234046448E-2</v>
      </c>
      <c r="AM82">
        <v>0.94827112643818479</v>
      </c>
      <c r="AN82">
        <v>0.1770378734702597</v>
      </c>
      <c r="AO82">
        <v>0.97479171117282637</v>
      </c>
      <c r="AP82">
        <v>0.14435254982146672</v>
      </c>
      <c r="AQ82">
        <v>0.40189825128940704</v>
      </c>
      <c r="AR82">
        <v>0.46665852839747307</v>
      </c>
      <c r="AS82">
        <v>0.85149693288979766</v>
      </c>
    </row>
    <row r="83" spans="1:45">
      <c r="A83">
        <v>81</v>
      </c>
      <c r="B83">
        <v>42.422863215324469</v>
      </c>
      <c r="E83" t="b">
        <f t="shared" si="40"/>
        <v>0</v>
      </c>
      <c r="F83">
        <f t="shared" si="41"/>
        <v>42.422863215324469</v>
      </c>
      <c r="G83">
        <f t="shared" si="42"/>
        <v>42.422863215324469</v>
      </c>
      <c r="H83" t="b">
        <f t="shared" si="43"/>
        <v>0</v>
      </c>
      <c r="I83" t="b">
        <f t="shared" si="44"/>
        <v>0</v>
      </c>
      <c r="J83">
        <f t="shared" si="45"/>
        <v>42.422863215324469</v>
      </c>
      <c r="K83">
        <f t="shared" si="46"/>
        <v>42.422863215324469</v>
      </c>
      <c r="L83" t="b">
        <f t="shared" si="47"/>
        <v>0</v>
      </c>
      <c r="M83" t="b">
        <f t="shared" si="48"/>
        <v>0</v>
      </c>
      <c r="N83">
        <f t="shared" si="49"/>
        <v>42.422863215324469</v>
      </c>
      <c r="O83">
        <f t="shared" si="50"/>
        <v>42.422863215324469</v>
      </c>
      <c r="P83" t="b">
        <f t="shared" si="51"/>
        <v>0</v>
      </c>
      <c r="Q83" t="b">
        <f t="shared" si="52"/>
        <v>0</v>
      </c>
      <c r="R83">
        <f t="shared" si="53"/>
        <v>42.422863215324469</v>
      </c>
      <c r="S83" t="b">
        <f t="shared" si="54"/>
        <v>0</v>
      </c>
      <c r="T83">
        <f t="shared" si="55"/>
        <v>42.422863215324469</v>
      </c>
      <c r="U83" t="b">
        <f t="shared" si="56"/>
        <v>0</v>
      </c>
      <c r="V83">
        <f t="shared" si="57"/>
        <v>42.422863215324469</v>
      </c>
      <c r="W83">
        <f t="shared" si="58"/>
        <v>42.422863215324469</v>
      </c>
      <c r="X83">
        <f t="shared" si="59"/>
        <v>42.422863215324469</v>
      </c>
      <c r="Z83">
        <v>0.97027497177037869</v>
      </c>
      <c r="AA83">
        <v>1.8921475875118259E-2</v>
      </c>
      <c r="AB83">
        <v>8.7527085177159944E-2</v>
      </c>
      <c r="AC83">
        <v>0.80388805810724207</v>
      </c>
      <c r="AD83">
        <v>0.69057283242286449</v>
      </c>
      <c r="AE83">
        <v>1.6632587664418469E-2</v>
      </c>
      <c r="AF83">
        <v>0.30024109622486039</v>
      </c>
      <c r="AG83">
        <v>0.50325022125919372</v>
      </c>
      <c r="AH83">
        <v>0.71471297341837825</v>
      </c>
      <c r="AI83">
        <v>0.17316202276680806</v>
      </c>
      <c r="AJ83">
        <v>0.18555253761406293</v>
      </c>
      <c r="AK83">
        <v>0.53953672902615435</v>
      </c>
      <c r="AL83">
        <v>0.44380016479995116</v>
      </c>
      <c r="AM83">
        <v>0.228339487899411</v>
      </c>
      <c r="AN83">
        <v>0.69466231269264811</v>
      </c>
      <c r="AO83">
        <v>0.39985351115451523</v>
      </c>
      <c r="AP83">
        <v>0.78005310220648827</v>
      </c>
      <c r="AQ83">
        <v>0.22772911770989104</v>
      </c>
      <c r="AR83">
        <v>0.39286477248451185</v>
      </c>
      <c r="AS83">
        <v>5.4109317300943024E-2</v>
      </c>
    </row>
    <row r="84" spans="1:45">
      <c r="A84">
        <v>82</v>
      </c>
      <c r="B84">
        <v>51.454517334641402</v>
      </c>
      <c r="E84">
        <f t="shared" si="40"/>
        <v>51.454517334641402</v>
      </c>
      <c r="F84">
        <f t="shared" si="41"/>
        <v>51.454517334641402</v>
      </c>
      <c r="G84" t="b">
        <f t="shared" si="42"/>
        <v>0</v>
      </c>
      <c r="H84" t="b">
        <f t="shared" si="43"/>
        <v>0</v>
      </c>
      <c r="I84" t="b">
        <f t="shared" si="44"/>
        <v>0</v>
      </c>
      <c r="J84">
        <f t="shared" si="45"/>
        <v>51.454517334641402</v>
      </c>
      <c r="K84" t="b">
        <f t="shared" si="46"/>
        <v>0</v>
      </c>
      <c r="L84" t="b">
        <f t="shared" si="47"/>
        <v>0</v>
      </c>
      <c r="M84">
        <f t="shared" si="48"/>
        <v>51.454517334641402</v>
      </c>
      <c r="N84" t="b">
        <f t="shared" si="49"/>
        <v>0</v>
      </c>
      <c r="O84">
        <f t="shared" si="50"/>
        <v>51.454517334641402</v>
      </c>
      <c r="P84">
        <f t="shared" si="51"/>
        <v>51.454517334641402</v>
      </c>
      <c r="Q84">
        <f t="shared" si="52"/>
        <v>51.454517334641402</v>
      </c>
      <c r="R84">
        <f t="shared" si="53"/>
        <v>51.454517334641402</v>
      </c>
      <c r="S84">
        <f t="shared" si="54"/>
        <v>51.454517334641402</v>
      </c>
      <c r="T84" t="b">
        <f t="shared" si="55"/>
        <v>0</v>
      </c>
      <c r="U84">
        <f t="shared" si="56"/>
        <v>51.454517334641402</v>
      </c>
      <c r="V84" t="b">
        <f t="shared" si="57"/>
        <v>0</v>
      </c>
      <c r="W84">
        <f t="shared" si="58"/>
        <v>51.454517334641402</v>
      </c>
      <c r="X84" t="b">
        <f t="shared" si="59"/>
        <v>0</v>
      </c>
      <c r="Z84">
        <v>0.3567308572649312</v>
      </c>
      <c r="AA84">
        <v>0.11688589129306924</v>
      </c>
      <c r="AB84">
        <v>0.4405041657765435</v>
      </c>
      <c r="AC84">
        <v>0.54750205999938961</v>
      </c>
      <c r="AD84">
        <v>0.82274849696340835</v>
      </c>
      <c r="AE84">
        <v>0.21955015717032381</v>
      </c>
      <c r="AF84">
        <v>0.82787560655537584</v>
      </c>
      <c r="AG84">
        <v>0.70766319772942288</v>
      </c>
      <c r="AH84">
        <v>0.15082247383037811</v>
      </c>
      <c r="AI84">
        <v>0.48319956053346352</v>
      </c>
      <c r="AJ84">
        <v>5.7008575701162759E-2</v>
      </c>
      <c r="AK84">
        <v>0.2185735648670919</v>
      </c>
      <c r="AL84">
        <v>0.33207190160832545</v>
      </c>
      <c r="AM84">
        <v>0.37046418652912994</v>
      </c>
      <c r="AN84">
        <v>9.8483230079042944E-2</v>
      </c>
      <c r="AO84">
        <v>0.94485305337687309</v>
      </c>
      <c r="AP84">
        <v>0.13434247871333965</v>
      </c>
      <c r="AQ84">
        <v>0.42078920865504926</v>
      </c>
      <c r="AR84">
        <v>0.37485885189367352</v>
      </c>
      <c r="AS84">
        <v>0.43733024079103977</v>
      </c>
    </row>
    <row r="85" spans="1:45">
      <c r="A85">
        <v>83</v>
      </c>
      <c r="B85">
        <v>51.224350398842944</v>
      </c>
      <c r="E85">
        <f t="shared" si="40"/>
        <v>51.224350398842944</v>
      </c>
      <c r="F85" t="b">
        <f t="shared" si="41"/>
        <v>0</v>
      </c>
      <c r="G85" t="b">
        <f t="shared" si="42"/>
        <v>0</v>
      </c>
      <c r="H85" t="b">
        <f t="shared" si="43"/>
        <v>0</v>
      </c>
      <c r="I85" t="b">
        <f t="shared" si="44"/>
        <v>0</v>
      </c>
      <c r="J85">
        <f t="shared" si="45"/>
        <v>51.224350398842944</v>
      </c>
      <c r="K85">
        <f t="shared" si="46"/>
        <v>51.224350398842944</v>
      </c>
      <c r="L85">
        <f t="shared" si="47"/>
        <v>51.224350398842944</v>
      </c>
      <c r="M85" t="b">
        <f t="shared" si="48"/>
        <v>0</v>
      </c>
      <c r="N85">
        <f t="shared" si="49"/>
        <v>51.224350398842944</v>
      </c>
      <c r="O85" t="b">
        <f t="shared" si="50"/>
        <v>0</v>
      </c>
      <c r="P85" t="b">
        <f t="shared" si="51"/>
        <v>0</v>
      </c>
      <c r="Q85">
        <f t="shared" si="52"/>
        <v>51.224350398842944</v>
      </c>
      <c r="R85">
        <f t="shared" si="53"/>
        <v>51.224350398842944</v>
      </c>
      <c r="S85" t="b">
        <f t="shared" si="54"/>
        <v>0</v>
      </c>
      <c r="T85" t="b">
        <f t="shared" si="55"/>
        <v>0</v>
      </c>
      <c r="U85" t="b">
        <f t="shared" si="56"/>
        <v>0</v>
      </c>
      <c r="V85" t="b">
        <f t="shared" si="57"/>
        <v>0</v>
      </c>
      <c r="W85" t="b">
        <f t="shared" si="58"/>
        <v>0</v>
      </c>
      <c r="X85" t="b">
        <f t="shared" si="59"/>
        <v>0</v>
      </c>
      <c r="Z85">
        <v>0.27146214178899503</v>
      </c>
      <c r="AA85">
        <v>0.73775444807275614</v>
      </c>
      <c r="AB85">
        <v>0.78466139713736383</v>
      </c>
      <c r="AC85">
        <v>0.9897457808160649</v>
      </c>
      <c r="AD85">
        <v>0.78783532212286755</v>
      </c>
      <c r="AE85">
        <v>0.30143131809442425</v>
      </c>
      <c r="AF85">
        <v>9.289834284493545E-2</v>
      </c>
      <c r="AG85">
        <v>5.3285317545091096E-2</v>
      </c>
      <c r="AH85">
        <v>0.67329935605945002</v>
      </c>
      <c r="AI85">
        <v>0.29358806115909297</v>
      </c>
      <c r="AJ85">
        <v>0.88161870174260693</v>
      </c>
      <c r="AK85">
        <v>0.93642994476149788</v>
      </c>
      <c r="AL85">
        <v>0.26096377452925201</v>
      </c>
      <c r="AM85">
        <v>0.36487929929502244</v>
      </c>
      <c r="AN85">
        <v>0.68703268532364881</v>
      </c>
      <c r="AO85">
        <v>0.71883297219763787</v>
      </c>
      <c r="AP85">
        <v>0.42893765068514056</v>
      </c>
      <c r="AQ85">
        <v>0.98120059816278571</v>
      </c>
      <c r="AR85">
        <v>0.47941526535843987</v>
      </c>
      <c r="AS85">
        <v>0.41190832239753411</v>
      </c>
    </row>
    <row r="86" spans="1:45">
      <c r="A86">
        <v>84</v>
      </c>
      <c r="B86">
        <v>55.464812602440361</v>
      </c>
      <c r="E86" t="b">
        <f t="shared" si="40"/>
        <v>0</v>
      </c>
      <c r="F86">
        <f t="shared" si="41"/>
        <v>55.464812602440361</v>
      </c>
      <c r="G86">
        <f t="shared" si="42"/>
        <v>55.464812602440361</v>
      </c>
      <c r="H86">
        <f t="shared" si="43"/>
        <v>55.464812602440361</v>
      </c>
      <c r="I86" t="b">
        <f t="shared" si="44"/>
        <v>0</v>
      </c>
      <c r="J86" t="b">
        <f t="shared" si="45"/>
        <v>0</v>
      </c>
      <c r="K86">
        <f t="shared" si="46"/>
        <v>55.464812602440361</v>
      </c>
      <c r="L86">
        <f t="shared" si="47"/>
        <v>55.464812602440361</v>
      </c>
      <c r="M86" t="b">
        <f t="shared" si="48"/>
        <v>0</v>
      </c>
      <c r="N86">
        <f t="shared" si="49"/>
        <v>55.464812602440361</v>
      </c>
      <c r="O86">
        <f t="shared" si="50"/>
        <v>55.464812602440361</v>
      </c>
      <c r="P86">
        <f t="shared" si="51"/>
        <v>55.464812602440361</v>
      </c>
      <c r="Q86">
        <f t="shared" si="52"/>
        <v>55.464812602440361</v>
      </c>
      <c r="R86" t="b">
        <f t="shared" si="53"/>
        <v>0</v>
      </c>
      <c r="S86" t="b">
        <f t="shared" si="54"/>
        <v>0</v>
      </c>
      <c r="T86" t="b">
        <f t="shared" si="55"/>
        <v>0</v>
      </c>
      <c r="U86" t="b">
        <f t="shared" si="56"/>
        <v>0</v>
      </c>
      <c r="V86">
        <f t="shared" si="57"/>
        <v>55.464812602440361</v>
      </c>
      <c r="W86" t="b">
        <f t="shared" si="58"/>
        <v>0</v>
      </c>
      <c r="X86" t="b">
        <f t="shared" si="59"/>
        <v>0</v>
      </c>
      <c r="Z86">
        <v>0.54002502517777029</v>
      </c>
      <c r="AA86">
        <v>0.33371990112002931</v>
      </c>
      <c r="AB86">
        <v>0.28864406262398146</v>
      </c>
      <c r="AC86">
        <v>0.11072115237891782</v>
      </c>
      <c r="AD86">
        <v>0.99938962981048007</v>
      </c>
      <c r="AE86">
        <v>0.52223273415326399</v>
      </c>
      <c r="AF86">
        <v>0.12720114749595629</v>
      </c>
      <c r="AG86">
        <v>7.2237311929685355E-2</v>
      </c>
      <c r="AH86">
        <v>0.61491744743186738</v>
      </c>
      <c r="AI86">
        <v>0.380535294656209</v>
      </c>
      <c r="AJ86">
        <v>0.15677358317819759</v>
      </c>
      <c r="AK86">
        <v>0.32374034852137823</v>
      </c>
      <c r="AL86">
        <v>3.1525620288705099E-2</v>
      </c>
      <c r="AM86">
        <v>0.54136783959471424</v>
      </c>
      <c r="AN86">
        <v>0.83449812311166727</v>
      </c>
      <c r="AO86">
        <v>0.82085634937589647</v>
      </c>
      <c r="AP86">
        <v>0.76415295876949374</v>
      </c>
      <c r="AQ86">
        <v>0.22849208044679098</v>
      </c>
      <c r="AR86">
        <v>0.44837794122135077</v>
      </c>
      <c r="AS86">
        <v>0.96313364055299544</v>
      </c>
    </row>
    <row r="87" spans="1:45">
      <c r="A87">
        <v>85</v>
      </c>
      <c r="B87">
        <v>29.23450791859068</v>
      </c>
      <c r="E87" t="b">
        <f t="shared" si="40"/>
        <v>0</v>
      </c>
      <c r="F87">
        <f t="shared" si="41"/>
        <v>29.23450791859068</v>
      </c>
      <c r="G87">
        <f t="shared" si="42"/>
        <v>29.23450791859068</v>
      </c>
      <c r="H87" t="b">
        <f t="shared" si="43"/>
        <v>0</v>
      </c>
      <c r="I87">
        <f t="shared" si="44"/>
        <v>29.23450791859068</v>
      </c>
      <c r="J87" t="b">
        <f t="shared" si="45"/>
        <v>0</v>
      </c>
      <c r="K87">
        <f t="shared" si="46"/>
        <v>29.23450791859068</v>
      </c>
      <c r="L87" t="b">
        <f t="shared" si="47"/>
        <v>0</v>
      </c>
      <c r="M87">
        <f t="shared" si="48"/>
        <v>29.23450791859068</v>
      </c>
      <c r="N87" t="b">
        <f t="shared" si="49"/>
        <v>0</v>
      </c>
      <c r="O87">
        <f t="shared" si="50"/>
        <v>29.23450791859068</v>
      </c>
      <c r="P87" t="b">
        <f t="shared" si="51"/>
        <v>0</v>
      </c>
      <c r="Q87">
        <f t="shared" si="52"/>
        <v>29.23450791859068</v>
      </c>
      <c r="R87">
        <f t="shared" si="53"/>
        <v>29.23450791859068</v>
      </c>
      <c r="S87" t="b">
        <f t="shared" si="54"/>
        <v>0</v>
      </c>
      <c r="T87" t="b">
        <f t="shared" si="55"/>
        <v>0</v>
      </c>
      <c r="U87" t="b">
        <f t="shared" si="56"/>
        <v>0</v>
      </c>
      <c r="V87" t="b">
        <f t="shared" si="57"/>
        <v>0</v>
      </c>
      <c r="W87">
        <f t="shared" si="58"/>
        <v>29.23450791859068</v>
      </c>
      <c r="X87" t="b">
        <f t="shared" si="59"/>
        <v>0</v>
      </c>
      <c r="Z87">
        <v>0.8222907193212684</v>
      </c>
      <c r="AA87">
        <v>2.2858363597521896E-2</v>
      </c>
      <c r="AB87">
        <v>0.11847285378582111</v>
      </c>
      <c r="AC87">
        <v>0.41480758079775382</v>
      </c>
      <c r="AD87">
        <v>0.25025177770317697</v>
      </c>
      <c r="AE87">
        <v>0.64833521530808436</v>
      </c>
      <c r="AF87">
        <v>8.0568865016632588E-3</v>
      </c>
      <c r="AG87">
        <v>0.96578875087740712</v>
      </c>
      <c r="AH87">
        <v>0.38575395977660454</v>
      </c>
      <c r="AI87">
        <v>0.53508102664265877</v>
      </c>
      <c r="AJ87">
        <v>0.3562425611133152</v>
      </c>
      <c r="AK87">
        <v>0.48356578264717553</v>
      </c>
      <c r="AL87">
        <v>0.32551042207098607</v>
      </c>
      <c r="AM87">
        <v>0.19568468276009399</v>
      </c>
      <c r="AN87">
        <v>0.69353312784203625</v>
      </c>
      <c r="AO87">
        <v>0.48582415234839932</v>
      </c>
      <c r="AP87">
        <v>0.91891232032227543</v>
      </c>
      <c r="AQ87">
        <v>0.68742942594683676</v>
      </c>
      <c r="AR87">
        <v>0.18597979674672688</v>
      </c>
      <c r="AS87">
        <v>0.75594347972045051</v>
      </c>
    </row>
    <row r="88" spans="1:45">
      <c r="A88">
        <v>86</v>
      </c>
      <c r="B88">
        <v>41.893287187849637</v>
      </c>
      <c r="E88" t="b">
        <f t="shared" si="40"/>
        <v>0</v>
      </c>
      <c r="F88" t="b">
        <f t="shared" si="41"/>
        <v>0</v>
      </c>
      <c r="G88">
        <f t="shared" si="42"/>
        <v>41.893287187849637</v>
      </c>
      <c r="H88" t="b">
        <f t="shared" si="43"/>
        <v>0</v>
      </c>
      <c r="I88" t="b">
        <f t="shared" si="44"/>
        <v>0</v>
      </c>
      <c r="J88">
        <f t="shared" si="45"/>
        <v>41.893287187849637</v>
      </c>
      <c r="K88">
        <f t="shared" si="46"/>
        <v>41.893287187849637</v>
      </c>
      <c r="L88">
        <f t="shared" si="47"/>
        <v>41.893287187849637</v>
      </c>
      <c r="M88" t="b">
        <f t="shared" si="48"/>
        <v>0</v>
      </c>
      <c r="N88" t="b">
        <f t="shared" si="49"/>
        <v>0</v>
      </c>
      <c r="O88" t="b">
        <f t="shared" si="50"/>
        <v>0</v>
      </c>
      <c r="P88">
        <f t="shared" si="51"/>
        <v>41.893287187849637</v>
      </c>
      <c r="Q88" t="b">
        <f t="shared" si="52"/>
        <v>0</v>
      </c>
      <c r="R88" t="b">
        <f t="shared" si="53"/>
        <v>0</v>
      </c>
      <c r="S88" t="b">
        <f t="shared" si="54"/>
        <v>0</v>
      </c>
      <c r="T88">
        <f t="shared" si="55"/>
        <v>41.893287187849637</v>
      </c>
      <c r="U88">
        <f t="shared" si="56"/>
        <v>41.893287187849637</v>
      </c>
      <c r="V88" t="b">
        <f t="shared" si="57"/>
        <v>0</v>
      </c>
      <c r="W88" t="b">
        <f t="shared" si="58"/>
        <v>0</v>
      </c>
      <c r="X88">
        <f t="shared" si="59"/>
        <v>41.893287187849637</v>
      </c>
      <c r="Z88">
        <v>0.49357585375530261</v>
      </c>
      <c r="AA88">
        <v>0.9957274086733604</v>
      </c>
      <c r="AB88">
        <v>6.4851832636494036E-2</v>
      </c>
      <c r="AC88">
        <v>0.50526444288460948</v>
      </c>
      <c r="AD88">
        <v>0.61687063203833126</v>
      </c>
      <c r="AE88">
        <v>0.35441145054475537</v>
      </c>
      <c r="AF88">
        <v>0.31305887020477918</v>
      </c>
      <c r="AG88">
        <v>0.25858333079012419</v>
      </c>
      <c r="AH88">
        <v>0.45124668111209448</v>
      </c>
      <c r="AI88">
        <v>0.80458998382518998</v>
      </c>
      <c r="AJ88">
        <v>0.91500595110934779</v>
      </c>
      <c r="AK88">
        <v>0.13324381237220373</v>
      </c>
      <c r="AL88">
        <v>0.98562578203680529</v>
      </c>
      <c r="AM88">
        <v>0.62736899929807433</v>
      </c>
      <c r="AN88">
        <v>0.44486831263161108</v>
      </c>
      <c r="AO88">
        <v>0.24597918637653737</v>
      </c>
      <c r="AP88">
        <v>0.13608203375347147</v>
      </c>
      <c r="AQ88">
        <v>0.92269661549729909</v>
      </c>
      <c r="AR88">
        <v>0.67992187261574144</v>
      </c>
      <c r="AS88">
        <v>9.3844416638691364E-2</v>
      </c>
    </row>
    <row r="89" spans="1:45">
      <c r="A89">
        <v>87</v>
      </c>
      <c r="B89">
        <v>44.881022757908795</v>
      </c>
      <c r="E89">
        <f t="shared" si="40"/>
        <v>44.881022757908795</v>
      </c>
      <c r="F89" t="b">
        <f t="shared" si="41"/>
        <v>0</v>
      </c>
      <c r="G89" t="b">
        <f t="shared" si="42"/>
        <v>0</v>
      </c>
      <c r="H89" t="b">
        <f t="shared" si="43"/>
        <v>0</v>
      </c>
      <c r="I89">
        <f t="shared" si="44"/>
        <v>44.881022757908795</v>
      </c>
      <c r="J89">
        <f t="shared" si="45"/>
        <v>44.881022757908795</v>
      </c>
      <c r="K89">
        <f t="shared" si="46"/>
        <v>44.881022757908795</v>
      </c>
      <c r="L89" t="b">
        <f t="shared" si="47"/>
        <v>0</v>
      </c>
      <c r="M89">
        <f t="shared" si="48"/>
        <v>44.881022757908795</v>
      </c>
      <c r="N89">
        <f t="shared" si="49"/>
        <v>44.881022757908795</v>
      </c>
      <c r="O89">
        <f t="shared" si="50"/>
        <v>44.881022757908795</v>
      </c>
      <c r="P89">
        <f t="shared" si="51"/>
        <v>44.881022757908795</v>
      </c>
      <c r="Q89" t="b">
        <f t="shared" si="52"/>
        <v>0</v>
      </c>
      <c r="R89" t="b">
        <f t="shared" si="53"/>
        <v>0</v>
      </c>
      <c r="S89">
        <f t="shared" si="54"/>
        <v>44.881022757908795</v>
      </c>
      <c r="T89" t="b">
        <f t="shared" si="55"/>
        <v>0</v>
      </c>
      <c r="U89">
        <f t="shared" si="56"/>
        <v>44.881022757908795</v>
      </c>
      <c r="V89" t="b">
        <f t="shared" si="57"/>
        <v>0</v>
      </c>
      <c r="W89">
        <f t="shared" si="58"/>
        <v>44.881022757908795</v>
      </c>
      <c r="X89" t="b">
        <f t="shared" si="59"/>
        <v>0</v>
      </c>
      <c r="Z89">
        <v>0.39344462416455578</v>
      </c>
      <c r="AA89">
        <v>0.85174108096560563</v>
      </c>
      <c r="AB89">
        <v>0.78798791467024754</v>
      </c>
      <c r="AC89">
        <v>0.58839686269722591</v>
      </c>
      <c r="AD89">
        <v>0.23233741264076663</v>
      </c>
      <c r="AE89">
        <v>4.7334208197271646E-2</v>
      </c>
      <c r="AF89">
        <v>0.21472823267311625</v>
      </c>
      <c r="AG89">
        <v>0.81627857295449691</v>
      </c>
      <c r="AH89">
        <v>0.37778862880336922</v>
      </c>
      <c r="AI89">
        <v>6.2990203558458205E-2</v>
      </c>
      <c r="AJ89">
        <v>0.18518631550035097</v>
      </c>
      <c r="AK89">
        <v>0.2413098544267098</v>
      </c>
      <c r="AL89">
        <v>0.59382915738395337</v>
      </c>
      <c r="AM89">
        <v>0.94003112887966556</v>
      </c>
      <c r="AN89">
        <v>0.2912686544389172</v>
      </c>
      <c r="AO89">
        <v>0.76485488448744166</v>
      </c>
      <c r="AP89">
        <v>0.17157506027405622</v>
      </c>
      <c r="AQ89">
        <v>0.74013489181188385</v>
      </c>
      <c r="AR89">
        <v>0.35532700582903531</v>
      </c>
      <c r="AS89">
        <v>0.98620563371684922</v>
      </c>
    </row>
    <row r="90" spans="1:45">
      <c r="A90">
        <v>88</v>
      </c>
      <c r="B90">
        <v>47.78301571495831</v>
      </c>
      <c r="E90" t="b">
        <f t="shared" si="40"/>
        <v>0</v>
      </c>
      <c r="F90" t="b">
        <f t="shared" si="41"/>
        <v>0</v>
      </c>
      <c r="G90">
        <f t="shared" si="42"/>
        <v>47.78301571495831</v>
      </c>
      <c r="H90" t="b">
        <f t="shared" si="43"/>
        <v>0</v>
      </c>
      <c r="I90" t="b">
        <f t="shared" si="44"/>
        <v>0</v>
      </c>
      <c r="J90">
        <f t="shared" si="45"/>
        <v>47.78301571495831</v>
      </c>
      <c r="K90">
        <f t="shared" si="46"/>
        <v>47.78301571495831</v>
      </c>
      <c r="L90" t="b">
        <f t="shared" si="47"/>
        <v>0</v>
      </c>
      <c r="M90" t="b">
        <f t="shared" si="48"/>
        <v>0</v>
      </c>
      <c r="N90">
        <f t="shared" si="49"/>
        <v>47.78301571495831</v>
      </c>
      <c r="O90" t="b">
        <f t="shared" si="50"/>
        <v>0</v>
      </c>
      <c r="P90" t="b">
        <f t="shared" si="51"/>
        <v>0</v>
      </c>
      <c r="Q90">
        <f t="shared" si="52"/>
        <v>47.78301571495831</v>
      </c>
      <c r="R90">
        <f t="shared" si="53"/>
        <v>47.78301571495831</v>
      </c>
      <c r="S90" t="b">
        <f t="shared" si="54"/>
        <v>0</v>
      </c>
      <c r="T90" t="b">
        <f t="shared" si="55"/>
        <v>0</v>
      </c>
      <c r="U90">
        <f t="shared" si="56"/>
        <v>47.78301571495831</v>
      </c>
      <c r="V90" t="b">
        <f t="shared" si="57"/>
        <v>0</v>
      </c>
      <c r="W90" t="b">
        <f t="shared" si="58"/>
        <v>0</v>
      </c>
      <c r="X90" t="b">
        <f t="shared" si="59"/>
        <v>0</v>
      </c>
      <c r="Z90">
        <v>0.99328592791528059</v>
      </c>
      <c r="AA90">
        <v>0.45924253059480574</v>
      </c>
      <c r="AB90">
        <v>0.1477706228827784</v>
      </c>
      <c r="AC90">
        <v>0.75206762901699886</v>
      </c>
      <c r="AD90">
        <v>0.64210943937498088</v>
      </c>
      <c r="AE90">
        <v>0.2259895626697592</v>
      </c>
      <c r="AF90">
        <v>0.12375255592516861</v>
      </c>
      <c r="AG90">
        <v>0.74736777855769521</v>
      </c>
      <c r="AH90">
        <v>0.63045136875514995</v>
      </c>
      <c r="AI90">
        <v>0.10586870937223426</v>
      </c>
      <c r="AJ90">
        <v>0.84710226752525408</v>
      </c>
      <c r="AK90">
        <v>0.95461897640919213</v>
      </c>
      <c r="AL90">
        <v>0.20950956755272074</v>
      </c>
      <c r="AM90">
        <v>0.2687459944456313</v>
      </c>
      <c r="AN90">
        <v>0.45066682943205055</v>
      </c>
      <c r="AO90">
        <v>0.83141575365459153</v>
      </c>
      <c r="AP90">
        <v>0.39362773522141181</v>
      </c>
      <c r="AQ90">
        <v>0.64189580980864891</v>
      </c>
      <c r="AR90">
        <v>0.44727927488021485</v>
      </c>
      <c r="AS90">
        <v>0.81582079531235696</v>
      </c>
    </row>
    <row r="91" spans="1:45">
      <c r="A91">
        <v>89</v>
      </c>
      <c r="B91">
        <v>42.747132182557834</v>
      </c>
      <c r="E91" t="b">
        <f t="shared" si="40"/>
        <v>0</v>
      </c>
      <c r="F91" t="b">
        <f t="shared" si="41"/>
        <v>0</v>
      </c>
      <c r="G91">
        <f t="shared" si="42"/>
        <v>42.747132182557834</v>
      </c>
      <c r="H91" t="b">
        <f t="shared" si="43"/>
        <v>0</v>
      </c>
      <c r="I91" t="b">
        <f t="shared" si="44"/>
        <v>0</v>
      </c>
      <c r="J91" t="b">
        <f t="shared" si="45"/>
        <v>0</v>
      </c>
      <c r="K91" t="b">
        <f t="shared" si="46"/>
        <v>0</v>
      </c>
      <c r="L91">
        <f t="shared" si="47"/>
        <v>42.747132182557834</v>
      </c>
      <c r="M91">
        <f t="shared" si="48"/>
        <v>42.747132182557834</v>
      </c>
      <c r="N91">
        <f t="shared" si="49"/>
        <v>42.747132182557834</v>
      </c>
      <c r="O91" t="b">
        <f t="shared" si="50"/>
        <v>0</v>
      </c>
      <c r="P91" t="b">
        <f t="shared" si="51"/>
        <v>0</v>
      </c>
      <c r="Q91" t="b">
        <f t="shared" si="52"/>
        <v>0</v>
      </c>
      <c r="R91">
        <f t="shared" si="53"/>
        <v>42.747132182557834</v>
      </c>
      <c r="S91" t="b">
        <f t="shared" si="54"/>
        <v>0</v>
      </c>
      <c r="T91">
        <f t="shared" si="55"/>
        <v>42.747132182557834</v>
      </c>
      <c r="U91" t="b">
        <f t="shared" si="56"/>
        <v>0</v>
      </c>
      <c r="V91" t="b">
        <f t="shared" si="57"/>
        <v>0</v>
      </c>
      <c r="W91">
        <f t="shared" si="58"/>
        <v>42.747132182557834</v>
      </c>
      <c r="X91">
        <f t="shared" si="59"/>
        <v>42.747132182557834</v>
      </c>
      <c r="Z91">
        <v>0.64668721579638055</v>
      </c>
      <c r="AA91">
        <v>0.59898678548539686</v>
      </c>
      <c r="AB91">
        <v>8.9693899349955752E-2</v>
      </c>
      <c r="AC91">
        <v>0.85943174535355693</v>
      </c>
      <c r="AD91">
        <v>0.4706869716483047</v>
      </c>
      <c r="AE91">
        <v>0.43757438886684774</v>
      </c>
      <c r="AF91">
        <v>0.94894253364665671</v>
      </c>
      <c r="AG91">
        <v>0.2370677816095462</v>
      </c>
      <c r="AH91">
        <v>0.23157444990386669</v>
      </c>
      <c r="AI91">
        <v>0.19397564622943816</v>
      </c>
      <c r="AJ91">
        <v>0.55088961455122532</v>
      </c>
      <c r="AK91">
        <v>0.73915829950865197</v>
      </c>
      <c r="AL91">
        <v>0.74736777855769521</v>
      </c>
      <c r="AM91">
        <v>0.2434156315805536</v>
      </c>
      <c r="AN91">
        <v>0.97372356334116639</v>
      </c>
      <c r="AO91">
        <v>0.28513443403424177</v>
      </c>
      <c r="AP91">
        <v>0.87096774193548387</v>
      </c>
      <c r="AQ91">
        <v>0.97268593401898251</v>
      </c>
      <c r="AR91">
        <v>0.3316141239661855</v>
      </c>
      <c r="AS91">
        <v>3.7537766655476548E-2</v>
      </c>
    </row>
    <row r="92" spans="1:45">
      <c r="A92">
        <v>90</v>
      </c>
      <c r="B92">
        <v>50.074245437863297</v>
      </c>
      <c r="E92" t="b">
        <f t="shared" si="40"/>
        <v>0</v>
      </c>
      <c r="F92">
        <f t="shared" si="41"/>
        <v>50.074245437863297</v>
      </c>
      <c r="G92" t="b">
        <f t="shared" si="42"/>
        <v>0</v>
      </c>
      <c r="H92" t="b">
        <f t="shared" si="43"/>
        <v>0</v>
      </c>
      <c r="I92">
        <f t="shared" si="44"/>
        <v>50.074245437863297</v>
      </c>
      <c r="J92" t="b">
        <f t="shared" si="45"/>
        <v>0</v>
      </c>
      <c r="K92" t="b">
        <f t="shared" si="46"/>
        <v>0</v>
      </c>
      <c r="L92">
        <f t="shared" si="47"/>
        <v>50.074245437863297</v>
      </c>
      <c r="M92">
        <f t="shared" si="48"/>
        <v>50.074245437863297</v>
      </c>
      <c r="N92">
        <f t="shared" si="49"/>
        <v>50.074245437863297</v>
      </c>
      <c r="O92" t="b">
        <f t="shared" si="50"/>
        <v>0</v>
      </c>
      <c r="P92">
        <f t="shared" si="51"/>
        <v>50.074245437863297</v>
      </c>
      <c r="Q92">
        <f t="shared" si="52"/>
        <v>50.074245437863297</v>
      </c>
      <c r="R92" t="b">
        <f t="shared" si="53"/>
        <v>0</v>
      </c>
      <c r="S92" t="b">
        <f t="shared" si="54"/>
        <v>0</v>
      </c>
      <c r="T92" t="b">
        <f t="shared" si="55"/>
        <v>0</v>
      </c>
      <c r="U92" t="b">
        <f t="shared" si="56"/>
        <v>0</v>
      </c>
      <c r="V92" t="b">
        <f t="shared" si="57"/>
        <v>0</v>
      </c>
      <c r="W92" t="b">
        <f t="shared" si="58"/>
        <v>0</v>
      </c>
      <c r="X92">
        <f t="shared" si="59"/>
        <v>50.074245437863297</v>
      </c>
      <c r="Z92">
        <v>0.40021973326822718</v>
      </c>
      <c r="AA92">
        <v>0.20789208655049288</v>
      </c>
      <c r="AB92">
        <v>0.88598284859767451</v>
      </c>
      <c r="AC92">
        <v>0.90722373119296851</v>
      </c>
      <c r="AD92">
        <v>0.10052797021393475</v>
      </c>
      <c r="AE92">
        <v>0.97924741355632194</v>
      </c>
      <c r="AF92">
        <v>0.77715384380626851</v>
      </c>
      <c r="AG92">
        <v>0.15121921445356609</v>
      </c>
      <c r="AH92">
        <v>1.6083254493850521E-2</v>
      </c>
      <c r="AI92">
        <v>8.8564714499343847E-2</v>
      </c>
      <c r="AJ92">
        <v>0.74666585283974729</v>
      </c>
      <c r="AK92">
        <v>0.11279641102328562</v>
      </c>
      <c r="AL92">
        <v>0.11160618915372174</v>
      </c>
      <c r="AM92">
        <v>0.59053315836054565</v>
      </c>
      <c r="AN92">
        <v>0.92651142918179874</v>
      </c>
      <c r="AO92">
        <v>0.50419629505294961</v>
      </c>
      <c r="AP92">
        <v>0.80294198431348618</v>
      </c>
      <c r="AQ92">
        <v>0.945585497604297</v>
      </c>
      <c r="AR92">
        <v>0.49830622272408215</v>
      </c>
      <c r="AS92">
        <v>0.1064790795617542</v>
      </c>
    </row>
    <row r="93" spans="1:45">
      <c r="A93">
        <v>91</v>
      </c>
      <c r="B93">
        <v>57.024868864391465</v>
      </c>
      <c r="E93" t="b">
        <f t="shared" si="40"/>
        <v>0</v>
      </c>
      <c r="F93">
        <f t="shared" si="41"/>
        <v>57.024868864391465</v>
      </c>
      <c r="G93">
        <f t="shared" si="42"/>
        <v>57.024868864391465</v>
      </c>
      <c r="H93">
        <f t="shared" si="43"/>
        <v>57.024868864391465</v>
      </c>
      <c r="I93">
        <f t="shared" si="44"/>
        <v>57.024868864391465</v>
      </c>
      <c r="J93">
        <f t="shared" si="45"/>
        <v>57.024868864391465</v>
      </c>
      <c r="K93">
        <f t="shared" si="46"/>
        <v>57.024868864391465</v>
      </c>
      <c r="L93" t="b">
        <f t="shared" si="47"/>
        <v>0</v>
      </c>
      <c r="M93">
        <f t="shared" si="48"/>
        <v>57.024868864391465</v>
      </c>
      <c r="N93" t="b">
        <f t="shared" si="49"/>
        <v>0</v>
      </c>
      <c r="O93">
        <f t="shared" si="50"/>
        <v>57.024868864391465</v>
      </c>
      <c r="P93">
        <f t="shared" si="51"/>
        <v>57.024868864391465</v>
      </c>
      <c r="Q93" t="b">
        <f t="shared" si="52"/>
        <v>0</v>
      </c>
      <c r="R93" t="b">
        <f t="shared" si="53"/>
        <v>0</v>
      </c>
      <c r="S93" t="b">
        <f t="shared" si="54"/>
        <v>0</v>
      </c>
      <c r="T93" t="b">
        <f t="shared" si="55"/>
        <v>0</v>
      </c>
      <c r="U93" t="b">
        <f t="shared" si="56"/>
        <v>0</v>
      </c>
      <c r="V93" t="b">
        <f t="shared" si="57"/>
        <v>0</v>
      </c>
      <c r="W93" t="b">
        <f t="shared" si="58"/>
        <v>0</v>
      </c>
      <c r="X93" t="b">
        <f t="shared" si="59"/>
        <v>0</v>
      </c>
      <c r="Z93">
        <v>0.48457289345988341</v>
      </c>
      <c r="AA93">
        <v>0.11215552232428969</v>
      </c>
      <c r="AB93">
        <v>0.315469832453383</v>
      </c>
      <c r="AC93">
        <v>0.3490401928769799</v>
      </c>
      <c r="AD93">
        <v>0.11227759636219367</v>
      </c>
      <c r="AE93">
        <v>0.34733115634632405</v>
      </c>
      <c r="AF93">
        <v>0.21787163914914395</v>
      </c>
      <c r="AG93">
        <v>0.92959379863887448</v>
      </c>
      <c r="AH93">
        <v>0.17358928189947204</v>
      </c>
      <c r="AI93">
        <v>0.75692007202368239</v>
      </c>
      <c r="AJ93">
        <v>0.35712759788811915</v>
      </c>
      <c r="AK93">
        <v>0.25620288705099642</v>
      </c>
      <c r="AL93">
        <v>0.47645496993926817</v>
      </c>
      <c r="AM93">
        <v>0.95147556993316451</v>
      </c>
      <c r="AN93">
        <v>0.9548631244850001</v>
      </c>
      <c r="AO93">
        <v>0.6530655842768639</v>
      </c>
      <c r="AP93">
        <v>0.95220801416058842</v>
      </c>
      <c r="AQ93">
        <v>0.81640064699240089</v>
      </c>
      <c r="AR93">
        <v>0.61037018951994382</v>
      </c>
      <c r="AS93">
        <v>0.55470442823572497</v>
      </c>
    </row>
    <row r="94" spans="1:45">
      <c r="A94">
        <v>92</v>
      </c>
      <c r="B94">
        <v>47.07441702412325</v>
      </c>
      <c r="E94">
        <f t="shared" si="40"/>
        <v>47.07441702412325</v>
      </c>
      <c r="F94">
        <f t="shared" si="41"/>
        <v>47.07441702412325</v>
      </c>
      <c r="G94" t="b">
        <f t="shared" si="42"/>
        <v>0</v>
      </c>
      <c r="H94" t="b">
        <f t="shared" si="43"/>
        <v>0</v>
      </c>
      <c r="I94" t="b">
        <f t="shared" si="44"/>
        <v>0</v>
      </c>
      <c r="J94" t="b">
        <f t="shared" si="45"/>
        <v>0</v>
      </c>
      <c r="K94" t="b">
        <f t="shared" si="46"/>
        <v>0</v>
      </c>
      <c r="L94" t="b">
        <f t="shared" si="47"/>
        <v>0</v>
      </c>
      <c r="M94">
        <f t="shared" si="48"/>
        <v>47.07441702412325</v>
      </c>
      <c r="N94" t="b">
        <f t="shared" si="49"/>
        <v>0</v>
      </c>
      <c r="O94" t="b">
        <f t="shared" si="50"/>
        <v>0</v>
      </c>
      <c r="P94">
        <f t="shared" si="51"/>
        <v>47.07441702412325</v>
      </c>
      <c r="Q94" t="b">
        <f t="shared" si="52"/>
        <v>0</v>
      </c>
      <c r="R94">
        <f t="shared" si="53"/>
        <v>47.07441702412325</v>
      </c>
      <c r="S94">
        <f t="shared" si="54"/>
        <v>47.07441702412325</v>
      </c>
      <c r="T94">
        <f t="shared" si="55"/>
        <v>47.07441702412325</v>
      </c>
      <c r="U94" t="b">
        <f t="shared" si="56"/>
        <v>0</v>
      </c>
      <c r="V94">
        <f t="shared" si="57"/>
        <v>47.07441702412325</v>
      </c>
      <c r="W94" t="b">
        <f t="shared" si="58"/>
        <v>0</v>
      </c>
      <c r="X94" t="b">
        <f t="shared" si="59"/>
        <v>0</v>
      </c>
      <c r="Z94">
        <v>0.20282601397747735</v>
      </c>
      <c r="AA94">
        <v>0.35108493301187171</v>
      </c>
      <c r="AB94">
        <v>0.72716452528458508</v>
      </c>
      <c r="AC94">
        <v>0.80004272591326642</v>
      </c>
      <c r="AD94">
        <v>0.48728904080324714</v>
      </c>
      <c r="AE94">
        <v>0.68007446516312142</v>
      </c>
      <c r="AF94">
        <v>0.9217810602130192</v>
      </c>
      <c r="AG94">
        <v>0.4860072634052553</v>
      </c>
      <c r="AH94">
        <v>0.17658009582811976</v>
      </c>
      <c r="AI94">
        <v>0.70049134800256352</v>
      </c>
      <c r="AJ94">
        <v>0.78545487838373973</v>
      </c>
      <c r="AK94">
        <v>0.27457502975554676</v>
      </c>
      <c r="AL94">
        <v>0.64534440137943661</v>
      </c>
      <c r="AM94">
        <v>0.3715628528702658</v>
      </c>
      <c r="AN94">
        <v>0.11832026123844111</v>
      </c>
      <c r="AO94">
        <v>0.27887813959166236</v>
      </c>
      <c r="AP94">
        <v>0.56300546281319619</v>
      </c>
      <c r="AQ94">
        <v>8.5146641438032175E-3</v>
      </c>
      <c r="AR94">
        <v>0.49269081698049866</v>
      </c>
      <c r="AS94">
        <v>0.93484298226874596</v>
      </c>
    </row>
    <row r="95" spans="1:45">
      <c r="A95">
        <v>93</v>
      </c>
      <c r="B95">
        <v>36.19671259802999</v>
      </c>
      <c r="E95" t="b">
        <f t="shared" si="40"/>
        <v>0</v>
      </c>
      <c r="F95">
        <f t="shared" si="41"/>
        <v>36.19671259802999</v>
      </c>
      <c r="G95" t="b">
        <f t="shared" si="42"/>
        <v>0</v>
      </c>
      <c r="H95">
        <f t="shared" si="43"/>
        <v>36.19671259802999</v>
      </c>
      <c r="I95">
        <f t="shared" si="44"/>
        <v>36.19671259802999</v>
      </c>
      <c r="J95" t="b">
        <f t="shared" si="45"/>
        <v>0</v>
      </c>
      <c r="K95">
        <f t="shared" si="46"/>
        <v>36.19671259802999</v>
      </c>
      <c r="L95">
        <f t="shared" si="47"/>
        <v>36.19671259802999</v>
      </c>
      <c r="M95">
        <f t="shared" si="48"/>
        <v>36.19671259802999</v>
      </c>
      <c r="N95" t="b">
        <f t="shared" si="49"/>
        <v>0</v>
      </c>
      <c r="O95">
        <f t="shared" si="50"/>
        <v>36.19671259802999</v>
      </c>
      <c r="P95">
        <f t="shared" si="51"/>
        <v>36.19671259802999</v>
      </c>
      <c r="Q95" t="b">
        <f t="shared" si="52"/>
        <v>0</v>
      </c>
      <c r="R95" t="b">
        <f t="shared" si="53"/>
        <v>0</v>
      </c>
      <c r="S95" t="b">
        <f t="shared" si="54"/>
        <v>0</v>
      </c>
      <c r="T95">
        <f t="shared" si="55"/>
        <v>36.19671259802999</v>
      </c>
      <c r="U95">
        <f t="shared" si="56"/>
        <v>36.19671259802999</v>
      </c>
      <c r="V95">
        <f t="shared" si="57"/>
        <v>36.19671259802999</v>
      </c>
      <c r="W95" t="b">
        <f t="shared" si="58"/>
        <v>0</v>
      </c>
      <c r="X95">
        <f t="shared" si="59"/>
        <v>36.19671259802999</v>
      </c>
      <c r="Z95">
        <v>0.60521256141850033</v>
      </c>
      <c r="AA95">
        <v>0.17233802301095613</v>
      </c>
      <c r="AB95">
        <v>0.99566637165440841</v>
      </c>
      <c r="AC95">
        <v>0.34556108279671621</v>
      </c>
      <c r="AD95">
        <v>0.15402691732535784</v>
      </c>
      <c r="AE95">
        <v>0.70052186651203951</v>
      </c>
      <c r="AF95">
        <v>6.2868129520554216E-3</v>
      </c>
      <c r="AG95">
        <v>0.17062898648030031</v>
      </c>
      <c r="AH95">
        <v>0.18018127994628744</v>
      </c>
      <c r="AI95">
        <v>0.90118106631672112</v>
      </c>
      <c r="AJ95">
        <v>0.35392315439313943</v>
      </c>
      <c r="AK95">
        <v>7.2450941496017329E-2</v>
      </c>
      <c r="AL95">
        <v>0.8520462660603656</v>
      </c>
      <c r="AM95">
        <v>0.61934263130588707</v>
      </c>
      <c r="AN95">
        <v>0.76473281044953767</v>
      </c>
      <c r="AO95">
        <v>0.19125949888607441</v>
      </c>
      <c r="AP95">
        <v>0.20969267860957672</v>
      </c>
      <c r="AQ95">
        <v>0.10150456251716666</v>
      </c>
      <c r="AR95">
        <v>0.56080813013092445</v>
      </c>
      <c r="AS95">
        <v>0.35032197027497175</v>
      </c>
    </row>
    <row r="96" spans="1:45">
      <c r="A96">
        <v>94</v>
      </c>
      <c r="B96">
        <v>54.268974862497998</v>
      </c>
      <c r="E96">
        <f t="shared" si="40"/>
        <v>54.268974862497998</v>
      </c>
      <c r="F96">
        <f t="shared" si="41"/>
        <v>54.268974862497998</v>
      </c>
      <c r="G96">
        <f t="shared" si="42"/>
        <v>54.268974862497998</v>
      </c>
      <c r="H96" t="b">
        <f t="shared" si="43"/>
        <v>0</v>
      </c>
      <c r="I96" t="b">
        <f t="shared" si="44"/>
        <v>0</v>
      </c>
      <c r="J96" t="b">
        <f t="shared" si="45"/>
        <v>0</v>
      </c>
      <c r="K96" t="b">
        <f t="shared" si="46"/>
        <v>0</v>
      </c>
      <c r="L96" t="b">
        <f t="shared" si="47"/>
        <v>0</v>
      </c>
      <c r="M96" t="b">
        <f t="shared" si="48"/>
        <v>0</v>
      </c>
      <c r="N96">
        <f t="shared" si="49"/>
        <v>54.268974862497998</v>
      </c>
      <c r="O96">
        <f t="shared" si="50"/>
        <v>54.268974862497998</v>
      </c>
      <c r="P96" t="b">
        <f t="shared" si="51"/>
        <v>0</v>
      </c>
      <c r="Q96">
        <f t="shared" si="52"/>
        <v>54.268974862497998</v>
      </c>
      <c r="R96" t="b">
        <f t="shared" si="53"/>
        <v>0</v>
      </c>
      <c r="S96" t="b">
        <f t="shared" si="54"/>
        <v>0</v>
      </c>
      <c r="T96" t="b">
        <f t="shared" si="55"/>
        <v>0</v>
      </c>
      <c r="U96" t="b">
        <f t="shared" si="56"/>
        <v>0</v>
      </c>
      <c r="V96" t="b">
        <f t="shared" si="57"/>
        <v>0</v>
      </c>
      <c r="W96" t="b">
        <f t="shared" si="58"/>
        <v>0</v>
      </c>
      <c r="X96" t="b">
        <f t="shared" si="59"/>
        <v>0</v>
      </c>
      <c r="Z96">
        <v>0.217230750450148</v>
      </c>
      <c r="AA96">
        <v>0.14801477095858639</v>
      </c>
      <c r="AB96">
        <v>0.27097384563737908</v>
      </c>
      <c r="AC96">
        <v>0.99935911130100408</v>
      </c>
      <c r="AD96">
        <v>0.49287392803735464</v>
      </c>
      <c r="AE96">
        <v>0.56581316568498796</v>
      </c>
      <c r="AF96">
        <v>0.41825617236854151</v>
      </c>
      <c r="AG96">
        <v>0.95150608844264051</v>
      </c>
      <c r="AH96">
        <v>0.66731772820215463</v>
      </c>
      <c r="AI96">
        <v>0.31095309305093538</v>
      </c>
      <c r="AJ96">
        <v>0.26413769951475569</v>
      </c>
      <c r="AK96">
        <v>0.82158879360332038</v>
      </c>
      <c r="AL96">
        <v>0.31470686971648304</v>
      </c>
      <c r="AM96">
        <v>0.6530655842768639</v>
      </c>
      <c r="AN96">
        <v>0.74294259468367563</v>
      </c>
      <c r="AO96">
        <v>0.98422193060090946</v>
      </c>
      <c r="AP96">
        <v>0.75075533310953091</v>
      </c>
      <c r="AQ96">
        <v>0.4111758781701102</v>
      </c>
      <c r="AR96">
        <v>0.75621814630573447</v>
      </c>
      <c r="AS96">
        <v>0.62257759331034268</v>
      </c>
    </row>
    <row r="97" spans="1:45">
      <c r="A97">
        <v>95</v>
      </c>
      <c r="B97">
        <v>39.96127033024095</v>
      </c>
      <c r="E97">
        <f t="shared" si="40"/>
        <v>39.96127033024095</v>
      </c>
      <c r="F97">
        <f t="shared" si="41"/>
        <v>39.96127033024095</v>
      </c>
      <c r="G97">
        <f t="shared" si="42"/>
        <v>39.96127033024095</v>
      </c>
      <c r="H97">
        <f t="shared" si="43"/>
        <v>39.96127033024095</v>
      </c>
      <c r="I97">
        <f t="shared" si="44"/>
        <v>39.96127033024095</v>
      </c>
      <c r="J97">
        <f t="shared" si="45"/>
        <v>39.96127033024095</v>
      </c>
      <c r="K97" t="b">
        <f t="shared" si="46"/>
        <v>0</v>
      </c>
      <c r="L97" t="b">
        <f t="shared" si="47"/>
        <v>0</v>
      </c>
      <c r="M97" t="b">
        <f t="shared" si="48"/>
        <v>0</v>
      </c>
      <c r="N97">
        <f t="shared" si="49"/>
        <v>39.96127033024095</v>
      </c>
      <c r="O97">
        <f t="shared" si="50"/>
        <v>39.96127033024095</v>
      </c>
      <c r="P97" t="b">
        <f t="shared" si="51"/>
        <v>0</v>
      </c>
      <c r="Q97" t="b">
        <f t="shared" si="52"/>
        <v>0</v>
      </c>
      <c r="R97">
        <f t="shared" si="53"/>
        <v>39.96127033024095</v>
      </c>
      <c r="S97">
        <f t="shared" si="54"/>
        <v>39.96127033024095</v>
      </c>
      <c r="T97">
        <f t="shared" si="55"/>
        <v>39.96127033024095</v>
      </c>
      <c r="U97" t="b">
        <f t="shared" si="56"/>
        <v>0</v>
      </c>
      <c r="V97" t="b">
        <f t="shared" si="57"/>
        <v>0</v>
      </c>
      <c r="W97">
        <f t="shared" si="58"/>
        <v>39.96127033024095</v>
      </c>
      <c r="X97" t="b">
        <f t="shared" si="59"/>
        <v>0</v>
      </c>
      <c r="Z97">
        <v>0.29349650563066498</v>
      </c>
      <c r="AA97">
        <v>0.24561296426282542</v>
      </c>
      <c r="AB97">
        <v>0.26941740165410322</v>
      </c>
      <c r="AC97">
        <v>0.31879634998626666</v>
      </c>
      <c r="AD97">
        <v>2.4842066713461716E-2</v>
      </c>
      <c r="AE97">
        <v>0.19510483108005006</v>
      </c>
      <c r="AF97">
        <v>0.76567888424329356</v>
      </c>
      <c r="AG97">
        <v>0.46958830530716877</v>
      </c>
      <c r="AH97">
        <v>0.63222144230475785</v>
      </c>
      <c r="AI97">
        <v>0.25830866420484022</v>
      </c>
      <c r="AJ97">
        <v>0.17795342875453962</v>
      </c>
      <c r="AK97">
        <v>0.97158726767784664</v>
      </c>
      <c r="AL97">
        <v>0.94146549882503738</v>
      </c>
      <c r="AM97">
        <v>0.28955961790826135</v>
      </c>
      <c r="AN97">
        <v>4.1810357982116152E-2</v>
      </c>
      <c r="AO97">
        <v>0.18570513016144291</v>
      </c>
      <c r="AP97">
        <v>0.68047120578630937</v>
      </c>
      <c r="AQ97">
        <v>0.53184606463820305</v>
      </c>
      <c r="AR97">
        <v>0.12671285134434035</v>
      </c>
      <c r="AS97">
        <v>0.9277626880703147</v>
      </c>
    </row>
    <row r="98" spans="1:45">
      <c r="A98">
        <v>96</v>
      </c>
      <c r="B98">
        <v>44.027197064715402</v>
      </c>
      <c r="E98" t="b">
        <f t="shared" si="40"/>
        <v>0</v>
      </c>
      <c r="F98" t="b">
        <f t="shared" si="41"/>
        <v>0</v>
      </c>
      <c r="G98" t="b">
        <f t="shared" si="42"/>
        <v>0</v>
      </c>
      <c r="H98" t="b">
        <f t="shared" si="43"/>
        <v>0</v>
      </c>
      <c r="I98" t="b">
        <f t="shared" si="44"/>
        <v>0</v>
      </c>
      <c r="J98" t="b">
        <f t="shared" si="45"/>
        <v>0</v>
      </c>
      <c r="K98" t="b">
        <f t="shared" si="46"/>
        <v>0</v>
      </c>
      <c r="L98">
        <f t="shared" si="47"/>
        <v>44.027197064715402</v>
      </c>
      <c r="M98">
        <f t="shared" si="48"/>
        <v>44.027197064715402</v>
      </c>
      <c r="N98" t="b">
        <f t="shared" si="49"/>
        <v>0</v>
      </c>
      <c r="O98">
        <f t="shared" si="50"/>
        <v>44.027197064715402</v>
      </c>
      <c r="P98" t="b">
        <f t="shared" si="51"/>
        <v>0</v>
      </c>
      <c r="Q98" t="b">
        <f t="shared" si="52"/>
        <v>0</v>
      </c>
      <c r="R98" t="b">
        <f t="shared" si="53"/>
        <v>0</v>
      </c>
      <c r="S98" t="b">
        <f t="shared" si="54"/>
        <v>0</v>
      </c>
      <c r="T98" t="b">
        <f t="shared" si="55"/>
        <v>0</v>
      </c>
      <c r="U98">
        <f t="shared" si="56"/>
        <v>44.027197064715402</v>
      </c>
      <c r="V98" t="b">
        <f t="shared" si="57"/>
        <v>0</v>
      </c>
      <c r="W98" t="b">
        <f t="shared" si="58"/>
        <v>0</v>
      </c>
      <c r="X98">
        <f t="shared" si="59"/>
        <v>44.027197064715402</v>
      </c>
      <c r="Z98">
        <v>0.72688985869930112</v>
      </c>
      <c r="AA98">
        <v>0.71361430707724238</v>
      </c>
      <c r="AB98">
        <v>0.77694021423993653</v>
      </c>
      <c r="AC98">
        <v>0.41459395123142184</v>
      </c>
      <c r="AD98">
        <v>0.8247932370983001</v>
      </c>
      <c r="AE98">
        <v>0.70607623523667107</v>
      </c>
      <c r="AF98">
        <v>0.9820856349375896</v>
      </c>
      <c r="AG98">
        <v>0.12836085085604418</v>
      </c>
      <c r="AH98">
        <v>6.5034943693350014E-2</v>
      </c>
      <c r="AI98">
        <v>0.73308511612292859</v>
      </c>
      <c r="AJ98">
        <v>0.16959135715811641</v>
      </c>
      <c r="AK98">
        <v>0.8036133915219581</v>
      </c>
      <c r="AL98">
        <v>0.43955809198278756</v>
      </c>
      <c r="AM98">
        <v>0.56773583178197573</v>
      </c>
      <c r="AN98">
        <v>0.62520218512527848</v>
      </c>
      <c r="AO98">
        <v>0.97598193304239023</v>
      </c>
      <c r="AP98">
        <v>0.30689413129062776</v>
      </c>
      <c r="AQ98">
        <v>0.80645161290322576</v>
      </c>
      <c r="AR98">
        <v>0.40461439863277077</v>
      </c>
      <c r="AS98">
        <v>9.8422193060090951E-2</v>
      </c>
    </row>
    <row r="99" spans="1:45">
      <c r="A99">
        <v>97</v>
      </c>
      <c r="B99">
        <v>44.4287389755482</v>
      </c>
      <c r="E99" t="b">
        <f t="shared" si="40"/>
        <v>0</v>
      </c>
      <c r="F99" t="b">
        <f t="shared" si="41"/>
        <v>0</v>
      </c>
      <c r="G99">
        <f t="shared" si="42"/>
        <v>44.4287389755482</v>
      </c>
      <c r="H99">
        <f t="shared" si="43"/>
        <v>44.4287389755482</v>
      </c>
      <c r="I99">
        <f t="shared" si="44"/>
        <v>44.4287389755482</v>
      </c>
      <c r="J99">
        <f t="shared" si="45"/>
        <v>44.4287389755482</v>
      </c>
      <c r="K99" t="b">
        <f t="shared" si="46"/>
        <v>0</v>
      </c>
      <c r="L99" t="b">
        <f t="shared" si="47"/>
        <v>0</v>
      </c>
      <c r="M99">
        <f t="shared" si="48"/>
        <v>44.4287389755482</v>
      </c>
      <c r="N99" t="b">
        <f t="shared" si="49"/>
        <v>0</v>
      </c>
      <c r="O99" t="b">
        <f t="shared" si="50"/>
        <v>0</v>
      </c>
      <c r="P99" t="b">
        <f t="shared" si="51"/>
        <v>0</v>
      </c>
      <c r="Q99">
        <f t="shared" si="52"/>
        <v>44.4287389755482</v>
      </c>
      <c r="R99" t="b">
        <f t="shared" si="53"/>
        <v>0</v>
      </c>
      <c r="S99" t="b">
        <f t="shared" si="54"/>
        <v>0</v>
      </c>
      <c r="T99" t="b">
        <f t="shared" si="55"/>
        <v>0</v>
      </c>
      <c r="U99" t="b">
        <f t="shared" si="56"/>
        <v>0</v>
      </c>
      <c r="V99">
        <f t="shared" si="57"/>
        <v>44.4287389755482</v>
      </c>
      <c r="W99" t="b">
        <f t="shared" si="58"/>
        <v>0</v>
      </c>
      <c r="X99" t="b">
        <f t="shared" si="59"/>
        <v>0</v>
      </c>
      <c r="Z99">
        <v>0.97979674672688988</v>
      </c>
      <c r="AA99">
        <v>0.93218787194433428</v>
      </c>
      <c r="AB99">
        <v>0.163060396130253</v>
      </c>
      <c r="AC99">
        <v>0.20966216010010072</v>
      </c>
      <c r="AD99">
        <v>0.34180730613116855</v>
      </c>
      <c r="AE99">
        <v>0.16025269325846125</v>
      </c>
      <c r="AF99">
        <v>0.46812341685232095</v>
      </c>
      <c r="AG99">
        <v>0.53160191656239508</v>
      </c>
      <c r="AH99">
        <v>4.925687429425947E-2</v>
      </c>
      <c r="AI99">
        <v>0.86367381817072053</v>
      </c>
      <c r="AJ99">
        <v>0.71562852870265814</v>
      </c>
      <c r="AK99">
        <v>0.77730643635364849</v>
      </c>
      <c r="AL99">
        <v>0.3247779778435621</v>
      </c>
      <c r="AM99">
        <v>0.56825464644306767</v>
      </c>
      <c r="AN99">
        <v>0.4294564653462325</v>
      </c>
      <c r="AO99">
        <v>0.82247383037812438</v>
      </c>
      <c r="AP99">
        <v>0.95928830835901979</v>
      </c>
      <c r="AQ99">
        <v>0.36460463270973847</v>
      </c>
      <c r="AR99">
        <v>0.91186254463332006</v>
      </c>
      <c r="AS99">
        <v>0.84899441511276585</v>
      </c>
    </row>
    <row r="100" spans="1:45">
      <c r="A100">
        <v>98</v>
      </c>
      <c r="B100">
        <v>34.1155010674265</v>
      </c>
      <c r="E100">
        <f t="shared" si="40"/>
        <v>34.1155010674265</v>
      </c>
      <c r="F100" t="b">
        <f t="shared" si="41"/>
        <v>0</v>
      </c>
      <c r="G100">
        <f t="shared" si="42"/>
        <v>34.1155010674265</v>
      </c>
      <c r="H100" t="b">
        <f t="shared" si="43"/>
        <v>0</v>
      </c>
      <c r="I100" t="b">
        <f t="shared" si="44"/>
        <v>0</v>
      </c>
      <c r="J100" t="b">
        <f t="shared" si="45"/>
        <v>0</v>
      </c>
      <c r="K100">
        <f t="shared" si="46"/>
        <v>34.1155010674265</v>
      </c>
      <c r="L100" t="b">
        <f t="shared" si="47"/>
        <v>0</v>
      </c>
      <c r="M100" t="b">
        <f t="shared" si="48"/>
        <v>0</v>
      </c>
      <c r="N100" t="b">
        <f t="shared" si="49"/>
        <v>0</v>
      </c>
      <c r="O100">
        <f t="shared" si="50"/>
        <v>34.1155010674265</v>
      </c>
      <c r="P100" t="b">
        <f t="shared" si="51"/>
        <v>0</v>
      </c>
      <c r="Q100" t="b">
        <f t="shared" si="52"/>
        <v>0</v>
      </c>
      <c r="R100" t="b">
        <f t="shared" si="53"/>
        <v>0</v>
      </c>
      <c r="S100" t="b">
        <f t="shared" si="54"/>
        <v>0</v>
      </c>
      <c r="T100">
        <f t="shared" si="55"/>
        <v>34.1155010674265</v>
      </c>
      <c r="U100" t="b">
        <f t="shared" si="56"/>
        <v>0</v>
      </c>
      <c r="V100">
        <f t="shared" si="57"/>
        <v>34.1155010674265</v>
      </c>
      <c r="W100" t="b">
        <f t="shared" si="58"/>
        <v>0</v>
      </c>
      <c r="X100">
        <f t="shared" si="59"/>
        <v>34.1155010674265</v>
      </c>
      <c r="Z100">
        <v>0.34321115756706444</v>
      </c>
      <c r="AA100">
        <v>0.56178472243415634</v>
      </c>
      <c r="AB100">
        <v>0.1585436567278054</v>
      </c>
      <c r="AC100">
        <v>0.43836787011322365</v>
      </c>
      <c r="AD100">
        <v>0.4056215094454787</v>
      </c>
      <c r="AE100">
        <v>0.53270058290353095</v>
      </c>
      <c r="AF100">
        <v>0.21872615741447188</v>
      </c>
      <c r="AG100">
        <v>0.99737540818506421</v>
      </c>
      <c r="AH100">
        <v>0.53547776726584673</v>
      </c>
      <c r="AI100">
        <v>0.6461989196447645</v>
      </c>
      <c r="AJ100">
        <v>0.19489120151371808</v>
      </c>
      <c r="AK100">
        <v>0.50315866573076573</v>
      </c>
      <c r="AL100">
        <v>0.58687093722342598</v>
      </c>
      <c r="AM100">
        <v>0.67113254188665428</v>
      </c>
      <c r="AN100">
        <v>0.82964568010498363</v>
      </c>
      <c r="AO100">
        <v>0.36787011322367014</v>
      </c>
      <c r="AP100">
        <v>0.46916104617450483</v>
      </c>
      <c r="AQ100">
        <v>0.24530777916806543</v>
      </c>
      <c r="AR100">
        <v>0.49259926145207067</v>
      </c>
      <c r="AS100">
        <v>7.5777459028901026E-2</v>
      </c>
    </row>
    <row r="101" spans="1:45">
      <c r="A101">
        <v>99</v>
      </c>
      <c r="B101">
        <v>38.862699612800498</v>
      </c>
      <c r="E101" t="b">
        <f t="shared" si="40"/>
        <v>0</v>
      </c>
      <c r="F101">
        <f t="shared" si="41"/>
        <v>38.862699612800498</v>
      </c>
      <c r="G101">
        <f t="shared" si="42"/>
        <v>38.862699612800498</v>
      </c>
      <c r="H101">
        <f t="shared" si="43"/>
        <v>38.862699612800498</v>
      </c>
      <c r="I101">
        <f t="shared" si="44"/>
        <v>38.862699612800498</v>
      </c>
      <c r="J101">
        <f t="shared" si="45"/>
        <v>38.862699612800498</v>
      </c>
      <c r="K101">
        <f t="shared" si="46"/>
        <v>38.862699612800498</v>
      </c>
      <c r="L101">
        <f t="shared" si="47"/>
        <v>38.862699612800498</v>
      </c>
      <c r="M101" t="b">
        <f t="shared" si="48"/>
        <v>0</v>
      </c>
      <c r="N101" t="b">
        <f t="shared" si="49"/>
        <v>0</v>
      </c>
      <c r="O101" t="b">
        <f t="shared" si="50"/>
        <v>0</v>
      </c>
      <c r="P101">
        <f t="shared" si="51"/>
        <v>38.862699612800498</v>
      </c>
      <c r="Q101" t="b">
        <f t="shared" si="52"/>
        <v>0</v>
      </c>
      <c r="R101" t="b">
        <f t="shared" si="53"/>
        <v>0</v>
      </c>
      <c r="S101" t="b">
        <f t="shared" si="54"/>
        <v>0</v>
      </c>
      <c r="T101" t="b">
        <f t="shared" si="55"/>
        <v>0</v>
      </c>
      <c r="U101">
        <f t="shared" si="56"/>
        <v>38.862699612800498</v>
      </c>
      <c r="V101">
        <f t="shared" si="57"/>
        <v>38.862699612800498</v>
      </c>
      <c r="W101" t="b">
        <f t="shared" si="58"/>
        <v>0</v>
      </c>
      <c r="X101">
        <f t="shared" si="59"/>
        <v>38.862699612800498</v>
      </c>
      <c r="Z101">
        <v>0.59739982299264505</v>
      </c>
      <c r="AA101">
        <v>1.8372142704550311E-2</v>
      </c>
      <c r="AB101">
        <v>5.8046205023346661E-2</v>
      </c>
      <c r="AC101">
        <v>0.15167699209570604</v>
      </c>
      <c r="AD101">
        <v>0.37098300119022187</v>
      </c>
      <c r="AE101">
        <v>0.29798272652363661</v>
      </c>
      <c r="AF101">
        <v>5.9511093478194525E-3</v>
      </c>
      <c r="AG101">
        <v>0.18420972319711906</v>
      </c>
      <c r="AH101">
        <v>0.93575853755302596</v>
      </c>
      <c r="AI101">
        <v>0.74376659443952753</v>
      </c>
      <c r="AJ101">
        <v>0.69441816461684014</v>
      </c>
      <c r="AK101">
        <v>0.20410779137546922</v>
      </c>
      <c r="AL101">
        <v>0.66762291329691459</v>
      </c>
      <c r="AM101">
        <v>0.53138828699606311</v>
      </c>
      <c r="AN101">
        <v>0.98138370921964169</v>
      </c>
      <c r="AO101">
        <v>0.59489730521561324</v>
      </c>
      <c r="AP101">
        <v>0.10153508102664266</v>
      </c>
      <c r="AQ101">
        <v>0.32654805139316995</v>
      </c>
      <c r="AR101">
        <v>0.55674916837061683</v>
      </c>
      <c r="AS101">
        <v>0.23026215399639882</v>
      </c>
    </row>
    <row r="102" spans="1:45">
      <c r="A102">
        <v>100</v>
      </c>
      <c r="B102">
        <v>40.117758140113786</v>
      </c>
      <c r="E102" t="b">
        <f t="shared" si="40"/>
        <v>0</v>
      </c>
      <c r="F102">
        <f t="shared" si="41"/>
        <v>40.117758140113786</v>
      </c>
      <c r="G102" t="b">
        <f t="shared" si="42"/>
        <v>0</v>
      </c>
      <c r="H102">
        <f t="shared" si="43"/>
        <v>40.117758140113786</v>
      </c>
      <c r="I102" t="b">
        <f t="shared" si="44"/>
        <v>0</v>
      </c>
      <c r="J102" t="b">
        <f t="shared" si="45"/>
        <v>0</v>
      </c>
      <c r="K102">
        <f t="shared" si="46"/>
        <v>40.117758140113786</v>
      </c>
      <c r="L102" t="b">
        <f t="shared" si="47"/>
        <v>0</v>
      </c>
      <c r="M102">
        <f t="shared" si="48"/>
        <v>40.117758140113786</v>
      </c>
      <c r="N102" t="b">
        <f t="shared" si="49"/>
        <v>0</v>
      </c>
      <c r="O102">
        <f t="shared" si="50"/>
        <v>40.117758140113786</v>
      </c>
      <c r="P102">
        <f t="shared" si="51"/>
        <v>40.117758140113786</v>
      </c>
      <c r="Q102" t="b">
        <f t="shared" si="52"/>
        <v>0</v>
      </c>
      <c r="R102" t="b">
        <f t="shared" si="53"/>
        <v>0</v>
      </c>
      <c r="S102" t="b">
        <f t="shared" si="54"/>
        <v>0</v>
      </c>
      <c r="T102" t="b">
        <f t="shared" si="55"/>
        <v>0</v>
      </c>
      <c r="U102" t="b">
        <f t="shared" si="56"/>
        <v>0</v>
      </c>
      <c r="V102" t="b">
        <f t="shared" si="57"/>
        <v>0</v>
      </c>
      <c r="W102">
        <f t="shared" si="58"/>
        <v>40.117758140113786</v>
      </c>
      <c r="X102" t="b">
        <f t="shared" si="59"/>
        <v>0</v>
      </c>
      <c r="Z102">
        <v>0.86788537247840813</v>
      </c>
      <c r="AA102">
        <v>0.14340647602771081</v>
      </c>
      <c r="AB102">
        <v>0.99551377910702843</v>
      </c>
      <c r="AC102">
        <v>3.5493026520584732E-2</v>
      </c>
      <c r="AD102">
        <v>0.72981963560899688</v>
      </c>
      <c r="AE102">
        <v>0.89486373485518966</v>
      </c>
      <c r="AF102">
        <v>8.2979827265236367E-2</v>
      </c>
      <c r="AG102">
        <v>0.68700216681417281</v>
      </c>
      <c r="AH102">
        <v>0.2150944547868282</v>
      </c>
      <c r="AI102">
        <v>0.5748466444898831</v>
      </c>
      <c r="AJ102">
        <v>0.37867366557817317</v>
      </c>
      <c r="AK102">
        <v>0.14267403180028687</v>
      </c>
      <c r="AL102">
        <v>0.57423627430036317</v>
      </c>
      <c r="AM102">
        <v>0.55577257606738484</v>
      </c>
      <c r="AN102">
        <v>0.94222846156193729</v>
      </c>
      <c r="AO102">
        <v>0.81066316721091347</v>
      </c>
      <c r="AP102">
        <v>0.55906857509079255</v>
      </c>
      <c r="AQ102">
        <v>0.44145023957029939</v>
      </c>
      <c r="AR102">
        <v>0.34446241645558029</v>
      </c>
      <c r="AS102">
        <v>0.68568987090670497</v>
      </c>
    </row>
    <row r="104" spans="1:45">
      <c r="A104" t="s">
        <v>378</v>
      </c>
      <c r="B104">
        <f>AVERAGE(B3:B102)</f>
        <v>50</v>
      </c>
      <c r="D104" t="s">
        <v>377</v>
      </c>
      <c r="E104">
        <f t="shared" ref="E104:X104" si="60">AVERAGE(E3:E102)</f>
        <v>49.356184492502805</v>
      </c>
      <c r="F104">
        <f t="shared" si="60"/>
        <v>50.584951094086549</v>
      </c>
      <c r="G104">
        <f t="shared" si="60"/>
        <v>49.861292067975491</v>
      </c>
      <c r="H104">
        <f t="shared" si="60"/>
        <v>51.193322099564334</v>
      </c>
      <c r="I104">
        <f t="shared" si="60"/>
        <v>48.609344734852328</v>
      </c>
      <c r="J104">
        <f t="shared" si="60"/>
        <v>48.660291592802047</v>
      </c>
      <c r="K104">
        <f t="shared" si="60"/>
        <v>50.528719162408997</v>
      </c>
      <c r="L104">
        <f t="shared" si="60"/>
        <v>51.724683147402217</v>
      </c>
      <c r="M104">
        <f t="shared" si="60"/>
        <v>49.296217307516308</v>
      </c>
      <c r="N104">
        <f t="shared" si="60"/>
        <v>51.565224136604229</v>
      </c>
      <c r="O104">
        <f t="shared" si="60"/>
        <v>48.587668387060013</v>
      </c>
      <c r="P104">
        <f t="shared" si="60"/>
        <v>49.056057710427567</v>
      </c>
      <c r="Q104">
        <f t="shared" si="60"/>
        <v>50.958596564343445</v>
      </c>
      <c r="R104">
        <f t="shared" si="60"/>
        <v>51.241733038243019</v>
      </c>
      <c r="S104">
        <f t="shared" si="60"/>
        <v>49.57740062494188</v>
      </c>
      <c r="T104">
        <f t="shared" si="60"/>
        <v>49.549049474503299</v>
      </c>
      <c r="U104">
        <f t="shared" si="60"/>
        <v>48.992163428166855</v>
      </c>
      <c r="V104">
        <f t="shared" si="60"/>
        <v>49.277198058837151</v>
      </c>
      <c r="W104">
        <f t="shared" si="60"/>
        <v>47.850134122898069</v>
      </c>
      <c r="X104">
        <f t="shared" si="60"/>
        <v>46.592621974052385</v>
      </c>
    </row>
    <row r="105" spans="1:45">
      <c r="A105" t="s">
        <v>376</v>
      </c>
      <c r="B105">
        <f>STDEV(B3:B102)</f>
        <v>11.316110354320493</v>
      </c>
      <c r="D105" t="s">
        <v>375</v>
      </c>
      <c r="E105">
        <f t="shared" ref="E105:X105" si="61">INT(E104)</f>
        <v>49</v>
      </c>
      <c r="F105">
        <f t="shared" si="61"/>
        <v>50</v>
      </c>
      <c r="G105">
        <f t="shared" si="61"/>
        <v>49</v>
      </c>
      <c r="H105">
        <f t="shared" si="61"/>
        <v>51</v>
      </c>
      <c r="I105">
        <f t="shared" si="61"/>
        <v>48</v>
      </c>
      <c r="J105">
        <f t="shared" si="61"/>
        <v>48</v>
      </c>
      <c r="K105">
        <f t="shared" si="61"/>
        <v>50</v>
      </c>
      <c r="L105">
        <f t="shared" si="61"/>
        <v>51</v>
      </c>
      <c r="M105">
        <f t="shared" si="61"/>
        <v>49</v>
      </c>
      <c r="N105">
        <f t="shared" si="61"/>
        <v>51</v>
      </c>
      <c r="O105">
        <f t="shared" si="61"/>
        <v>48</v>
      </c>
      <c r="P105">
        <f t="shared" si="61"/>
        <v>49</v>
      </c>
      <c r="Q105">
        <f t="shared" si="61"/>
        <v>50</v>
      </c>
      <c r="R105">
        <f t="shared" si="61"/>
        <v>51</v>
      </c>
      <c r="S105">
        <f t="shared" si="61"/>
        <v>49</v>
      </c>
      <c r="T105">
        <f t="shared" si="61"/>
        <v>49</v>
      </c>
      <c r="U105">
        <f t="shared" si="61"/>
        <v>48</v>
      </c>
      <c r="V105">
        <f t="shared" si="61"/>
        <v>49</v>
      </c>
      <c r="W105">
        <f t="shared" si="61"/>
        <v>47</v>
      </c>
      <c r="X105">
        <f t="shared" si="61"/>
        <v>46</v>
      </c>
    </row>
    <row r="107" spans="1:45">
      <c r="C107" t="s">
        <v>374</v>
      </c>
      <c r="D107" t="s">
        <v>373</v>
      </c>
      <c r="E107" t="s">
        <v>372</v>
      </c>
    </row>
    <row r="108" spans="1:45">
      <c r="D108">
        <v>40</v>
      </c>
      <c r="E108">
        <f t="shared" ref="E108:E128" si="62">COUNTIF($E$105:$X$105,D108)</f>
        <v>0</v>
      </c>
    </row>
    <row r="109" spans="1:45">
      <c r="D109">
        <v>41</v>
      </c>
      <c r="E109">
        <f t="shared" si="62"/>
        <v>0</v>
      </c>
    </row>
    <row r="110" spans="1:45">
      <c r="D110">
        <v>42</v>
      </c>
      <c r="E110">
        <f t="shared" si="62"/>
        <v>0</v>
      </c>
    </row>
    <row r="111" spans="1:45">
      <c r="D111">
        <v>43</v>
      </c>
      <c r="E111">
        <f t="shared" si="62"/>
        <v>0</v>
      </c>
    </row>
    <row r="112" spans="1:45">
      <c r="D112">
        <v>44</v>
      </c>
      <c r="E112">
        <f t="shared" si="62"/>
        <v>0</v>
      </c>
    </row>
    <row r="113" spans="4:5">
      <c r="D113">
        <v>45</v>
      </c>
      <c r="E113">
        <f t="shared" si="62"/>
        <v>0</v>
      </c>
    </row>
    <row r="114" spans="4:5">
      <c r="D114">
        <v>46</v>
      </c>
      <c r="E114">
        <f t="shared" si="62"/>
        <v>1</v>
      </c>
    </row>
    <row r="115" spans="4:5">
      <c r="D115">
        <v>47</v>
      </c>
      <c r="E115">
        <f t="shared" si="62"/>
        <v>1</v>
      </c>
    </row>
    <row r="116" spans="4:5">
      <c r="D116">
        <v>48</v>
      </c>
      <c r="E116">
        <f t="shared" si="62"/>
        <v>4</v>
      </c>
    </row>
    <row r="117" spans="4:5">
      <c r="D117">
        <v>49</v>
      </c>
      <c r="E117">
        <f t="shared" si="62"/>
        <v>7</v>
      </c>
    </row>
    <row r="118" spans="4:5">
      <c r="D118">
        <v>50</v>
      </c>
      <c r="E118">
        <f t="shared" si="62"/>
        <v>3</v>
      </c>
    </row>
    <row r="119" spans="4:5">
      <c r="D119">
        <v>51</v>
      </c>
      <c r="E119">
        <f t="shared" si="62"/>
        <v>4</v>
      </c>
    </row>
    <row r="120" spans="4:5">
      <c r="D120">
        <v>52</v>
      </c>
      <c r="E120">
        <f t="shared" si="62"/>
        <v>0</v>
      </c>
    </row>
    <row r="121" spans="4:5">
      <c r="D121">
        <v>53</v>
      </c>
      <c r="E121">
        <f t="shared" si="62"/>
        <v>0</v>
      </c>
    </row>
    <row r="122" spans="4:5">
      <c r="D122">
        <v>54</v>
      </c>
      <c r="E122">
        <f t="shared" si="62"/>
        <v>0</v>
      </c>
    </row>
    <row r="123" spans="4:5">
      <c r="D123">
        <v>55</v>
      </c>
      <c r="E123">
        <f t="shared" si="62"/>
        <v>0</v>
      </c>
    </row>
    <row r="124" spans="4:5">
      <c r="D124">
        <v>56</v>
      </c>
      <c r="E124">
        <f t="shared" si="62"/>
        <v>0</v>
      </c>
    </row>
    <row r="125" spans="4:5">
      <c r="D125">
        <v>57</v>
      </c>
      <c r="E125">
        <f t="shared" si="62"/>
        <v>0</v>
      </c>
    </row>
    <row r="126" spans="4:5">
      <c r="D126">
        <v>58</v>
      </c>
      <c r="E126">
        <f t="shared" si="62"/>
        <v>0</v>
      </c>
    </row>
    <row r="127" spans="4:5">
      <c r="D127">
        <v>59</v>
      </c>
      <c r="E127">
        <f t="shared" si="62"/>
        <v>0</v>
      </c>
    </row>
    <row r="128" spans="4:5">
      <c r="D128">
        <v>60</v>
      </c>
      <c r="E128">
        <f t="shared" si="62"/>
        <v>0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"/>
  <sheetViews>
    <sheetView workbookViewId="0">
      <selection activeCell="M18" sqref="M18:M21"/>
    </sheetView>
  </sheetViews>
  <sheetFormatPr defaultRowHeight="15"/>
  <cols>
    <col min="2" max="2" width="19.7109375" style="10" bestFit="1" customWidth="1"/>
    <col min="7" max="7" width="13.85546875" bestFit="1" customWidth="1"/>
  </cols>
  <sheetData>
    <row r="1" spans="1:13">
      <c r="C1" s="336" t="s">
        <v>460</v>
      </c>
      <c r="D1" s="336"/>
      <c r="E1" s="336"/>
      <c r="F1" s="336"/>
    </row>
    <row r="2" spans="1:13">
      <c r="B2" s="151" t="s">
        <v>392</v>
      </c>
      <c r="C2" s="150">
        <v>1</v>
      </c>
      <c r="D2" s="150">
        <v>2</v>
      </c>
      <c r="E2" s="150">
        <v>3</v>
      </c>
      <c r="F2" s="150">
        <v>4</v>
      </c>
      <c r="G2" s="10" t="s">
        <v>388</v>
      </c>
    </row>
    <row r="3" spans="1:13">
      <c r="A3" s="337" t="s">
        <v>461</v>
      </c>
      <c r="B3" s="149">
        <v>1</v>
      </c>
      <c r="C3" s="148">
        <v>0</v>
      </c>
      <c r="D3" s="148">
        <v>25</v>
      </c>
      <c r="E3" s="148">
        <v>50</v>
      </c>
      <c r="F3" s="148">
        <v>25</v>
      </c>
      <c r="G3">
        <f>SUM(C3:F3)</f>
        <v>100</v>
      </c>
    </row>
    <row r="4" spans="1:13">
      <c r="A4" s="337"/>
      <c r="B4" s="149">
        <v>2</v>
      </c>
      <c r="C4" s="148">
        <v>25</v>
      </c>
      <c r="D4" s="148">
        <v>0</v>
      </c>
      <c r="E4" s="148">
        <v>150</v>
      </c>
      <c r="F4" s="148">
        <v>75</v>
      </c>
      <c r="G4">
        <f>SUM(C4:F4)</f>
        <v>250</v>
      </c>
    </row>
    <row r="5" spans="1:13">
      <c r="A5" s="337"/>
      <c r="B5" s="149">
        <v>3</v>
      </c>
      <c r="C5" s="148">
        <v>50</v>
      </c>
      <c r="D5" s="148">
        <v>150</v>
      </c>
      <c r="E5" s="148">
        <v>0</v>
      </c>
      <c r="F5" s="148">
        <v>200</v>
      </c>
      <c r="G5">
        <f>SUM(C5:F5)</f>
        <v>400</v>
      </c>
    </row>
    <row r="6" spans="1:13">
      <c r="A6" s="337"/>
      <c r="B6" s="149">
        <v>4</v>
      </c>
      <c r="C6" s="148">
        <v>25</v>
      </c>
      <c r="D6" s="148">
        <v>75</v>
      </c>
      <c r="E6" s="148">
        <v>200</v>
      </c>
      <c r="F6" s="148">
        <v>0</v>
      </c>
      <c r="G6">
        <f>SUM(C6:F6)</f>
        <v>300</v>
      </c>
    </row>
    <row r="7" spans="1:13">
      <c r="B7" s="151" t="s">
        <v>387</v>
      </c>
      <c r="C7" s="98">
        <f>SUM(C3:C6)</f>
        <v>100</v>
      </c>
      <c r="D7" s="98">
        <f>SUM(D3:D6)</f>
        <v>250</v>
      </c>
      <c r="E7" s="98">
        <f>SUM(E3:E6)</f>
        <v>400</v>
      </c>
      <c r="F7" s="98">
        <f>SUM(F3:F6)</f>
        <v>300</v>
      </c>
    </row>
    <row r="8" spans="1:13">
      <c r="B8" s="151"/>
      <c r="C8" s="98"/>
      <c r="D8" s="98"/>
      <c r="E8" s="98"/>
      <c r="F8" s="98"/>
    </row>
    <row r="9" spans="1:13">
      <c r="B9" s="151" t="s">
        <v>391</v>
      </c>
      <c r="C9" s="150">
        <v>1</v>
      </c>
      <c r="D9" s="150">
        <v>2</v>
      </c>
      <c r="E9" s="150">
        <v>3</v>
      </c>
      <c r="F9" s="150">
        <v>4</v>
      </c>
    </row>
    <row r="10" spans="1:13">
      <c r="B10" s="149">
        <v>1</v>
      </c>
      <c r="C10" s="259">
        <f>I11*$I$10</f>
        <v>3.0310767340054885</v>
      </c>
      <c r="D10" s="260">
        <f>J11*$I$10</f>
        <v>7.884718148962973</v>
      </c>
      <c r="E10" s="260">
        <f>K11*$I$10</f>
        <v>1.5967546699749993</v>
      </c>
      <c r="F10" s="261">
        <f>L11*$I$10</f>
        <v>0.92178462550517948</v>
      </c>
      <c r="G10" s="98"/>
      <c r="H10" s="151" t="s">
        <v>390</v>
      </c>
      <c r="I10" s="152">
        <v>1.7410321732221554</v>
      </c>
      <c r="J10" s="152">
        <v>4.5289343025406179</v>
      </c>
      <c r="K10" s="152">
        <v>0.91716616290699693</v>
      </c>
      <c r="L10" s="152">
        <v>0.52946742918663914</v>
      </c>
    </row>
    <row r="11" spans="1:13">
      <c r="B11" s="149">
        <v>2</v>
      </c>
      <c r="C11" s="262">
        <f>I11*$J$10</f>
        <v>7.8847178159059839</v>
      </c>
      <c r="D11" s="263">
        <f>J11*$J$10</f>
        <v>20.51045985245355</v>
      </c>
      <c r="E11" s="263">
        <f>K11*$J$10</f>
        <v>4.1536262849227361</v>
      </c>
      <c r="F11" s="264">
        <f>L11*$J$10</f>
        <v>2.397831627820397</v>
      </c>
      <c r="G11" s="98"/>
      <c r="H11" s="151" t="s">
        <v>389</v>
      </c>
      <c r="I11" s="152">
        <v>1.7409653771049087</v>
      </c>
      <c r="J11" s="152">
        <v>4.5287607375862571</v>
      </c>
      <c r="K11" s="152">
        <v>0.91713105279373475</v>
      </c>
      <c r="L11" s="152">
        <v>0.52944720935237988</v>
      </c>
    </row>
    <row r="12" spans="1:13">
      <c r="B12" s="149">
        <v>3</v>
      </c>
      <c r="C12" s="262">
        <f>I11*$K$10</f>
        <v>1.5967545346732421</v>
      </c>
      <c r="D12" s="263">
        <f>J11*$K$10</f>
        <v>4.1536261084158488</v>
      </c>
      <c r="E12" s="263">
        <f>K11*$K$10</f>
        <v>0.84116156857368407</v>
      </c>
      <c r="F12" s="264">
        <f>L11*$K$10</f>
        <v>0.48559106546353975</v>
      </c>
      <c r="G12" s="98"/>
      <c r="H12" s="98"/>
      <c r="J12" s="256"/>
      <c r="K12" s="256"/>
      <c r="L12" s="256"/>
      <c r="M12" s="193"/>
    </row>
    <row r="13" spans="1:13">
      <c r="B13" s="149">
        <v>4</v>
      </c>
      <c r="C13" s="265">
        <f>I11*$L$10</f>
        <v>0.92178446251868373</v>
      </c>
      <c r="D13" s="266">
        <f>J11*$L$10</f>
        <v>2.397831305131183</v>
      </c>
      <c r="E13" s="266">
        <f>K11*$L$10</f>
        <v>0.48559102074993454</v>
      </c>
      <c r="F13" s="267">
        <f>L11*$L$10</f>
        <v>0.28032505282584491</v>
      </c>
      <c r="G13" s="98"/>
      <c r="H13" s="98"/>
      <c r="J13" s="256"/>
      <c r="K13" s="256"/>
      <c r="L13" s="256"/>
      <c r="M13" s="193"/>
    </row>
    <row r="14" spans="1:13">
      <c r="B14" s="151"/>
      <c r="C14" s="98"/>
      <c r="D14" s="98"/>
      <c r="E14" s="98"/>
      <c r="F14" s="98"/>
      <c r="G14" s="98"/>
      <c r="H14" s="98"/>
      <c r="J14" s="256"/>
      <c r="K14" s="256"/>
      <c r="L14" s="256"/>
      <c r="M14" s="193"/>
    </row>
    <row r="15" spans="1:13">
      <c r="B15" s="151"/>
      <c r="C15" s="98"/>
      <c r="D15" s="98"/>
      <c r="E15" s="98"/>
      <c r="F15" s="98"/>
      <c r="J15" s="193"/>
      <c r="K15" s="193"/>
      <c r="L15" s="193"/>
      <c r="M15" s="193"/>
    </row>
    <row r="16" spans="1:13" ht="15.75" thickBot="1">
      <c r="B16" s="151" t="s">
        <v>315</v>
      </c>
      <c r="C16" s="150">
        <v>1</v>
      </c>
      <c r="D16" s="150">
        <v>2</v>
      </c>
      <c r="E16" s="150">
        <v>3</v>
      </c>
      <c r="F16" s="150">
        <v>4</v>
      </c>
      <c r="G16" s="10" t="s">
        <v>388</v>
      </c>
      <c r="H16" s="10" t="s">
        <v>386</v>
      </c>
      <c r="I16" s="10" t="s">
        <v>384</v>
      </c>
      <c r="J16" s="193"/>
      <c r="K16" s="256"/>
      <c r="L16" s="193"/>
      <c r="M16" s="193"/>
    </row>
    <row r="17" spans="2:15" ht="21">
      <c r="B17" s="149">
        <v>1</v>
      </c>
      <c r="C17" s="257">
        <f t="shared" ref="C17:F20" si="0">C10*C3</f>
        <v>0</v>
      </c>
      <c r="D17" s="257">
        <f t="shared" si="0"/>
        <v>197.11795372407431</v>
      </c>
      <c r="E17" s="257">
        <f t="shared" si="0"/>
        <v>79.837733498749969</v>
      </c>
      <c r="F17" s="257">
        <f t="shared" si="0"/>
        <v>23.044615637629487</v>
      </c>
      <c r="G17">
        <f>SUM(C17:F17)</f>
        <v>300.00030286045376</v>
      </c>
      <c r="H17" s="258">
        <v>300</v>
      </c>
      <c r="I17">
        <f>POWER(G17-H17,2)</f>
        <v>9.1724454450261156E-8</v>
      </c>
      <c r="J17" s="193"/>
      <c r="K17" s="256"/>
      <c r="L17" s="193"/>
      <c r="M17" s="328" t="s">
        <v>80</v>
      </c>
      <c r="N17" s="329"/>
      <c r="O17" s="330"/>
    </row>
    <row r="18" spans="2:15" ht="21">
      <c r="B18" s="149">
        <v>2</v>
      </c>
      <c r="C18" s="257">
        <f t="shared" si="0"/>
        <v>197.11794539764961</v>
      </c>
      <c r="D18" s="257">
        <f t="shared" si="0"/>
        <v>0</v>
      </c>
      <c r="E18" s="257">
        <f t="shared" si="0"/>
        <v>623.04394273841046</v>
      </c>
      <c r="F18" s="257">
        <f t="shared" si="0"/>
        <v>179.83737208652977</v>
      </c>
      <c r="G18">
        <f>SUM(C18:F18)</f>
        <v>999.99926022258978</v>
      </c>
      <c r="H18" s="258">
        <v>1000</v>
      </c>
      <c r="I18">
        <f>POWER(G18-H18,2)</f>
        <v>5.4727061666789984E-7</v>
      </c>
      <c r="J18" s="193"/>
      <c r="K18" s="256"/>
      <c r="L18" s="193"/>
      <c r="M18" s="33"/>
      <c r="N18" s="34" t="s">
        <v>84</v>
      </c>
      <c r="O18" s="35"/>
    </row>
    <row r="19" spans="2:15" ht="15.75">
      <c r="B19" s="149">
        <v>3</v>
      </c>
      <c r="C19" s="257">
        <f t="shared" si="0"/>
        <v>79.837726733662109</v>
      </c>
      <c r="D19" s="257">
        <f t="shared" si="0"/>
        <v>623.04391626237737</v>
      </c>
      <c r="E19" s="257">
        <f t="shared" si="0"/>
        <v>0</v>
      </c>
      <c r="F19" s="257">
        <f t="shared" si="0"/>
        <v>97.118213092707947</v>
      </c>
      <c r="G19">
        <f>SUM(C19:F19)</f>
        <v>799.99985608874738</v>
      </c>
      <c r="H19" s="258">
        <v>800</v>
      </c>
      <c r="I19">
        <f>POWER(G19-H19,2)</f>
        <v>2.0710448631050288E-8</v>
      </c>
      <c r="J19" s="193"/>
      <c r="K19" s="193"/>
      <c r="L19" s="193"/>
      <c r="M19" s="37"/>
      <c r="N19" s="331" t="s">
        <v>86</v>
      </c>
      <c r="O19" s="332"/>
    </row>
    <row r="20" spans="2:15" ht="15.75">
      <c r="B20" s="149">
        <v>4</v>
      </c>
      <c r="C20" s="257">
        <f t="shared" si="0"/>
        <v>23.044611562967095</v>
      </c>
      <c r="D20" s="257">
        <f t="shared" si="0"/>
        <v>179.83734788483872</v>
      </c>
      <c r="E20" s="257">
        <f t="shared" si="0"/>
        <v>97.118204149986909</v>
      </c>
      <c r="F20" s="257">
        <f t="shared" si="0"/>
        <v>0</v>
      </c>
      <c r="G20">
        <f>SUM(C20:F20)</f>
        <v>300.00016359779272</v>
      </c>
      <c r="H20" s="258">
        <v>300</v>
      </c>
      <c r="I20">
        <f>POWER(G20-H20,2)</f>
        <v>2.6764237783115623E-8</v>
      </c>
      <c r="J20" s="193"/>
      <c r="K20" s="193"/>
      <c r="L20" s="193"/>
      <c r="M20" s="38"/>
      <c r="N20" s="39" t="s">
        <v>89</v>
      </c>
      <c r="O20" s="40"/>
    </row>
    <row r="21" spans="2:15" ht="15.75" thickBot="1">
      <c r="B21" s="10" t="s">
        <v>387</v>
      </c>
      <c r="C21">
        <f t="shared" ref="C21:H21" si="1">SUM(C17:C20)</f>
        <v>300.00028369427878</v>
      </c>
      <c r="D21">
        <f t="shared" si="1"/>
        <v>999.99921787129028</v>
      </c>
      <c r="E21">
        <f t="shared" si="1"/>
        <v>799.99988038714741</v>
      </c>
      <c r="F21">
        <f t="shared" si="1"/>
        <v>300.00020081686716</v>
      </c>
      <c r="G21">
        <f t="shared" si="1"/>
        <v>2399.9995827695839</v>
      </c>
      <c r="H21">
        <f t="shared" si="1"/>
        <v>2400</v>
      </c>
      <c r="J21" s="193"/>
      <c r="K21" s="193"/>
      <c r="L21" s="193"/>
      <c r="M21" s="41"/>
      <c r="N21" s="313" t="s">
        <v>92</v>
      </c>
      <c r="O21" s="314"/>
    </row>
    <row r="22" spans="2:15" ht="15.75">
      <c r="B22" s="10" t="s">
        <v>386</v>
      </c>
      <c r="C22" s="258">
        <v>300</v>
      </c>
      <c r="D22" s="258">
        <v>1000</v>
      </c>
      <c r="E22" s="258">
        <v>800</v>
      </c>
      <c r="F22" s="258">
        <v>300</v>
      </c>
      <c r="H22" t="s">
        <v>385</v>
      </c>
      <c r="J22" s="193"/>
      <c r="K22" s="193"/>
      <c r="L22" s="193"/>
      <c r="M22" s="193"/>
    </row>
    <row r="23" spans="2:15">
      <c r="B23" s="10" t="s">
        <v>384</v>
      </c>
      <c r="C23">
        <f>POWER(C21-C22,2)</f>
        <v>8.0482443811402028E-8</v>
      </c>
      <c r="D23">
        <f>POWER(D21-D22,2)</f>
        <v>6.1172531856175643E-7</v>
      </c>
      <c r="E23">
        <f>POWER(E21-E22,2)</f>
        <v>1.4307234503811604E-8</v>
      </c>
      <c r="F23">
        <f>POWER(F21-F22,2)</f>
        <v>4.0327414137429779E-8</v>
      </c>
      <c r="I23" s="147">
        <f>SUM(I17:I20)+SUM(C23:F23)</f>
        <v>1.4333121685467267E-6</v>
      </c>
    </row>
  </sheetData>
  <mergeCells count="5">
    <mergeCell ref="C1:F1"/>
    <mergeCell ref="A3:A6"/>
    <mergeCell ref="M17:O17"/>
    <mergeCell ref="N19:O19"/>
    <mergeCell ref="N21:O21"/>
  </mergeCells>
  <pageMargins left="0.7" right="0.7" top="0.75" bottom="0.75" header="0.3" footer="0.3"/>
  <customProperties>
    <customPr name="DVSECTIONID" r:id="rId1"/>
  </customPropertie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B2:R46"/>
  <sheetViews>
    <sheetView topLeftCell="A10" workbookViewId="0">
      <selection activeCell="G32" sqref="G32"/>
    </sheetView>
  </sheetViews>
  <sheetFormatPr defaultRowHeight="15"/>
  <cols>
    <col min="3" max="3" width="10.85546875" customWidth="1"/>
    <col min="4" max="4" width="13.28515625" customWidth="1"/>
    <col min="5" max="5" width="11.85546875" bestFit="1" customWidth="1"/>
    <col min="6" max="6" width="18.7109375" bestFit="1" customWidth="1"/>
    <col min="7" max="7" width="19" customWidth="1"/>
    <col min="8" max="8" width="13.28515625" customWidth="1"/>
    <col min="9" max="10" width="10" customWidth="1"/>
    <col min="11" max="11" width="12.7109375" customWidth="1"/>
    <col min="12" max="12" width="11.140625" customWidth="1"/>
    <col min="13" max="13" width="10.85546875" customWidth="1"/>
  </cols>
  <sheetData>
    <row r="2" spans="2:18" ht="21">
      <c r="C2" s="10" t="s">
        <v>326</v>
      </c>
      <c r="G2" s="271" t="s">
        <v>80</v>
      </c>
      <c r="I2" s="10" t="s">
        <v>327</v>
      </c>
      <c r="M2" t="s">
        <v>328</v>
      </c>
    </row>
    <row r="3" spans="2:18" ht="18.75">
      <c r="C3" t="s">
        <v>17</v>
      </c>
      <c r="D3" t="s">
        <v>329</v>
      </c>
      <c r="G3" s="272" t="s">
        <v>462</v>
      </c>
    </row>
    <row r="4" spans="2:18">
      <c r="C4" t="s">
        <v>330</v>
      </c>
      <c r="D4" t="s">
        <v>331</v>
      </c>
      <c r="G4" s="268" t="s">
        <v>86</v>
      </c>
    </row>
    <row r="5" spans="2:18">
      <c r="C5" t="s">
        <v>332</v>
      </c>
      <c r="D5" t="s">
        <v>333</v>
      </c>
      <c r="G5" s="269" t="s">
        <v>89</v>
      </c>
    </row>
    <row r="6" spans="2:18">
      <c r="G6" s="270" t="s">
        <v>463</v>
      </c>
    </row>
    <row r="8" spans="2:18">
      <c r="C8" s="10" t="s">
        <v>334</v>
      </c>
    </row>
    <row r="9" spans="2:18" ht="18">
      <c r="E9" t="s">
        <v>335</v>
      </c>
    </row>
    <row r="10" spans="2:18" ht="18">
      <c r="E10" t="s">
        <v>336</v>
      </c>
    </row>
    <row r="11" spans="2:18" ht="15" customHeight="1">
      <c r="E11" t="s">
        <v>337</v>
      </c>
      <c r="I11" s="10" t="s">
        <v>338</v>
      </c>
      <c r="L11" s="338" t="s">
        <v>339</v>
      </c>
      <c r="M11" s="339"/>
      <c r="N11" s="340"/>
    </row>
    <row r="12" spans="2:18">
      <c r="L12" s="341"/>
      <c r="M12" s="342"/>
      <c r="N12" s="343"/>
    </row>
    <row r="13" spans="2:18">
      <c r="L13" s="344"/>
      <c r="M13" s="345"/>
      <c r="N13" s="346"/>
    </row>
    <row r="15" spans="2:18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5"/>
    </row>
    <row r="16" spans="2:18">
      <c r="B16" s="3"/>
      <c r="C16" s="57" t="s">
        <v>340</v>
      </c>
      <c r="D16" s="4"/>
      <c r="E16" s="4" t="s">
        <v>341</v>
      </c>
      <c r="F16" s="4"/>
      <c r="G16" s="4"/>
      <c r="H16" s="137"/>
      <c r="I16" s="57" t="s">
        <v>342</v>
      </c>
      <c r="J16" s="4"/>
      <c r="K16" s="4"/>
      <c r="L16" s="4"/>
      <c r="M16" s="4"/>
      <c r="N16" s="4"/>
      <c r="O16" s="4"/>
      <c r="P16" s="4"/>
      <c r="Q16" s="4"/>
      <c r="R16" s="16"/>
    </row>
    <row r="17" spans="2:18"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16"/>
    </row>
    <row r="18" spans="2:18"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16"/>
    </row>
    <row r="19" spans="2:18">
      <c r="B19" s="3"/>
      <c r="C19" s="57" t="s">
        <v>343</v>
      </c>
      <c r="D19" s="4"/>
      <c r="E19" s="4"/>
      <c r="F19" s="138"/>
      <c r="G19" s="139"/>
      <c r="H19" s="4"/>
      <c r="I19" s="138"/>
      <c r="J19" s="139"/>
      <c r="K19" s="4"/>
      <c r="L19" s="138"/>
      <c r="M19" s="139"/>
      <c r="N19" s="4"/>
      <c r="O19" s="140" t="s">
        <v>344</v>
      </c>
      <c r="P19" s="141"/>
      <c r="Q19" s="4"/>
      <c r="R19" s="16"/>
    </row>
    <row r="20" spans="2:18">
      <c r="B20" s="3"/>
      <c r="C20" s="4" t="s">
        <v>345</v>
      </c>
      <c r="D20" s="4" t="s">
        <v>346</v>
      </c>
      <c r="E20" s="4" t="s">
        <v>347</v>
      </c>
      <c r="F20" s="4" t="s">
        <v>348</v>
      </c>
      <c r="G20" s="4" t="s">
        <v>349</v>
      </c>
      <c r="H20" s="4"/>
      <c r="I20" s="142" t="s">
        <v>350</v>
      </c>
      <c r="J20" s="142" t="s">
        <v>351</v>
      </c>
      <c r="K20" s="142" t="s">
        <v>352</v>
      </c>
      <c r="L20" s="142" t="s">
        <v>353</v>
      </c>
      <c r="M20" s="142" t="s">
        <v>354</v>
      </c>
      <c r="N20" s="4"/>
      <c r="O20" s="4" t="s">
        <v>355</v>
      </c>
      <c r="P20" s="4" t="s">
        <v>356</v>
      </c>
      <c r="Q20" s="4"/>
      <c r="R20" s="16"/>
    </row>
    <row r="21" spans="2:18">
      <c r="B21" s="3"/>
      <c r="C21" s="4">
        <v>1</v>
      </c>
      <c r="D21" s="273">
        <v>30</v>
      </c>
      <c r="E21" s="273">
        <v>50</v>
      </c>
      <c r="F21" s="273">
        <v>1</v>
      </c>
      <c r="G21" s="273">
        <v>0</v>
      </c>
      <c r="H21" s="4"/>
      <c r="I21" s="142">
        <f t="shared" ref="I21:J23" si="0">D21*$D$27</f>
        <v>-2.2689229998051603</v>
      </c>
      <c r="J21" s="142">
        <f t="shared" si="0"/>
        <v>-3.781538333008601</v>
      </c>
      <c r="K21" s="142">
        <f>SUM(EXP(I21)+EXP(J21))</f>
        <v>0.12621111677638985</v>
      </c>
      <c r="L21" s="275">
        <f>EXP(I21)/K21</f>
        <v>0.81944847571035051</v>
      </c>
      <c r="M21" s="275">
        <f>EXP(J21)/K21</f>
        <v>0.18055152428964966</v>
      </c>
      <c r="N21" s="4"/>
      <c r="O21" s="143">
        <f t="shared" ref="O21:P23" si="1">F21*LN(L21)</f>
        <v>-0.19912375561150039</v>
      </c>
      <c r="P21" s="143">
        <f t="shared" si="1"/>
        <v>0</v>
      </c>
      <c r="Q21" s="4"/>
      <c r="R21" s="16"/>
    </row>
    <row r="22" spans="2:18">
      <c r="B22" s="3"/>
      <c r="C22" s="4">
        <v>2</v>
      </c>
      <c r="D22" s="273">
        <v>20</v>
      </c>
      <c r="E22" s="273">
        <v>10</v>
      </c>
      <c r="F22" s="273">
        <v>1</v>
      </c>
      <c r="G22" s="273">
        <v>0</v>
      </c>
      <c r="H22" s="4"/>
      <c r="I22" s="142">
        <f t="shared" si="0"/>
        <v>-1.5126153332034402</v>
      </c>
      <c r="J22" s="142">
        <f t="shared" si="0"/>
        <v>-0.75630766660172011</v>
      </c>
      <c r="K22" s="142">
        <f t="shared" ref="K22:K23" si="2">SUM(EXP(I22)+EXP(J22))</f>
        <v>0.68972937883868357</v>
      </c>
      <c r="L22" s="275">
        <f>EXP(I22)/K22</f>
        <v>0.3194484479991116</v>
      </c>
      <c r="M22" s="275">
        <f>EXP(J22)/K22</f>
        <v>0.68055155200088846</v>
      </c>
      <c r="N22" s="4"/>
      <c r="O22" s="143">
        <f t="shared" si="1"/>
        <v>-1.1411593702986571</v>
      </c>
      <c r="P22" s="143">
        <f t="shared" si="1"/>
        <v>0</v>
      </c>
      <c r="Q22" s="4"/>
      <c r="R22" s="16"/>
    </row>
    <row r="23" spans="2:18">
      <c r="B23" s="3"/>
      <c r="C23" s="4">
        <v>3</v>
      </c>
      <c r="D23" s="273">
        <v>40</v>
      </c>
      <c r="E23" s="273">
        <v>30</v>
      </c>
      <c r="F23" s="273">
        <v>0</v>
      </c>
      <c r="G23" s="273">
        <v>1</v>
      </c>
      <c r="H23" s="4"/>
      <c r="I23" s="142">
        <f t="shared" si="0"/>
        <v>-3.0252306664068804</v>
      </c>
      <c r="J23" s="142">
        <f t="shared" si="0"/>
        <v>-2.2689229998051603</v>
      </c>
      <c r="K23" s="142">
        <f t="shared" si="2"/>
        <v>0.15197012916367383</v>
      </c>
      <c r="L23" s="275">
        <f>EXP(I23)/K23</f>
        <v>0.3194484479991116</v>
      </c>
      <c r="M23" s="275">
        <f>EXP(J23)/K23</f>
        <v>0.68055155200088846</v>
      </c>
      <c r="N23" s="4"/>
      <c r="O23" s="143">
        <f t="shared" si="1"/>
        <v>0</v>
      </c>
      <c r="P23" s="143">
        <f t="shared" si="1"/>
        <v>-0.384851703696937</v>
      </c>
      <c r="Q23" s="4"/>
      <c r="R23" s="16"/>
    </row>
    <row r="24" spans="2:18"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16"/>
    </row>
    <row r="25" spans="2:18" ht="15" customHeight="1">
      <c r="B25" s="3"/>
      <c r="C25" s="4"/>
      <c r="D25" s="4"/>
      <c r="E25" s="4"/>
      <c r="F25" s="4"/>
      <c r="G25" s="4"/>
      <c r="H25" s="4"/>
      <c r="I25" s="11" t="s">
        <v>464</v>
      </c>
      <c r="J25" s="4"/>
      <c r="K25" s="4"/>
      <c r="L25" s="4"/>
      <c r="M25" s="4"/>
      <c r="N25" s="4"/>
      <c r="O25" s="4"/>
      <c r="P25" s="4"/>
      <c r="Q25" s="4"/>
      <c r="R25" s="16"/>
    </row>
    <row r="26" spans="2:18">
      <c r="B26" s="3"/>
      <c r="C26" s="57" t="s">
        <v>357</v>
      </c>
      <c r="D26" s="4"/>
      <c r="E26" s="4"/>
      <c r="F26" s="57" t="s">
        <v>358</v>
      </c>
      <c r="G26" s="4"/>
      <c r="H26" s="4"/>
      <c r="I26" s="4"/>
      <c r="J26" s="11"/>
      <c r="K26" s="11"/>
      <c r="L26" s="11"/>
      <c r="M26" s="11"/>
      <c r="N26" s="11"/>
      <c r="O26" s="11"/>
      <c r="P26" s="4"/>
      <c r="Q26" s="4"/>
      <c r="R26" s="16"/>
    </row>
    <row r="27" spans="2:18" ht="18">
      <c r="B27" s="3"/>
      <c r="C27" s="4" t="s">
        <v>359</v>
      </c>
      <c r="D27" s="144">
        <v>-7.5630766660172016E-2</v>
      </c>
      <c r="E27" s="4"/>
      <c r="F27" s="4" t="s">
        <v>360</v>
      </c>
      <c r="G27" s="274">
        <f>SUM(O21:P23)</f>
        <v>-1.7251348296070945</v>
      </c>
      <c r="H27" s="4"/>
      <c r="I27" s="11"/>
      <c r="J27" s="11"/>
      <c r="K27" s="11"/>
      <c r="L27" s="4" t="s">
        <v>361</v>
      </c>
      <c r="M27" s="4" t="s">
        <v>362</v>
      </c>
      <c r="N27" s="11"/>
      <c r="O27" s="11"/>
      <c r="P27" s="4"/>
      <c r="Q27" s="4"/>
      <c r="R27" s="16"/>
    </row>
    <row r="28" spans="2:18" ht="18">
      <c r="B28" s="3"/>
      <c r="C28" s="4"/>
      <c r="D28" s="4"/>
      <c r="E28" s="4"/>
      <c r="G28" s="4"/>
      <c r="H28" s="4"/>
      <c r="I28" s="4"/>
      <c r="J28" s="4"/>
      <c r="K28" s="4"/>
      <c r="L28" s="4" t="s">
        <v>363</v>
      </c>
      <c r="M28" s="137" t="s">
        <v>364</v>
      </c>
      <c r="N28" s="4"/>
      <c r="O28" s="4"/>
      <c r="P28" s="4"/>
      <c r="Q28" s="4"/>
      <c r="R28" s="16"/>
    </row>
    <row r="29" spans="2:18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17"/>
    </row>
    <row r="30" spans="2:18">
      <c r="B30" s="1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15"/>
    </row>
    <row r="31" spans="2:18"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16"/>
    </row>
    <row r="32" spans="2:18">
      <c r="B32" s="3"/>
      <c r="C32" s="57" t="s">
        <v>340</v>
      </c>
      <c r="D32" s="4"/>
      <c r="E32" s="4" t="s">
        <v>365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16"/>
    </row>
    <row r="33" spans="2:18" ht="15" customHeight="1">
      <c r="B33" s="3"/>
      <c r="C33" s="4"/>
      <c r="D33" s="4"/>
      <c r="E33" s="347" t="s">
        <v>366</v>
      </c>
      <c r="F33" s="347"/>
      <c r="G33" s="347"/>
      <c r="H33" s="4"/>
      <c r="I33" s="4"/>
      <c r="J33" s="4"/>
      <c r="K33" s="4"/>
      <c r="L33" s="4"/>
      <c r="M33" s="4"/>
      <c r="N33" s="4"/>
      <c r="O33" s="4"/>
      <c r="P33" s="4"/>
      <c r="Q33" s="4"/>
      <c r="R33" s="16"/>
    </row>
    <row r="34" spans="2:18">
      <c r="B34" s="3"/>
      <c r="C34" s="4"/>
      <c r="D34" s="4"/>
      <c r="E34" s="347"/>
      <c r="F34" s="347"/>
      <c r="G34" s="347"/>
      <c r="H34" s="4"/>
      <c r="I34" s="4"/>
      <c r="J34" s="4"/>
      <c r="K34" s="4"/>
      <c r="L34" s="4"/>
      <c r="M34" s="4"/>
      <c r="N34" s="4"/>
      <c r="O34" s="4"/>
      <c r="P34" s="4"/>
      <c r="Q34" s="4"/>
      <c r="R34" s="16"/>
    </row>
    <row r="35" spans="2:18"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16"/>
    </row>
    <row r="36" spans="2:18">
      <c r="B36" s="3"/>
      <c r="C36" s="57" t="s">
        <v>367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6"/>
    </row>
    <row r="37" spans="2:18">
      <c r="B37" s="3"/>
      <c r="C37" s="4" t="s">
        <v>345</v>
      </c>
      <c r="D37" s="4" t="s">
        <v>368</v>
      </c>
      <c r="E37" s="4" t="s">
        <v>369</v>
      </c>
      <c r="F37" s="4" t="s">
        <v>348</v>
      </c>
      <c r="G37" s="4" t="s">
        <v>349</v>
      </c>
      <c r="H37" s="4"/>
      <c r="I37" s="4" t="s">
        <v>350</v>
      </c>
      <c r="J37" s="4" t="s">
        <v>351</v>
      </c>
      <c r="K37" s="4" t="s">
        <v>352</v>
      </c>
      <c r="L37" s="4" t="s">
        <v>353</v>
      </c>
      <c r="M37" s="4" t="s">
        <v>354</v>
      </c>
      <c r="N37" s="4"/>
      <c r="O37" s="4" t="s">
        <v>355</v>
      </c>
      <c r="P37" s="4" t="s">
        <v>356</v>
      </c>
      <c r="Q37" s="4"/>
      <c r="R37" s="16"/>
    </row>
    <row r="38" spans="2:18">
      <c r="B38" s="3"/>
      <c r="C38" s="4">
        <v>1</v>
      </c>
      <c r="D38" s="273">
        <v>30</v>
      </c>
      <c r="E38" s="273">
        <v>50</v>
      </c>
      <c r="F38" s="273">
        <v>1</v>
      </c>
      <c r="G38" s="273">
        <v>0</v>
      </c>
      <c r="H38" s="4"/>
      <c r="I38" s="142">
        <f>$D$43+D38*$D$44</f>
        <v>-12.687848422966434</v>
      </c>
      <c r="J38" s="142">
        <f>E38*$D$44</f>
        <v>-31.71923313829328</v>
      </c>
      <c r="K38" s="145">
        <f>SUM(EXP(I38)+EXP(J38))</f>
        <v>3.088427743144602E-6</v>
      </c>
      <c r="L38" s="275">
        <f>EXP(I38)/K38</f>
        <v>0.99999999457031497</v>
      </c>
      <c r="M38" s="275">
        <f>EXP(J38)/K38</f>
        <v>5.4296849727237931E-9</v>
      </c>
      <c r="N38" s="4"/>
      <c r="O38" s="143">
        <f>F38*LN(L38)</f>
        <v>-5.4296850496596584E-9</v>
      </c>
      <c r="P38" s="143">
        <f>G38*LN(M38)</f>
        <v>0</v>
      </c>
      <c r="Q38" s="4"/>
      <c r="R38" s="16"/>
    </row>
    <row r="39" spans="2:18">
      <c r="B39" s="3"/>
      <c r="C39" s="4">
        <v>2</v>
      </c>
      <c r="D39" s="273">
        <v>20</v>
      </c>
      <c r="E39" s="273">
        <v>10</v>
      </c>
      <c r="F39" s="273">
        <v>1</v>
      </c>
      <c r="G39" s="273">
        <v>0</v>
      </c>
      <c r="H39" s="4"/>
      <c r="I39" s="142">
        <f>$D$43+D39*$D$44</f>
        <v>-6.3440017953077792</v>
      </c>
      <c r="J39" s="142">
        <f>E39*$D$44</f>
        <v>-6.3438466276586558</v>
      </c>
      <c r="K39" s="145">
        <f t="shared" ref="K39:K40" si="3">SUM(EXP(I39)+EXP(J39))</f>
        <v>3.5147846278060493E-3</v>
      </c>
      <c r="L39" s="275">
        <f t="shared" ref="L39:L40" si="4">EXP(I39)/K39</f>
        <v>0.49996120808779704</v>
      </c>
      <c r="M39" s="275">
        <f t="shared" ref="M39:M40" si="5">EXP(J39)/K39</f>
        <v>0.50003879191220302</v>
      </c>
      <c r="N39" s="4"/>
      <c r="O39" s="143">
        <f t="shared" ref="O39:P40" si="6">F39*LN(L39)</f>
        <v>-0.69322476739413186</v>
      </c>
      <c r="P39" s="143">
        <f t="shared" si="6"/>
        <v>0</v>
      </c>
      <c r="Q39" s="4"/>
      <c r="R39" s="16"/>
    </row>
    <row r="40" spans="2:18">
      <c r="B40" s="3"/>
      <c r="C40" s="4">
        <v>3</v>
      </c>
      <c r="D40" s="273">
        <v>40</v>
      </c>
      <c r="E40" s="273">
        <v>30</v>
      </c>
      <c r="F40" s="273">
        <v>0</v>
      </c>
      <c r="G40" s="273">
        <v>1</v>
      </c>
      <c r="H40" s="4"/>
      <c r="I40" s="142">
        <f>$D$43+D40*$D$44</f>
        <v>-19.031695050625089</v>
      </c>
      <c r="J40" s="142">
        <f>E40*$D$44</f>
        <v>-19.031539882975967</v>
      </c>
      <c r="K40" s="145">
        <f t="shared" si="3"/>
        <v>1.085684279683464E-8</v>
      </c>
      <c r="L40" s="275">
        <f t="shared" si="4"/>
        <v>0.49996120808779726</v>
      </c>
      <c r="M40" s="275">
        <f t="shared" si="5"/>
        <v>0.5000387919122028</v>
      </c>
      <c r="N40" s="4"/>
      <c r="O40" s="143">
        <f t="shared" si="6"/>
        <v>0</v>
      </c>
      <c r="P40" s="143">
        <f t="shared" si="6"/>
        <v>-0.69306959974500892</v>
      </c>
      <c r="Q40" s="4"/>
      <c r="R40" s="16"/>
    </row>
    <row r="41" spans="2:18"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16"/>
    </row>
    <row r="42" spans="2:18">
      <c r="B42" s="3"/>
      <c r="C42" s="57" t="s">
        <v>357</v>
      </c>
      <c r="D42" s="4"/>
      <c r="E42" s="4"/>
      <c r="F42" s="57" t="s">
        <v>358</v>
      </c>
      <c r="G42" s="4"/>
      <c r="H42" s="4"/>
      <c r="I42" s="4" t="s">
        <v>370</v>
      </c>
      <c r="J42" s="4"/>
      <c r="K42" s="4"/>
      <c r="L42" s="4"/>
      <c r="M42" s="4"/>
      <c r="N42" s="4"/>
      <c r="O42" s="4"/>
      <c r="P42" s="4"/>
      <c r="Q42" s="4"/>
      <c r="R42" s="16"/>
    </row>
    <row r="43" spans="2:18">
      <c r="B43" s="3"/>
      <c r="C43" s="142" t="s">
        <v>371</v>
      </c>
      <c r="D43" s="146">
        <v>6.3436914600095324</v>
      </c>
      <c r="E43" s="4"/>
      <c r="F43" s="4" t="s">
        <v>360</v>
      </c>
      <c r="G43" s="274">
        <f>SUM(O38:P40)</f>
        <v>-1.3862943725688259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16"/>
    </row>
    <row r="44" spans="2:18">
      <c r="B44" s="3"/>
      <c r="C44" s="142" t="s">
        <v>359</v>
      </c>
      <c r="D44" s="146">
        <v>-0.63438466276586558</v>
      </c>
      <c r="E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6"/>
    </row>
    <row r="45" spans="2:18"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16"/>
    </row>
    <row r="46" spans="2:18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17"/>
    </row>
  </sheetData>
  <mergeCells count="2">
    <mergeCell ref="L11:N13"/>
    <mergeCell ref="E33:G34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1.model_summary</vt:lpstr>
      <vt:lpstr>2.trip_production</vt:lpstr>
      <vt:lpstr>3.trip_distribution_mode_choice</vt:lpstr>
      <vt:lpstr>4.UE-traffic assignment</vt:lpstr>
      <vt:lpstr>5.References</vt:lpstr>
      <vt:lpstr>6.Sampling process illustration</vt:lpstr>
      <vt:lpstr>7.Trip_dist_w_hist_demand</vt:lpstr>
      <vt:lpstr>8.Mode choice model calibration</vt:lpstr>
    </vt:vector>
  </TitlesOfParts>
  <Company>Utah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Zhou</cp:lastModifiedBy>
  <dcterms:created xsi:type="dcterms:W3CDTF">2012-03-20T22:32:59Z</dcterms:created>
  <dcterms:modified xsi:type="dcterms:W3CDTF">2013-05-27T09:21:26Z</dcterms:modified>
</cp:coreProperties>
</file>