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607056c5dbb116b/Documents/Important Documents/Sports Stats/"/>
    </mc:Choice>
  </mc:AlternateContent>
  <xr:revisionPtr revIDLastSave="0" documentId="8_{F807444A-FA6E-4FED-B53B-3106F9BCF085}" xr6:coauthVersionLast="47" xr6:coauthVersionMax="47" xr10:uidLastSave="{00000000-0000-0000-0000-000000000000}"/>
  <bookViews>
    <workbookView xWindow="-110" yWindow="-110" windowWidth="19420" windowHeight="10300" xr2:uid="{6A0F4857-55EB-4C58-BB47-37D87DAA10B2}"/>
  </bookViews>
  <sheets>
    <sheet name="HW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1" l="1"/>
  <c r="L15" i="1"/>
  <c r="R15" i="1"/>
  <c r="S15" i="1"/>
  <c r="D16" i="1"/>
  <c r="E16" i="1"/>
  <c r="K16" i="1"/>
  <c r="L16" i="1"/>
  <c r="R16" i="1"/>
  <c r="S16" i="1"/>
  <c r="D17" i="1"/>
  <c r="K17" i="1"/>
  <c r="L17" i="1"/>
  <c r="R17" i="1"/>
  <c r="S17" i="1"/>
  <c r="D18" i="1"/>
  <c r="E18" i="1"/>
  <c r="K18" i="1"/>
  <c r="L18" i="1"/>
  <c r="R18" i="1"/>
  <c r="S18" i="1"/>
  <c r="AB18" i="1"/>
  <c r="AC18" i="1"/>
  <c r="AD18" i="1"/>
  <c r="AA19" i="1"/>
  <c r="AC19" i="1"/>
  <c r="AD19" i="1"/>
  <c r="AA20" i="1"/>
  <c r="AB20" i="1"/>
  <c r="AD20" i="1"/>
  <c r="AA21" i="1"/>
  <c r="AB21" i="1"/>
  <c r="AC21" i="1"/>
  <c r="D24" i="1"/>
  <c r="D25" i="1"/>
  <c r="F24" i="1"/>
  <c r="L24" i="1"/>
  <c r="L25" i="1"/>
  <c r="N24" i="1"/>
  <c r="S24" i="1"/>
  <c r="S25" i="1"/>
  <c r="U24" i="1"/>
  <c r="AA24" i="1"/>
  <c r="F25" i="1"/>
  <c r="N25" i="1"/>
  <c r="U25" i="1"/>
  <c r="AA25" i="1"/>
  <c r="D27" i="1"/>
  <c r="D28" i="1"/>
  <c r="F27" i="1"/>
  <c r="L27" i="1"/>
  <c r="L28" i="1"/>
  <c r="N27" i="1"/>
  <c r="S27" i="1"/>
  <c r="S28" i="1"/>
  <c r="U27" i="1"/>
  <c r="AA27" i="1"/>
  <c r="F28" i="1"/>
  <c r="N28" i="1"/>
  <c r="U28" i="1"/>
  <c r="AA28" i="1"/>
  <c r="AA31" i="1"/>
  <c r="D32" i="1"/>
  <c r="D33" i="1"/>
  <c r="F32" i="1"/>
  <c r="L32" i="1"/>
  <c r="L33" i="1"/>
  <c r="N32" i="1"/>
  <c r="S32" i="1"/>
  <c r="S33" i="1"/>
  <c r="U32" i="1"/>
  <c r="N33" i="1"/>
  <c r="U33" i="1"/>
  <c r="AA34" i="1"/>
  <c r="D35" i="1"/>
  <c r="D36" i="1"/>
  <c r="F35" i="1"/>
  <c r="L35" i="1"/>
  <c r="L36" i="1"/>
  <c r="N35" i="1"/>
  <c r="S35" i="1"/>
  <c r="S36" i="1"/>
  <c r="U35" i="1"/>
  <c r="N36" i="1"/>
  <c r="U36" i="1"/>
  <c r="E38" i="1"/>
  <c r="M38" i="1"/>
  <c r="T38" i="1"/>
  <c r="AC38" i="1"/>
  <c r="E40" i="1"/>
  <c r="G39" i="1"/>
  <c r="M40" i="1"/>
  <c r="O39" i="1"/>
  <c r="T40" i="1"/>
  <c r="V39" i="1"/>
  <c r="AG41" i="1"/>
  <c r="C43" i="1"/>
  <c r="D43" i="1"/>
  <c r="E43" i="1"/>
  <c r="C44" i="1"/>
  <c r="E44" i="1"/>
  <c r="J44" i="1"/>
  <c r="K44" i="1"/>
  <c r="L44" i="1"/>
  <c r="Q44" i="1"/>
  <c r="R44" i="1"/>
  <c r="S44" i="1"/>
  <c r="E45" i="1"/>
  <c r="J45" i="1"/>
  <c r="Q45" i="1"/>
  <c r="L46" i="1"/>
  <c r="S46" i="1"/>
</calcChain>
</file>

<file path=xl/sharedStrings.xml><?xml version="1.0" encoding="utf-8"?>
<sst xmlns="http://schemas.openxmlformats.org/spreadsheetml/2006/main" count="143" uniqueCount="83">
  <si>
    <t>P(Bucks win it all)=</t>
  </si>
  <si>
    <t>P(Lakers win it all)=</t>
  </si>
  <si>
    <t>P(49ers win SB)</t>
  </si>
  <si>
    <t>P(win SB and play 49ers)</t>
  </si>
  <si>
    <t>P(Ravens beat 49ers)</t>
  </si>
  <si>
    <t>P(Bucks win)</t>
  </si>
  <si>
    <t>p(Bucks make the finals)</t>
  </si>
  <si>
    <t>P(Lakers win)</t>
  </si>
  <si>
    <t>p(Lakers make the finals)</t>
  </si>
  <si>
    <t>P(win SB and play Lions)</t>
  </si>
  <si>
    <t>P(Ravens beat Lions)</t>
  </si>
  <si>
    <t>Finals</t>
  </si>
  <si>
    <t>P(49ers win)</t>
  </si>
  <si>
    <t>P(make SB)</t>
  </si>
  <si>
    <t>P(sinner makes finals) * P(Sinner wins the finals) = P(Sinner wins the Australian Open 2024) = &gt;</t>
  </si>
  <si>
    <t>Superbowl</t>
  </si>
  <si>
    <t>p(Bucks win Semis) x p(Bucks beat Pelicans)</t>
  </si>
  <si>
    <t>p(Lakers win Semis) x p( Lakers beat Pacers)</t>
  </si>
  <si>
    <t>P(Chiefs win AFC) x p(49ers beat Chiefs)</t>
  </si>
  <si>
    <t>P(Sinner wins)*P(Sinner beats Zverev)</t>
  </si>
  <si>
    <t>P(Sinner wins)*P(Sinner beats Medvedev) +</t>
  </si>
  <si>
    <t>total</t>
  </si>
  <si>
    <t>p(Bucks win Semis) x p( Bucks beat Lakers)</t>
  </si>
  <si>
    <t>p(Lakers win Semis) x p( Lakers beat Bucks)</t>
  </si>
  <si>
    <t>p(Ravens win AFC) x p(49ers beat Ravens)</t>
  </si>
  <si>
    <t>P(Pelicans beat Bucks)</t>
  </si>
  <si>
    <t>Pelicans</t>
  </si>
  <si>
    <t>P(Pacers beat Lakers)</t>
  </si>
  <si>
    <t>Pacers</t>
  </si>
  <si>
    <t>Chiefs</t>
  </si>
  <si>
    <t>Alexander Zverev</t>
  </si>
  <si>
    <t>P(Bucks beat Pelicans)</t>
  </si>
  <si>
    <t>Bucks</t>
  </si>
  <si>
    <t>P(Lakers beat Pacers)</t>
  </si>
  <si>
    <t>Lakers</t>
  </si>
  <si>
    <t>P(49ers beat Chiefs)</t>
  </si>
  <si>
    <t>49ers</t>
  </si>
  <si>
    <t>Jannik Sinner</t>
  </si>
  <si>
    <t>P(Lakers beat Bucks )</t>
  </si>
  <si>
    <t>P(Bucks beat Lakers)</t>
  </si>
  <si>
    <t>Ravens</t>
  </si>
  <si>
    <t>Danil Medvedev</t>
  </si>
  <si>
    <t>P(Lakers beat Bucks)</t>
  </si>
  <si>
    <t>P(49ers beat Ravens)</t>
  </si>
  <si>
    <t>playoff records</t>
  </si>
  <si>
    <t>Finals if Sinner Wins</t>
  </si>
  <si>
    <t>Semifinals</t>
  </si>
  <si>
    <t>Possible SB Results</t>
  </si>
  <si>
    <t>P(Pacers beat Bucks)</t>
  </si>
  <si>
    <t>P(49ers beat Lions)</t>
  </si>
  <si>
    <t>P(Bucks beat Pacers)</t>
  </si>
  <si>
    <t>P(Lion beat 49ers)</t>
  </si>
  <si>
    <t>Lions</t>
  </si>
  <si>
    <t>Novak Djokovic</t>
  </si>
  <si>
    <t>P(Pelicans beat Lakers)</t>
  </si>
  <si>
    <t>P(Chiefs beat Ravens)</t>
  </si>
  <si>
    <t>P(Lakers beat Pelicans)</t>
  </si>
  <si>
    <t>P(Ravens beat Chiefs)</t>
  </si>
  <si>
    <t>Semifinal</t>
  </si>
  <si>
    <t>X</t>
  </si>
  <si>
    <t>JS</t>
  </si>
  <si>
    <t>ND</t>
  </si>
  <si>
    <t>AZ</t>
  </si>
  <si>
    <t>DM</t>
  </si>
  <si>
    <t>Australian Open 2024</t>
  </si>
  <si>
    <t>playoffs - Game 2</t>
  </si>
  <si>
    <t>playoffs - Game 1</t>
  </si>
  <si>
    <t>reg seas</t>
  </si>
  <si>
    <t>Semi</t>
  </si>
  <si>
    <t>Probability that the Bucks Win</t>
  </si>
  <si>
    <t>NBA In Season Tournament Final Four Teams</t>
  </si>
  <si>
    <t>Probability that the Lakers Win</t>
  </si>
  <si>
    <t>Part 2</t>
  </si>
  <si>
    <t>PART 1</t>
  </si>
  <si>
    <t>- Multiply results to approximate the overall probability of victory</t>
  </si>
  <si>
    <t>- Do the same formula a second time for the second matchup; if the matchup depends on another game then you can do both possible matchups and average them</t>
  </si>
  <si>
    <t>- Use the head-to-head formula to combine these percentages for a revised head-to-head winning percentage</t>
  </si>
  <si>
    <t>- Use some measure of each teams winning percentage as a starting point</t>
  </si>
  <si>
    <t>- Describe in words a scenario where two games must be won by a team/player</t>
  </si>
  <si>
    <t>2)  Do another example of your own</t>
  </si>
  <si>
    <t>1) Compute approximate probability that the 49ers win the SB</t>
  </si>
  <si>
    <t>submit under HW1 in Canvas under Assignments</t>
  </si>
  <si>
    <t>HW1 for Tuesday due at class time (2/1)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</si>
</sst>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1" xfId="0" applyBorder="1"/>
    <xf numFmtId="0" fontId="0" fillId="0" borderId="2" xfId="0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0" fontId="0" fillId="0" borderId="4" xfId="0" applyBorder="1"/>
    <xf numFmtId="0" fontId="2" fillId="0" borderId="0" xfId="0" applyFont="1"/>
    <xf numFmtId="164" fontId="0" fillId="2" borderId="0" xfId="1" applyNumberFormat="1" applyFont="1" applyFill="1" applyBorder="1" applyAlignment="1">
      <alignment horizontal="left"/>
    </xf>
    <xf numFmtId="164" fontId="0" fillId="0" borderId="0" xfId="1" applyNumberFormat="1" applyFont="1" applyBorder="1" applyAlignment="1">
      <alignment horizontal="right"/>
    </xf>
    <xf numFmtId="164" fontId="0" fillId="0" borderId="5" xfId="1" applyNumberFormat="1" applyFont="1" applyBorder="1"/>
    <xf numFmtId="0" fontId="0" fillId="0" borderId="6" xfId="0" applyBorder="1"/>
    <xf numFmtId="164" fontId="0" fillId="0" borderId="0" xfId="1" applyNumberFormat="1" applyFont="1" applyBorder="1"/>
    <xf numFmtId="164" fontId="0" fillId="0" borderId="0" xfId="1" applyNumberFormat="1" applyFont="1" applyFill="1" applyBorder="1"/>
    <xf numFmtId="0" fontId="2" fillId="2" borderId="0" xfId="0" applyFont="1" applyFill="1"/>
    <xf numFmtId="164" fontId="0" fillId="2" borderId="0" xfId="1" applyNumberFormat="1" applyFont="1" applyFill="1" applyBorder="1"/>
    <xf numFmtId="0" fontId="0" fillId="0" borderId="7" xfId="0" applyBorder="1"/>
    <xf numFmtId="164" fontId="0" fillId="0" borderId="5" xfId="1" applyNumberFormat="1" applyFont="1" applyFill="1" applyBorder="1"/>
    <xf numFmtId="0" fontId="0" fillId="0" borderId="8" xfId="0" applyBorder="1"/>
    <xf numFmtId="0" fontId="2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4" fontId="0" fillId="3" borderId="1" xfId="0" applyNumberFormat="1" applyFill="1" applyBorder="1" applyAlignment="1">
      <alignment horizontal="right"/>
    </xf>
    <xf numFmtId="0" fontId="2" fillId="0" borderId="11" xfId="0" applyFont="1" applyBorder="1"/>
    <xf numFmtId="164" fontId="0" fillId="0" borderId="0" xfId="0" applyNumberFormat="1"/>
    <xf numFmtId="164" fontId="0" fillId="0" borderId="2" xfId="1" applyNumberFormat="1" applyFont="1" applyFill="1" applyBorder="1"/>
    <xf numFmtId="164" fontId="0" fillId="0" borderId="2" xfId="0" applyNumberFormat="1" applyBorder="1"/>
    <xf numFmtId="9" fontId="0" fillId="0" borderId="0" xfId="0" applyNumberFormat="1"/>
    <xf numFmtId="0" fontId="0" fillId="4" borderId="4" xfId="0" applyFill="1" applyBorder="1"/>
    <xf numFmtId="164" fontId="0" fillId="4" borderId="0" xfId="1" applyNumberFormat="1" applyFont="1" applyFill="1"/>
    <xf numFmtId="2" fontId="0" fillId="4" borderId="0" xfId="0" applyNumberFormat="1" applyFill="1"/>
    <xf numFmtId="164" fontId="0" fillId="4" borderId="0" xfId="1" applyNumberFormat="1" applyFont="1" applyFill="1" applyBorder="1"/>
    <xf numFmtId="0" fontId="0" fillId="4" borderId="7" xfId="0" applyFill="1" applyBorder="1"/>
    <xf numFmtId="0" fontId="0" fillId="2" borderId="4" xfId="0" applyFill="1" applyBorder="1"/>
    <xf numFmtId="0" fontId="2" fillId="0" borderId="7" xfId="0" applyFont="1" applyBorder="1"/>
    <xf numFmtId="164" fontId="2" fillId="0" borderId="0" xfId="0" applyNumberFormat="1" applyFont="1"/>
    <xf numFmtId="0" fontId="2" fillId="4" borderId="4" xfId="0" applyFont="1" applyFill="1" applyBorder="1"/>
    <xf numFmtId="0" fontId="2" fillId="4" borderId="7" xfId="0" applyFont="1" applyFill="1" applyBorder="1"/>
    <xf numFmtId="0" fontId="2" fillId="2" borderId="4" xfId="0" applyFont="1" applyFill="1" applyBorder="1"/>
    <xf numFmtId="0" fontId="0" fillId="0" borderId="1" xfId="0" applyBorder="1" applyAlignment="1">
      <alignment horizontal="center"/>
    </xf>
    <xf numFmtId="9" fontId="0" fillId="0" borderId="2" xfId="1" applyFont="1" applyBorder="1"/>
    <xf numFmtId="9" fontId="0" fillId="0" borderId="4" xfId="1" applyFont="1" applyBorder="1"/>
    <xf numFmtId="0" fontId="0" fillId="0" borderId="0" xfId="0" applyAlignment="1">
      <alignment horizontal="center"/>
    </xf>
    <xf numFmtId="9" fontId="0" fillId="0" borderId="0" xfId="1" applyFont="1" applyBorder="1"/>
    <xf numFmtId="164" fontId="0" fillId="0" borderId="1" xfId="1" applyNumberFormat="1" applyFont="1" applyBorder="1"/>
    <xf numFmtId="0" fontId="2" fillId="0" borderId="6" xfId="0" applyFont="1" applyBorder="1"/>
    <xf numFmtId="9" fontId="0" fillId="0" borderId="1" xfId="1" applyFont="1" applyBorder="1"/>
    <xf numFmtId="9" fontId="0" fillId="0" borderId="12" xfId="1" applyFont="1" applyBorder="1"/>
    <xf numFmtId="0" fontId="0" fillId="0" borderId="12" xfId="0" applyBorder="1"/>
    <xf numFmtId="164" fontId="0" fillId="0" borderId="4" xfId="1" applyNumberFormat="1" applyFont="1" applyBorder="1"/>
    <xf numFmtId="9" fontId="0" fillId="0" borderId="13" xfId="1" applyFont="1" applyBorder="1"/>
    <xf numFmtId="0" fontId="0" fillId="0" borderId="13" xfId="0" applyBorder="1"/>
    <xf numFmtId="0" fontId="2" fillId="0" borderId="9" xfId="0" applyFont="1" applyBorder="1"/>
    <xf numFmtId="0" fontId="2" fillId="0" borderId="10" xfId="0" applyFont="1" applyBorder="1"/>
    <xf numFmtId="0" fontId="0" fillId="0" borderId="14" xfId="0" applyBorder="1"/>
    <xf numFmtId="0" fontId="0" fillId="0" borderId="0" xfId="0" quotePrefix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15D3C-17FA-4E32-9EC9-8EEF7EF2D335}">
  <dimension ref="A1:AG47"/>
  <sheetViews>
    <sheetView tabSelected="1" topLeftCell="A2" zoomScale="89" zoomScaleNormal="100" workbookViewId="0">
      <selection activeCell="X37" sqref="X37"/>
    </sheetView>
  </sheetViews>
  <sheetFormatPr defaultRowHeight="14.5" x14ac:dyDescent="0.35"/>
  <cols>
    <col min="3" max="3" width="10.6328125" customWidth="1"/>
    <col min="4" max="4" width="17.6328125" customWidth="1"/>
    <col min="5" max="5" width="15.81640625" bestFit="1" customWidth="1"/>
    <col min="6" max="6" width="42.81640625" bestFit="1" customWidth="1"/>
    <col min="7" max="7" width="19.6328125" bestFit="1" customWidth="1"/>
    <col min="9" max="9" width="11.81640625" bestFit="1" customWidth="1"/>
    <col min="10" max="10" width="38.81640625" bestFit="1" customWidth="1"/>
    <col min="11" max="11" width="18.453125" customWidth="1"/>
    <col min="12" max="12" width="11.81640625" bestFit="1" customWidth="1"/>
    <col min="14" max="14" width="7.81640625" bestFit="1" customWidth="1"/>
    <col min="15" max="15" width="19.81640625" bestFit="1" customWidth="1"/>
    <col min="17" max="17" width="38.81640625" bestFit="1" customWidth="1"/>
    <col min="18" max="18" width="26.6328125" bestFit="1" customWidth="1"/>
    <col min="22" max="22" width="19.81640625" bestFit="1" customWidth="1"/>
    <col min="26" max="26" width="24.08984375" bestFit="1" customWidth="1"/>
    <col min="27" max="27" width="9.453125" customWidth="1"/>
    <col min="28" max="28" width="12.54296875" customWidth="1"/>
  </cols>
  <sheetData>
    <row r="1" spans="1:33" x14ac:dyDescent="0.35">
      <c r="A1" s="6" t="s">
        <v>82</v>
      </c>
      <c r="F1" s="6" t="s">
        <v>81</v>
      </c>
    </row>
    <row r="3" spans="1:33" x14ac:dyDescent="0.35">
      <c r="A3" s="6" t="s">
        <v>80</v>
      </c>
    </row>
    <row r="4" spans="1:33" x14ac:dyDescent="0.35">
      <c r="A4" s="6" t="s">
        <v>79</v>
      </c>
    </row>
    <row r="5" spans="1:33" x14ac:dyDescent="0.35">
      <c r="B5" s="55" t="s">
        <v>78</v>
      </c>
    </row>
    <row r="6" spans="1:33" x14ac:dyDescent="0.35">
      <c r="B6" s="55" t="s">
        <v>77</v>
      </c>
    </row>
    <row r="7" spans="1:33" x14ac:dyDescent="0.35">
      <c r="B7" s="55" t="s">
        <v>76</v>
      </c>
    </row>
    <row r="8" spans="1:33" x14ac:dyDescent="0.35">
      <c r="B8" s="55" t="s">
        <v>75</v>
      </c>
    </row>
    <row r="9" spans="1:33" x14ac:dyDescent="0.35">
      <c r="B9" s="55" t="s">
        <v>74</v>
      </c>
    </row>
    <row r="13" spans="1:33" ht="15" thickBot="1" x14ac:dyDescent="0.4">
      <c r="A13" t="s">
        <v>73</v>
      </c>
      <c r="I13" t="s">
        <v>72</v>
      </c>
      <c r="J13" t="s">
        <v>70</v>
      </c>
      <c r="K13" t="s">
        <v>71</v>
      </c>
      <c r="Q13" t="s">
        <v>70</v>
      </c>
      <c r="R13" t="s">
        <v>69</v>
      </c>
    </row>
    <row r="14" spans="1:33" ht="15" thickBot="1" x14ac:dyDescent="0.4">
      <c r="J14" s="54"/>
      <c r="K14" s="54" t="s">
        <v>68</v>
      </c>
      <c r="L14" s="19" t="s">
        <v>11</v>
      </c>
      <c r="Q14" s="54"/>
      <c r="R14" s="54" t="s">
        <v>68</v>
      </c>
      <c r="S14" s="19" t="s">
        <v>11</v>
      </c>
    </row>
    <row r="15" spans="1:33" ht="15" thickBot="1" x14ac:dyDescent="0.4">
      <c r="B15" s="21"/>
      <c r="C15" s="53" t="s">
        <v>67</v>
      </c>
      <c r="D15" s="52" t="s">
        <v>66</v>
      </c>
      <c r="E15" s="52" t="s">
        <v>65</v>
      </c>
      <c r="J15" s="51" t="s">
        <v>34</v>
      </c>
      <c r="K15" s="50">
        <f>15/28</f>
        <v>0.5357142857142857</v>
      </c>
      <c r="L15" s="41">
        <f>16/29</f>
        <v>0.55172413793103448</v>
      </c>
      <c r="Q15" s="51" t="s">
        <v>34</v>
      </c>
      <c r="R15" s="50">
        <f>15/28</f>
        <v>0.5357142857142857</v>
      </c>
      <c r="S15" s="41">
        <f>16/29</f>
        <v>0.55172413793103448</v>
      </c>
    </row>
    <row r="16" spans="1:33" x14ac:dyDescent="0.35">
      <c r="B16" s="34" t="s">
        <v>40</v>
      </c>
      <c r="D16" s="49">
        <f>14/18</f>
        <v>0.77777777777777779</v>
      </c>
      <c r="E16" s="49">
        <f>15/19</f>
        <v>0.78947368421052633</v>
      </c>
      <c r="J16" s="51" t="s">
        <v>26</v>
      </c>
      <c r="K16" s="50">
        <f>13/26</f>
        <v>0.5</v>
      </c>
      <c r="L16" s="41">
        <f>14/27</f>
        <v>0.51851851851851849</v>
      </c>
      <c r="Q16" s="51" t="s">
        <v>26</v>
      </c>
      <c r="R16" s="50">
        <f>13/26</f>
        <v>0.5</v>
      </c>
      <c r="S16" s="41">
        <f>14/27</f>
        <v>0.51851851851851849</v>
      </c>
      <c r="Z16" s="21" t="s">
        <v>64</v>
      </c>
      <c r="AA16" s="20"/>
      <c r="AB16" s="20"/>
      <c r="AC16" s="20"/>
      <c r="AD16" s="19"/>
      <c r="AE16" s="20"/>
      <c r="AF16" s="20"/>
      <c r="AG16" s="19"/>
    </row>
    <row r="17" spans="2:33" x14ac:dyDescent="0.35">
      <c r="B17" s="34" t="s">
        <v>29</v>
      </c>
      <c r="C17" s="11"/>
      <c r="D17" s="49">
        <f>13/19</f>
        <v>0.68421052631578949</v>
      </c>
      <c r="E17" s="41">
        <v>0.7</v>
      </c>
      <c r="J17" s="51" t="s">
        <v>28</v>
      </c>
      <c r="K17" s="50">
        <f>13/23</f>
        <v>0.56521739130434778</v>
      </c>
      <c r="L17" s="41">
        <f>14/24</f>
        <v>0.58333333333333337</v>
      </c>
      <c r="Q17" s="51" t="s">
        <v>28</v>
      </c>
      <c r="R17" s="50">
        <f>13/23</f>
        <v>0.56521739130434778</v>
      </c>
      <c r="S17" s="41">
        <f>14/24</f>
        <v>0.58333333333333337</v>
      </c>
      <c r="Z17" s="15"/>
      <c r="AA17" t="s">
        <v>63</v>
      </c>
      <c r="AB17" t="s">
        <v>62</v>
      </c>
      <c r="AC17" t="s">
        <v>61</v>
      </c>
      <c r="AD17" s="5" t="s">
        <v>60</v>
      </c>
      <c r="AG17" s="5"/>
    </row>
    <row r="18" spans="2:33" ht="15" thickBot="1" x14ac:dyDescent="0.4">
      <c r="B18" s="34" t="s">
        <v>52</v>
      </c>
      <c r="C18" s="11"/>
      <c r="D18" s="49">
        <f>14/19</f>
        <v>0.73684210526315785</v>
      </c>
      <c r="E18" s="49">
        <f>15/20</f>
        <v>0.75</v>
      </c>
      <c r="J18" s="48" t="s">
        <v>32</v>
      </c>
      <c r="K18" s="47">
        <f>18/26</f>
        <v>0.69230769230769229</v>
      </c>
      <c r="L18" s="46">
        <f>19/27</f>
        <v>0.70370370370370372</v>
      </c>
      <c r="Q18" s="48" t="s">
        <v>32</v>
      </c>
      <c r="R18" s="47">
        <f>18/26</f>
        <v>0.69230769230769229</v>
      </c>
      <c r="S18" s="46">
        <f>19/27</f>
        <v>0.70370370370370372</v>
      </c>
      <c r="Z18" s="15" t="s">
        <v>41</v>
      </c>
      <c r="AA18" s="42" t="s">
        <v>59</v>
      </c>
      <c r="AB18" s="43">
        <f>7/19</f>
        <v>0.36842105263157893</v>
      </c>
      <c r="AC18" s="43">
        <f>5/15</f>
        <v>0.33333333333333331</v>
      </c>
      <c r="AD18" s="41">
        <f>6/9</f>
        <v>0.66666666666666663</v>
      </c>
      <c r="AG18" s="5"/>
    </row>
    <row r="19" spans="2:33" ht="15" thickBot="1" x14ac:dyDescent="0.4">
      <c r="B19" s="45" t="s">
        <v>36</v>
      </c>
      <c r="C19" s="3"/>
      <c r="D19" s="44">
        <v>0.72222222222222221</v>
      </c>
      <c r="E19" s="44">
        <v>0.73684210526315785</v>
      </c>
      <c r="Z19" s="15" t="s">
        <v>30</v>
      </c>
      <c r="AA19" s="43">
        <f>12/19</f>
        <v>0.63157894736842102</v>
      </c>
      <c r="AB19" s="42" t="s">
        <v>59</v>
      </c>
      <c r="AC19" s="43">
        <f>4/12</f>
        <v>0.33333333333333331</v>
      </c>
      <c r="AD19" s="41">
        <f>4/5</f>
        <v>0.8</v>
      </c>
      <c r="AG19" s="5"/>
    </row>
    <row r="20" spans="2:33" x14ac:dyDescent="0.35">
      <c r="Z20" s="15" t="s">
        <v>53</v>
      </c>
      <c r="AA20" s="43">
        <f>10/15</f>
        <v>0.66666666666666663</v>
      </c>
      <c r="AB20" s="43">
        <f>8/12</f>
        <v>0.66666666666666663</v>
      </c>
      <c r="AC20" s="42" t="s">
        <v>59</v>
      </c>
      <c r="AD20" s="41">
        <f>4/6</f>
        <v>0.66666666666666663</v>
      </c>
      <c r="AG20" s="5"/>
    </row>
    <row r="21" spans="2:33" ht="15" thickBot="1" x14ac:dyDescent="0.4">
      <c r="Z21" s="10" t="s">
        <v>37</v>
      </c>
      <c r="AA21" s="40">
        <f>3/9</f>
        <v>0.33333333333333331</v>
      </c>
      <c r="AB21" s="40">
        <f>1/5</f>
        <v>0.2</v>
      </c>
      <c r="AC21" s="40">
        <f>2/6</f>
        <v>0.33333333333333331</v>
      </c>
      <c r="AD21" s="39" t="s">
        <v>59</v>
      </c>
      <c r="AG21" s="5"/>
    </row>
    <row r="22" spans="2:33" x14ac:dyDescent="0.35">
      <c r="B22" s="23" t="s">
        <v>46</v>
      </c>
      <c r="C22" s="20"/>
      <c r="D22" s="20"/>
      <c r="E22" s="20"/>
      <c r="F22" s="20"/>
      <c r="G22" s="19"/>
      <c r="J22" s="23" t="s">
        <v>46</v>
      </c>
      <c r="K22" s="20"/>
      <c r="L22" s="20"/>
      <c r="M22" s="20"/>
      <c r="N22" s="20"/>
      <c r="O22" s="19"/>
      <c r="Q22" s="23" t="s">
        <v>46</v>
      </c>
      <c r="R22" s="20"/>
      <c r="S22" s="20"/>
      <c r="T22" s="20"/>
      <c r="U22" s="20"/>
      <c r="V22" s="19"/>
      <c r="Z22" s="15"/>
      <c r="AG22" s="5"/>
    </row>
    <row r="23" spans="2:33" x14ac:dyDescent="0.35">
      <c r="B23" s="15"/>
      <c r="C23" s="6" t="s">
        <v>44</v>
      </c>
      <c r="D23" s="6"/>
      <c r="G23" s="5"/>
      <c r="J23" s="15"/>
      <c r="K23" s="6" t="s">
        <v>44</v>
      </c>
      <c r="L23" s="6"/>
      <c r="O23" s="5"/>
      <c r="Q23" s="15"/>
      <c r="R23" s="6" t="s">
        <v>44</v>
      </c>
      <c r="S23" s="6"/>
      <c r="V23" s="5"/>
      <c r="Z23" s="34" t="s">
        <v>58</v>
      </c>
      <c r="AG23" s="5"/>
    </row>
    <row r="24" spans="2:33" x14ac:dyDescent="0.35">
      <c r="B24" s="37" t="s">
        <v>40</v>
      </c>
      <c r="C24" s="31"/>
      <c r="D24" s="31">
        <f>D16</f>
        <v>0.77777777777777779</v>
      </c>
      <c r="E24" s="30"/>
      <c r="F24" s="14">
        <f>D24*(1-D25)/(D24*(1-D25)+D25*(1-D24))</f>
        <v>0.61764705882352944</v>
      </c>
      <c r="G24" s="38" t="s">
        <v>57</v>
      </c>
      <c r="J24" s="32" t="s">
        <v>34</v>
      </c>
      <c r="K24" s="31"/>
      <c r="L24" s="31">
        <f>K15</f>
        <v>0.5357142857142857</v>
      </c>
      <c r="M24" s="30"/>
      <c r="N24" s="14">
        <f>L24*(1-L25)/(L24*(1-L25)+L25*(1-L24))</f>
        <v>0.5357142857142857</v>
      </c>
      <c r="O24" s="33" t="s">
        <v>56</v>
      </c>
      <c r="Q24" s="32" t="s">
        <v>34</v>
      </c>
      <c r="R24" s="31"/>
      <c r="S24" s="31">
        <f>R15</f>
        <v>0.5357142857142857</v>
      </c>
      <c r="T24" s="30"/>
      <c r="U24" s="14">
        <f>S24*(1-S25)/(S24*(1-S25)+S25*(1-S24))</f>
        <v>0.5357142857142857</v>
      </c>
      <c r="V24" s="33" t="s">
        <v>56</v>
      </c>
      <c r="Z24" s="15" t="s">
        <v>37</v>
      </c>
      <c r="AA24" s="27">
        <f>AC21</f>
        <v>0.33333333333333331</v>
      </c>
      <c r="AG24" s="5"/>
    </row>
    <row r="25" spans="2:33" x14ac:dyDescent="0.35">
      <c r="B25" s="37" t="s">
        <v>29</v>
      </c>
      <c r="C25" s="31"/>
      <c r="D25" s="31">
        <f>D17</f>
        <v>0.68421052631578949</v>
      </c>
      <c r="E25" s="30"/>
      <c r="F25" s="29">
        <f>D25*(1-D24)/(D24*(1-D25)+D25*(1-D24))</f>
        <v>0.38235294117647056</v>
      </c>
      <c r="G25" s="36" t="s">
        <v>55</v>
      </c>
      <c r="J25" s="32" t="s">
        <v>26</v>
      </c>
      <c r="K25" s="31"/>
      <c r="L25" s="31">
        <f>K16</f>
        <v>0.5</v>
      </c>
      <c r="M25" s="30"/>
      <c r="N25" s="29">
        <f>L25*(1-L24)/(L24*(1-L25)+L25*(1-L24))</f>
        <v>0.4642857142857143</v>
      </c>
      <c r="O25" s="28" t="s">
        <v>54</v>
      </c>
      <c r="Q25" s="32" t="s">
        <v>26</v>
      </c>
      <c r="R25" s="31"/>
      <c r="S25" s="31">
        <f>R16</f>
        <v>0.5</v>
      </c>
      <c r="T25" s="30"/>
      <c r="U25" s="29">
        <f>S25*(1-S24)/(S24*(1-S25)+S25*(1-S24))</f>
        <v>0.4642857142857143</v>
      </c>
      <c r="V25" s="28" t="s">
        <v>54</v>
      </c>
      <c r="Z25" s="15" t="s">
        <v>53</v>
      </c>
      <c r="AA25" s="27">
        <f>AD20</f>
        <v>0.66666666666666663</v>
      </c>
      <c r="AG25" s="5"/>
    </row>
    <row r="26" spans="2:33" x14ac:dyDescent="0.35">
      <c r="B26" s="15"/>
      <c r="G26" s="5"/>
      <c r="J26" s="15"/>
      <c r="O26" s="5"/>
      <c r="Q26" s="15"/>
      <c r="V26" s="5"/>
      <c r="Z26" s="15"/>
      <c r="AG26" s="5"/>
    </row>
    <row r="27" spans="2:33" x14ac:dyDescent="0.35">
      <c r="B27" s="15" t="s">
        <v>52</v>
      </c>
      <c r="C27" s="6"/>
      <c r="D27" s="35">
        <f>D18</f>
        <v>0.73684210526315785</v>
      </c>
      <c r="F27" s="24">
        <f>D27*(1-D28)/(D27*(1-D28)+D28*(1-D27))</f>
        <v>0.51851851851851849</v>
      </c>
      <c r="G27" s="5" t="s">
        <v>51</v>
      </c>
      <c r="J27" s="15" t="s">
        <v>32</v>
      </c>
      <c r="K27" s="6"/>
      <c r="L27" s="24">
        <f>K18</f>
        <v>0.69230769230769229</v>
      </c>
      <c r="N27" s="24">
        <f>L27*(1-L28)/(L27*(1-L28)+L28*(1-L27))</f>
        <v>0.63380281690140849</v>
      </c>
      <c r="O27" s="5" t="s">
        <v>50</v>
      </c>
      <c r="Q27" s="15" t="s">
        <v>32</v>
      </c>
      <c r="R27" s="6"/>
      <c r="S27" s="24">
        <f>R18</f>
        <v>0.69230769230769229</v>
      </c>
      <c r="U27" s="24">
        <f>S27*(1-S28)/(S27*(1-S28)+S28*(1-S27))</f>
        <v>0.63380281690140849</v>
      </c>
      <c r="V27" s="5" t="s">
        <v>50</v>
      </c>
      <c r="Z27" s="15" t="s">
        <v>41</v>
      </c>
      <c r="AA27" s="27">
        <f>AB18</f>
        <v>0.36842105263157893</v>
      </c>
      <c r="AG27" s="5"/>
    </row>
    <row r="28" spans="2:33" ht="15" thickBot="1" x14ac:dyDescent="0.4">
      <c r="B28" s="10" t="s">
        <v>36</v>
      </c>
      <c r="C28" s="2"/>
      <c r="D28" s="26">
        <f>D19</f>
        <v>0.72222222222222221</v>
      </c>
      <c r="E28" s="2"/>
      <c r="F28" s="25">
        <f>D28*(1-D27)/(D27*(1-D28)+D28*(1-D27))</f>
        <v>0.48148148148148151</v>
      </c>
      <c r="G28" s="1" t="s">
        <v>49</v>
      </c>
      <c r="J28" s="10" t="s">
        <v>28</v>
      </c>
      <c r="K28" s="2"/>
      <c r="L28" s="26">
        <f>K17</f>
        <v>0.56521739130434778</v>
      </c>
      <c r="M28" s="2"/>
      <c r="N28" s="25">
        <f>L28*(1-L27)/(L27*(1-L28)+L28*(1-L27))</f>
        <v>0.36619718309859151</v>
      </c>
      <c r="O28" s="1" t="s">
        <v>48</v>
      </c>
      <c r="Q28" s="10" t="s">
        <v>28</v>
      </c>
      <c r="R28" s="2"/>
      <c r="S28" s="26">
        <f>R17</f>
        <v>0.56521739130434778</v>
      </c>
      <c r="T28" s="2"/>
      <c r="U28" s="25">
        <f>S28*(1-S27)/(S27*(1-S28)+S28*(1-S27))</f>
        <v>0.36619718309859151</v>
      </c>
      <c r="V28" s="1" t="s">
        <v>48</v>
      </c>
      <c r="Z28" s="15" t="s">
        <v>30</v>
      </c>
      <c r="AA28" s="27">
        <f>AA19</f>
        <v>0.63157894736842102</v>
      </c>
      <c r="AG28" s="5"/>
    </row>
    <row r="29" spans="2:33" ht="15" thickBot="1" x14ac:dyDescent="0.4">
      <c r="Z29" s="15"/>
      <c r="AG29" s="5"/>
    </row>
    <row r="30" spans="2:33" x14ac:dyDescent="0.35">
      <c r="B30" s="21" t="s">
        <v>47</v>
      </c>
      <c r="C30" s="20"/>
      <c r="D30" s="20"/>
      <c r="E30" s="20"/>
      <c r="F30" s="20"/>
      <c r="G30" s="19"/>
      <c r="J30" s="23" t="s">
        <v>46</v>
      </c>
      <c r="K30" s="20"/>
      <c r="L30" s="20"/>
      <c r="M30" s="20"/>
      <c r="N30" s="20"/>
      <c r="O30" s="19"/>
      <c r="Q30" s="23" t="s">
        <v>46</v>
      </c>
      <c r="R30" s="20"/>
      <c r="S30" s="20"/>
      <c r="T30" s="20"/>
      <c r="U30" s="20"/>
      <c r="V30" s="19"/>
      <c r="Z30" s="34" t="s">
        <v>45</v>
      </c>
      <c r="AG30" s="5"/>
    </row>
    <row r="31" spans="2:33" x14ac:dyDescent="0.35">
      <c r="B31" s="15"/>
      <c r="C31" t="s">
        <v>44</v>
      </c>
      <c r="G31" s="5"/>
      <c r="J31" s="15"/>
      <c r="K31" s="6" t="s">
        <v>44</v>
      </c>
      <c r="L31" s="6"/>
      <c r="O31" s="5"/>
      <c r="Q31" s="15"/>
      <c r="R31" s="6" t="s">
        <v>44</v>
      </c>
      <c r="S31" s="6"/>
      <c r="V31" s="5"/>
      <c r="Z31" s="15" t="s">
        <v>37</v>
      </c>
      <c r="AA31" s="27">
        <f>AA21</f>
        <v>0.33333333333333331</v>
      </c>
      <c r="AG31" s="5"/>
    </row>
    <row r="32" spans="2:33" x14ac:dyDescent="0.35">
      <c r="B32" s="15" t="s">
        <v>36</v>
      </c>
      <c r="D32" s="24">
        <f>E19</f>
        <v>0.73684210526315785</v>
      </c>
      <c r="F32" s="24">
        <f>D32*(1-D33)/(D32*(1-D33)+D33*(1-D32))</f>
        <v>0.42748091603053429</v>
      </c>
      <c r="G32" s="5" t="s">
        <v>43</v>
      </c>
      <c r="J32" s="32" t="s">
        <v>34</v>
      </c>
      <c r="K32" s="31"/>
      <c r="L32" s="31">
        <f>L15</f>
        <v>0.55172413793103448</v>
      </c>
      <c r="M32" s="30"/>
      <c r="N32" s="14">
        <f>L32*(1-L33)/(L32*(1-L33)+L33*(1-L32))</f>
        <v>0.34133333333333327</v>
      </c>
      <c r="O32" s="33" t="s">
        <v>42</v>
      </c>
      <c r="Q32" s="32" t="s">
        <v>32</v>
      </c>
      <c r="R32" s="31"/>
      <c r="S32" s="31">
        <f>S18</f>
        <v>0.70370370370370372</v>
      </c>
      <c r="T32" s="30"/>
      <c r="U32" s="14">
        <f>S32*(1-S33)/(S32*(1-S33)+S33*(1-S32))</f>
        <v>0.65866666666666662</v>
      </c>
      <c r="V32" s="33" t="s">
        <v>39</v>
      </c>
      <c r="Z32" s="15" t="s">
        <v>41</v>
      </c>
      <c r="AG32" s="5"/>
    </row>
    <row r="33" spans="2:33" x14ac:dyDescent="0.35">
      <c r="B33" s="15" t="s">
        <v>40</v>
      </c>
      <c r="D33" s="24">
        <f>E16</f>
        <v>0.78947368421052633</v>
      </c>
      <c r="G33" s="5"/>
      <c r="J33" s="32" t="s">
        <v>32</v>
      </c>
      <c r="K33" s="31"/>
      <c r="L33" s="31">
        <f>L18</f>
        <v>0.70370370370370372</v>
      </c>
      <c r="M33" s="30"/>
      <c r="N33" s="29">
        <f>L33*(1-L32)/(L32*(1-L33)+L33*(1-L32))</f>
        <v>0.65866666666666662</v>
      </c>
      <c r="O33" s="28" t="s">
        <v>39</v>
      </c>
      <c r="Q33" s="32" t="s">
        <v>34</v>
      </c>
      <c r="R33" s="31"/>
      <c r="S33" s="31">
        <f>S15</f>
        <v>0.55172413793103448</v>
      </c>
      <c r="T33" s="30"/>
      <c r="U33" s="29">
        <f>S33*(1-S32)/(S32*(1-S33)+S33*(1-S32))</f>
        <v>0.34133333333333327</v>
      </c>
      <c r="V33" s="28" t="s">
        <v>38</v>
      </c>
      <c r="Z33" s="15"/>
      <c r="AG33" s="5"/>
    </row>
    <row r="34" spans="2:33" x14ac:dyDescent="0.35">
      <c r="B34" s="15"/>
      <c r="G34" s="5"/>
      <c r="J34" s="15"/>
      <c r="O34" s="5"/>
      <c r="Q34" s="15"/>
      <c r="V34" s="5"/>
      <c r="Z34" s="15" t="s">
        <v>37</v>
      </c>
      <c r="AA34" s="27">
        <f>AB21</f>
        <v>0.2</v>
      </c>
      <c r="AG34" s="5"/>
    </row>
    <row r="35" spans="2:33" x14ac:dyDescent="0.35">
      <c r="B35" s="15" t="s">
        <v>36</v>
      </c>
      <c r="D35" s="24">
        <f>E19</f>
        <v>0.73684210526315785</v>
      </c>
      <c r="F35" s="24">
        <f>D35*(1-D36)/(D35*(1-D36)+D36*(1-D35))</f>
        <v>0.54545454545454541</v>
      </c>
      <c r="G35" s="5" t="s">
        <v>35</v>
      </c>
      <c r="J35" s="15" t="s">
        <v>34</v>
      </c>
      <c r="K35" s="6"/>
      <c r="L35" s="24">
        <f>L15</f>
        <v>0.55172413793103448</v>
      </c>
      <c r="N35" s="24">
        <f>L35*(1-L36)/(L35*(1-L36)+L36*(1-L35))</f>
        <v>0.46783625730994144</v>
      </c>
      <c r="O35" s="5" t="s">
        <v>33</v>
      </c>
      <c r="Q35" s="15" t="s">
        <v>32</v>
      </c>
      <c r="R35" s="6"/>
      <c r="S35" s="24">
        <f>S18</f>
        <v>0.70370370370370372</v>
      </c>
      <c r="U35" s="24">
        <f>S35*(1-S36)/(S35*(1-S36)+S36*(1-S35))</f>
        <v>0.68802228412256272</v>
      </c>
      <c r="V35" s="5" t="s">
        <v>31</v>
      </c>
      <c r="Z35" s="15" t="s">
        <v>30</v>
      </c>
      <c r="AG35" s="5"/>
    </row>
    <row r="36" spans="2:33" ht="15" thickBot="1" x14ac:dyDescent="0.4">
      <c r="B36" s="10" t="s">
        <v>29</v>
      </c>
      <c r="C36" s="2"/>
      <c r="D36" s="26">
        <f>E17</f>
        <v>0.7</v>
      </c>
      <c r="E36" s="2"/>
      <c r="F36" s="2"/>
      <c r="G36" s="1"/>
      <c r="J36" s="10" t="s">
        <v>28</v>
      </c>
      <c r="K36" s="2"/>
      <c r="L36" s="26">
        <f>L17</f>
        <v>0.58333333333333337</v>
      </c>
      <c r="M36" s="2"/>
      <c r="N36" s="25">
        <f>L36*(1-L35)/(L35*(1-L36)+L36*(1-L35))</f>
        <v>0.53216374269005851</v>
      </c>
      <c r="O36" s="1" t="s">
        <v>27</v>
      </c>
      <c r="Q36" s="10" t="s">
        <v>26</v>
      </c>
      <c r="R36" s="2"/>
      <c r="S36" s="26">
        <f>S16</f>
        <v>0.51851851851851849</v>
      </c>
      <c r="T36" s="2"/>
      <c r="U36" s="25">
        <f>S36*(1-S35)/(S35*(1-S36)+S36*(1-S35))</f>
        <v>0.31197771587743728</v>
      </c>
      <c r="V36" s="1" t="s">
        <v>25</v>
      </c>
      <c r="Z36" s="15"/>
      <c r="AG36" s="5"/>
    </row>
    <row r="37" spans="2:33" x14ac:dyDescent="0.35">
      <c r="Z37" s="15"/>
      <c r="AG37" s="5"/>
    </row>
    <row r="38" spans="2:33" x14ac:dyDescent="0.35">
      <c r="B38" t="s">
        <v>24</v>
      </c>
      <c r="E38" s="24">
        <f>F24*F32</f>
        <v>0.26403233048944763</v>
      </c>
      <c r="G38" t="s">
        <v>21</v>
      </c>
      <c r="J38" t="s">
        <v>23</v>
      </c>
      <c r="M38" s="24">
        <f>N24*N32</f>
        <v>0.18285714285714283</v>
      </c>
      <c r="O38" t="s">
        <v>21</v>
      </c>
      <c r="Q38" t="s">
        <v>22</v>
      </c>
      <c r="T38" s="24">
        <f>U27*U32</f>
        <v>0.41746478873239434</v>
      </c>
      <c r="V38" t="s">
        <v>21</v>
      </c>
      <c r="Z38" s="15" t="s">
        <v>20</v>
      </c>
      <c r="AC38" s="24">
        <f>(AA24*AA31) +(AA24*AA34)</f>
        <v>0.17777777777777776</v>
      </c>
      <c r="AG38" s="5"/>
    </row>
    <row r="39" spans="2:33" x14ac:dyDescent="0.35">
      <c r="G39" s="24">
        <f>E38+E40</f>
        <v>0.4725884802220679</v>
      </c>
      <c r="O39" s="24">
        <f>M38+M40</f>
        <v>0.40006683375104424</v>
      </c>
      <c r="V39" s="24">
        <f>T38+T40</f>
        <v>0.85353525050021584</v>
      </c>
      <c r="Z39" s="15" t="s">
        <v>19</v>
      </c>
      <c r="AG39" s="5"/>
    </row>
    <row r="40" spans="2:33" ht="15" thickBot="1" x14ac:dyDescent="0.4">
      <c r="B40" t="s">
        <v>18</v>
      </c>
      <c r="E40" s="24">
        <f>F25*F35</f>
        <v>0.20855614973262029</v>
      </c>
      <c r="J40" t="s">
        <v>17</v>
      </c>
      <c r="M40" s="24">
        <f>N25*N35</f>
        <v>0.21720969089390138</v>
      </c>
      <c r="Q40" t="s">
        <v>16</v>
      </c>
      <c r="T40" s="24">
        <f>U27*U35</f>
        <v>0.43607046176782149</v>
      </c>
      <c r="Z40" s="15"/>
      <c r="AG40" s="5"/>
    </row>
    <row r="41" spans="2:33" ht="15" thickBot="1" x14ac:dyDescent="0.4">
      <c r="B41" s="23" t="s">
        <v>15</v>
      </c>
      <c r="C41" s="20"/>
      <c r="D41" s="20"/>
      <c r="E41" s="20"/>
      <c r="F41" s="20"/>
      <c r="G41" s="19"/>
      <c r="Z41" s="10" t="s">
        <v>14</v>
      </c>
      <c r="AA41" s="2"/>
      <c r="AB41" s="2"/>
      <c r="AC41" s="2"/>
      <c r="AD41" s="2"/>
      <c r="AE41" s="2"/>
      <c r="AF41" s="2"/>
      <c r="AG41" s="22">
        <f>AA24*AC38</f>
        <v>5.9259259259259248E-2</v>
      </c>
    </row>
    <row r="42" spans="2:33" x14ac:dyDescent="0.35">
      <c r="B42" s="21"/>
      <c r="C42" s="20" t="s">
        <v>13</v>
      </c>
      <c r="D42" s="20" t="s">
        <v>12</v>
      </c>
      <c r="E42" s="20"/>
      <c r="F42" s="20"/>
      <c r="G42" s="19"/>
      <c r="J42" s="18" t="s">
        <v>11</v>
      </c>
      <c r="K42" s="17"/>
      <c r="L42" s="17"/>
      <c r="M42" s="17"/>
      <c r="N42" s="17"/>
      <c r="Q42" s="18" t="s">
        <v>11</v>
      </c>
      <c r="R42" s="17"/>
      <c r="S42" s="17"/>
      <c r="T42" s="17"/>
      <c r="U42" s="17"/>
    </row>
    <row r="43" spans="2:33" x14ac:dyDescent="0.35">
      <c r="B43" s="15" t="s">
        <v>10</v>
      </c>
      <c r="C43" s="12">
        <f>F28</f>
        <v>0.48148148148148151</v>
      </c>
      <c r="D43" s="12">
        <f>G39</f>
        <v>0.4725884802220679</v>
      </c>
      <c r="E43" s="11">
        <f>C43*D43</f>
        <v>0.22754260158840309</v>
      </c>
      <c r="F43" t="s">
        <v>9</v>
      </c>
      <c r="G43" s="5"/>
      <c r="J43" s="17" t="s">
        <v>8</v>
      </c>
      <c r="K43" s="17" t="s">
        <v>7</v>
      </c>
      <c r="L43" s="17"/>
      <c r="M43" s="17"/>
      <c r="N43" s="17"/>
      <c r="Q43" s="17" t="s">
        <v>6</v>
      </c>
      <c r="R43" s="17" t="s">
        <v>5</v>
      </c>
      <c r="S43" s="17"/>
      <c r="T43" s="17"/>
      <c r="U43" s="17"/>
    </row>
    <row r="44" spans="2:33" x14ac:dyDescent="0.35">
      <c r="B44" s="15" t="s">
        <v>4</v>
      </c>
      <c r="C44" s="11">
        <f>F28</f>
        <v>0.48148148148148151</v>
      </c>
      <c r="D44" s="12"/>
      <c r="E44" s="11">
        <f>C44*D44</f>
        <v>0</v>
      </c>
      <c r="F44" t="s">
        <v>3</v>
      </c>
      <c r="G44" s="5"/>
      <c r="J44" s="16">
        <f>N24</f>
        <v>0.5357142857142857</v>
      </c>
      <c r="K44" s="12">
        <f>O39</f>
        <v>0.40006683375104424</v>
      </c>
      <c r="L44" s="11">
        <f>J44*K44</f>
        <v>0.21432151808091654</v>
      </c>
      <c r="N44" s="5"/>
      <c r="Q44" s="16">
        <f>U24</f>
        <v>0.5357142857142857</v>
      </c>
      <c r="R44" s="12">
        <f>V39</f>
        <v>0.85353525050021584</v>
      </c>
      <c r="S44" s="11">
        <f>Q44*R44</f>
        <v>0.45725102705368703</v>
      </c>
      <c r="U44" s="5"/>
    </row>
    <row r="45" spans="2:33" x14ac:dyDescent="0.35">
      <c r="B45" s="15"/>
      <c r="C45" s="11"/>
      <c r="D45" s="11"/>
      <c r="E45" s="14">
        <f>E43</f>
        <v>0.22754260158840309</v>
      </c>
      <c r="F45" s="13" t="s">
        <v>2</v>
      </c>
      <c r="G45" s="5"/>
      <c r="J45" s="9">
        <f>N24</f>
        <v>0.5357142857142857</v>
      </c>
      <c r="K45" s="12"/>
      <c r="L45" s="11"/>
      <c r="N45" s="5"/>
      <c r="Q45" s="9">
        <f>U24</f>
        <v>0.5357142857142857</v>
      </c>
      <c r="R45" s="12"/>
      <c r="S45" s="11"/>
      <c r="U45" s="5"/>
    </row>
    <row r="46" spans="2:33" ht="15" thickBot="1" x14ac:dyDescent="0.4">
      <c r="B46" s="10"/>
      <c r="C46" s="3"/>
      <c r="D46" s="3"/>
      <c r="E46" s="3"/>
      <c r="F46" s="2"/>
      <c r="G46" s="1"/>
      <c r="J46" s="9"/>
      <c r="K46" s="8" t="s">
        <v>1</v>
      </c>
      <c r="L46" s="7">
        <f>L44</f>
        <v>0.21432151808091654</v>
      </c>
      <c r="M46" s="6"/>
      <c r="N46" s="5"/>
      <c r="Q46" s="9"/>
      <c r="R46" s="8" t="s">
        <v>0</v>
      </c>
      <c r="S46" s="7">
        <f>S44</f>
        <v>0.45725102705368703</v>
      </c>
      <c r="T46" s="6"/>
      <c r="U46" s="5"/>
    </row>
    <row r="47" spans="2:33" ht="15" thickBot="1" x14ac:dyDescent="0.4">
      <c r="J47" s="4"/>
      <c r="K47" s="3"/>
      <c r="L47" s="3"/>
      <c r="M47" s="2"/>
      <c r="N47" s="1"/>
      <c r="Q47" s="4"/>
      <c r="R47" s="3"/>
      <c r="S47" s="3"/>
      <c r="T47" s="2"/>
      <c r="U4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HW1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Griffin Collins</dc:creator>
  <cp:lastModifiedBy>Griffin Collins</cp:lastModifiedBy>
  <dcterms:created xsi:type="dcterms:W3CDTF">2024-01-31T17:53:54Z</dcterms:created>
  <dcterms:modified xsi:type="dcterms:W3CDTF">2024-01-31T17:54:30Z</dcterms:modified>
</cp:coreProperties>
</file>