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bryantu-my.sharepoint.com/personal/glajoie_bryant_edu/Documents/Desktop/Supply Chain 330/Module 10/"/>
    </mc:Choice>
  </mc:AlternateContent>
  <xr:revisionPtr revIDLastSave="1865" documentId="11_F25DC773A252ABDACC10488329DE698A5BDE58E4" xr6:coauthVersionLast="47" xr6:coauthVersionMax="47" xr10:uidLastSave="{9DC0CF8F-5FF3-48B4-B417-8C8606C0E9A2}"/>
  <bookViews>
    <workbookView xWindow="-110" yWindow="-110" windowWidth="19420" windowHeight="11500" xr2:uid="{00000000-000D-0000-FFFF-FFFF00000000}"/>
  </bookViews>
  <sheets>
    <sheet name="Model Stipulation" sheetId="9" r:id="rId1"/>
    <sheet name="All Conditions" sheetId="8" r:id="rId2"/>
    <sheet name="Min Congestion Levels" sheetId="6" r:id="rId3"/>
    <sheet name="Max Eco Friendly" sheetId="5" r:id="rId4"/>
    <sheet name="Min Distance" sheetId="4" r:id="rId5"/>
    <sheet name="Min Trans Cost" sheetId="1" r:id="rId6"/>
    <sheet name="GriffsCandy_Module10_Connection" sheetId="2" r:id="rId7"/>
    <sheet name="GriffsCandy_Module10_Locations" sheetId="3" r:id="rId8"/>
  </sheets>
  <definedNames>
    <definedName name="solver_adj" localSheetId="1" hidden="1">'All Conditions'!$B$4:$B$27,'All Conditions'!$S$13</definedName>
    <definedName name="solver_adj" localSheetId="3" hidden="1">'Max Eco Friendly'!$B$4:$B$27</definedName>
    <definedName name="solver_adj" localSheetId="2" hidden="1">'Min Congestion Levels'!$B$4:$B$27</definedName>
    <definedName name="solver_adj" localSheetId="4" hidden="1">'Min Distance'!$B$4:$B$27</definedName>
    <definedName name="solver_adj" localSheetId="5" hidden="1">'Min Trans Cost'!$B$4:$B$27</definedName>
    <definedName name="solver_adj" localSheetId="0" hidden="1">'Model Stipulation'!$B$4:$B$27,'Model Stipulation'!$V$13</definedName>
    <definedName name="solver_cvg" localSheetId="1" hidden="1">0.0001</definedName>
    <definedName name="solver_cvg" localSheetId="3" hidden="1">0.0001</definedName>
    <definedName name="solver_cvg" localSheetId="2" hidden="1">0.0001</definedName>
    <definedName name="solver_cvg" localSheetId="4" hidden="1">0.0001</definedName>
    <definedName name="solver_cvg" localSheetId="5" hidden="1">0.0001</definedName>
    <definedName name="solver_cvg" localSheetId="0" hidden="1">0.0001</definedName>
    <definedName name="solver_drv" localSheetId="1" hidden="1">2</definedName>
    <definedName name="solver_drv" localSheetId="3" hidden="1">2</definedName>
    <definedName name="solver_drv" localSheetId="2" hidden="1">2</definedName>
    <definedName name="solver_drv" localSheetId="4" hidden="1">2</definedName>
    <definedName name="solver_drv" localSheetId="5" hidden="1">2</definedName>
    <definedName name="solver_drv" localSheetId="0" hidden="1">2</definedName>
    <definedName name="solver_eng" localSheetId="1" hidden="1">2</definedName>
    <definedName name="solver_eng" localSheetId="3" hidden="1">2</definedName>
    <definedName name="solver_eng" localSheetId="2" hidden="1">2</definedName>
    <definedName name="solver_eng" localSheetId="4" hidden="1">2</definedName>
    <definedName name="solver_eng" localSheetId="5" hidden="1">2</definedName>
    <definedName name="solver_eng" localSheetId="0" hidden="1">2</definedName>
    <definedName name="solver_est" localSheetId="1" hidden="1">1</definedName>
    <definedName name="solver_est" localSheetId="3" hidden="1">1</definedName>
    <definedName name="solver_est" localSheetId="2" hidden="1">1</definedName>
    <definedName name="solver_est" localSheetId="4" hidden="1">1</definedName>
    <definedName name="solver_est" localSheetId="5" hidden="1">1</definedName>
    <definedName name="solver_est" localSheetId="0" hidden="1">1</definedName>
    <definedName name="solver_itr" localSheetId="1" hidden="1">2147483647</definedName>
    <definedName name="solver_itr" localSheetId="3" hidden="1">2147483647</definedName>
    <definedName name="solver_itr" localSheetId="2" hidden="1">2147483647</definedName>
    <definedName name="solver_itr" localSheetId="4" hidden="1">2147483647</definedName>
    <definedName name="solver_itr" localSheetId="5" hidden="1">2147483647</definedName>
    <definedName name="solver_itr" localSheetId="0" hidden="1">2147483647</definedName>
    <definedName name="solver_lhs1" localSheetId="1" hidden="1">'All Conditions'!$B$4:$B$27</definedName>
    <definedName name="solver_lhs1" localSheetId="3" hidden="1">'Max Eco Friendly'!$B$4:$B$27</definedName>
    <definedName name="solver_lhs1" localSheetId="2" hidden="1">'Min Congestion Levels'!$B$4:$B$27</definedName>
    <definedName name="solver_lhs1" localSheetId="4" hidden="1">'Min Distance'!$B$4:$B$27</definedName>
    <definedName name="solver_lhs1" localSheetId="5" hidden="1">'Min Trans Cost'!$B$4:$B$27</definedName>
    <definedName name="solver_lhs1" localSheetId="0" hidden="1">'Model Stipulation'!$B$4:$B$27</definedName>
    <definedName name="solver_lhs2" localSheetId="1" hidden="1">'All Conditions'!$AG$4:$AG$10</definedName>
    <definedName name="solver_lhs2" localSheetId="3" hidden="1">'Max Eco Friendly'!$Y$4:$Y$10</definedName>
    <definedName name="solver_lhs2" localSheetId="2" hidden="1">'Min Congestion Levels'!$AA$4:$AA$10</definedName>
    <definedName name="solver_lhs2" localSheetId="4" hidden="1">'Min Distance'!$W$4:$W$10</definedName>
    <definedName name="solver_lhs2" localSheetId="5" hidden="1">'Min Trans Cost'!$W$4:$W$10</definedName>
    <definedName name="solver_lhs2" localSheetId="0" hidden="1">'Model Stipulation'!$AJ$4:$AJ$10</definedName>
    <definedName name="solver_lhs3" localSheetId="1" hidden="1">'All Conditions'!$X$6:$X$9</definedName>
    <definedName name="solver_lhs3" localSheetId="0" hidden="1">'Model Stipulation'!$AA$6:$AA$9</definedName>
    <definedName name="solver_mip" localSheetId="1" hidden="1">2147483647</definedName>
    <definedName name="solver_mip" localSheetId="3" hidden="1">2147483647</definedName>
    <definedName name="solver_mip" localSheetId="2" hidden="1">2147483647</definedName>
    <definedName name="solver_mip" localSheetId="4" hidden="1">2147483647</definedName>
    <definedName name="solver_mip" localSheetId="5" hidden="1">2147483647</definedName>
    <definedName name="solver_mip" localSheetId="0" hidden="1">2147483647</definedName>
    <definedName name="solver_mni" localSheetId="1" hidden="1">30</definedName>
    <definedName name="solver_mni" localSheetId="3" hidden="1">30</definedName>
    <definedName name="solver_mni" localSheetId="2" hidden="1">30</definedName>
    <definedName name="solver_mni" localSheetId="4" hidden="1">30</definedName>
    <definedName name="solver_mni" localSheetId="5" hidden="1">30</definedName>
    <definedName name="solver_mni" localSheetId="0" hidden="1">30</definedName>
    <definedName name="solver_mrt" localSheetId="1" hidden="1">0.075</definedName>
    <definedName name="solver_mrt" localSheetId="3" hidden="1">0.075</definedName>
    <definedName name="solver_mrt" localSheetId="2" hidden="1">0.075</definedName>
    <definedName name="solver_mrt" localSheetId="4" hidden="1">0.075</definedName>
    <definedName name="solver_mrt" localSheetId="5" hidden="1">0.075</definedName>
    <definedName name="solver_mrt" localSheetId="0" hidden="1">0.075</definedName>
    <definedName name="solver_msl" localSheetId="1" hidden="1">2</definedName>
    <definedName name="solver_msl" localSheetId="3" hidden="1">2</definedName>
    <definedName name="solver_msl" localSheetId="2" hidden="1">2</definedName>
    <definedName name="solver_msl" localSheetId="4" hidden="1">2</definedName>
    <definedName name="solver_msl" localSheetId="5" hidden="1">2</definedName>
    <definedName name="solver_msl" localSheetId="0" hidden="1">2</definedName>
    <definedName name="solver_neg" localSheetId="1" hidden="1">2</definedName>
    <definedName name="solver_neg" localSheetId="3" hidden="1">1</definedName>
    <definedName name="solver_neg" localSheetId="2" hidden="1">1</definedName>
    <definedName name="solver_neg" localSheetId="4" hidden="1">1</definedName>
    <definedName name="solver_neg" localSheetId="5" hidden="1">1</definedName>
    <definedName name="solver_neg" localSheetId="0" hidden="1">2</definedName>
    <definedName name="solver_nod" localSheetId="1" hidden="1">2147483647</definedName>
    <definedName name="solver_nod" localSheetId="3" hidden="1">2147483647</definedName>
    <definedName name="solver_nod" localSheetId="2" hidden="1">2147483647</definedName>
    <definedName name="solver_nod" localSheetId="4" hidden="1">2147483647</definedName>
    <definedName name="solver_nod" localSheetId="5" hidden="1">2147483647</definedName>
    <definedName name="solver_nod" localSheetId="0" hidden="1">2147483647</definedName>
    <definedName name="solver_num" localSheetId="1" hidden="1">3</definedName>
    <definedName name="solver_num" localSheetId="3" hidden="1">2</definedName>
    <definedName name="solver_num" localSheetId="2" hidden="1">2</definedName>
    <definedName name="solver_num" localSheetId="4" hidden="1">2</definedName>
    <definedName name="solver_num" localSheetId="5" hidden="1">2</definedName>
    <definedName name="solver_num" localSheetId="0" hidden="1">3</definedName>
    <definedName name="solver_nwt" localSheetId="1" hidden="1">1</definedName>
    <definedName name="solver_nwt" localSheetId="3" hidden="1">1</definedName>
    <definedName name="solver_nwt" localSheetId="2" hidden="1">1</definedName>
    <definedName name="solver_nwt" localSheetId="4" hidden="1">1</definedName>
    <definedName name="solver_nwt" localSheetId="5" hidden="1">1</definedName>
    <definedName name="solver_nwt" localSheetId="0" hidden="1">1</definedName>
    <definedName name="solver_opt" localSheetId="1" hidden="1">'All Conditions'!$S$9</definedName>
    <definedName name="solver_opt" localSheetId="3" hidden="1">'Max Eco Friendly'!$Q$2</definedName>
    <definedName name="solver_opt" localSheetId="2" hidden="1">'Min Congestion Levels'!$S$2</definedName>
    <definedName name="solver_opt" localSheetId="4" hidden="1">'Min Distance'!$O$2</definedName>
    <definedName name="solver_opt" localSheetId="5" hidden="1">'Min Trans Cost'!$X$30</definedName>
    <definedName name="solver_opt" localSheetId="0" hidden="1">'Model Stipulation'!$V$9</definedName>
    <definedName name="solver_pre" localSheetId="1" hidden="1">0.000001</definedName>
    <definedName name="solver_pre" localSheetId="3" hidden="1">0.000001</definedName>
    <definedName name="solver_pre" localSheetId="2" hidden="1">0.000001</definedName>
    <definedName name="solver_pre" localSheetId="4" hidden="1">0.000001</definedName>
    <definedName name="solver_pre" localSheetId="5" hidden="1">0.000001</definedName>
    <definedName name="solver_pre" localSheetId="0" hidden="1">0.000001</definedName>
    <definedName name="solver_rbv" localSheetId="1" hidden="1">2</definedName>
    <definedName name="solver_rbv" localSheetId="3" hidden="1">2</definedName>
    <definedName name="solver_rbv" localSheetId="2" hidden="1">2</definedName>
    <definedName name="solver_rbv" localSheetId="4" hidden="1">2</definedName>
    <definedName name="solver_rbv" localSheetId="5" hidden="1">2</definedName>
    <definedName name="solver_rbv" localSheetId="0" hidden="1">2</definedName>
    <definedName name="solver_rel1" localSheetId="1" hidden="1">3</definedName>
    <definedName name="solver_rel1" localSheetId="3" hidden="1">3</definedName>
    <definedName name="solver_rel1" localSheetId="2" hidden="1">3</definedName>
    <definedName name="solver_rel1" localSheetId="4" hidden="1">3</definedName>
    <definedName name="solver_rel1" localSheetId="5" hidden="1">3</definedName>
    <definedName name="solver_rel1" localSheetId="0" hidden="1">3</definedName>
    <definedName name="solver_rel2" localSheetId="1" hidden="1">1</definedName>
    <definedName name="solver_rel2" localSheetId="3" hidden="1">1</definedName>
    <definedName name="solver_rel2" localSheetId="2" hidden="1">1</definedName>
    <definedName name="solver_rel2" localSheetId="4" hidden="1">1</definedName>
    <definedName name="solver_rel2" localSheetId="5" hidden="1">1</definedName>
    <definedName name="solver_rel2" localSheetId="0" hidden="1">1</definedName>
    <definedName name="solver_rel3" localSheetId="1" hidden="1">1</definedName>
    <definedName name="solver_rel3" localSheetId="0" hidden="1">1</definedName>
    <definedName name="solver_rhs1" localSheetId="1" hidden="1">0</definedName>
    <definedName name="solver_rhs1" localSheetId="3" hidden="1">0</definedName>
    <definedName name="solver_rhs1" localSheetId="2" hidden="1">0</definedName>
    <definedName name="solver_rhs1" localSheetId="4" hidden="1">0</definedName>
    <definedName name="solver_rhs1" localSheetId="5" hidden="1">0</definedName>
    <definedName name="solver_rhs1" localSheetId="0" hidden="1">0</definedName>
    <definedName name="solver_rhs2" localSheetId="1" hidden="1">'All Conditions'!$AH$4:$AH$10</definedName>
    <definedName name="solver_rhs2" localSheetId="3" hidden="1">'Max Eco Friendly'!$Z$4:$Z$10</definedName>
    <definedName name="solver_rhs2" localSheetId="2" hidden="1">'Min Congestion Levels'!$AB$4:$AB$10</definedName>
    <definedName name="solver_rhs2" localSheetId="4" hidden="1">'Min Distance'!$X$4:$X$10</definedName>
    <definedName name="solver_rhs2" localSheetId="5" hidden="1">'Min Trans Cost'!$X$4:$X$10</definedName>
    <definedName name="solver_rhs2" localSheetId="0" hidden="1">'Model Stipulation'!$AK$4:$AK$10</definedName>
    <definedName name="solver_rhs3" localSheetId="1" hidden="1">'All Conditions'!$S$13</definedName>
    <definedName name="solver_rhs3" localSheetId="0" hidden="1">'Model Stipulation'!$V$13</definedName>
    <definedName name="solver_rlx" localSheetId="1" hidden="1">2</definedName>
    <definedName name="solver_rlx" localSheetId="3" hidden="1">2</definedName>
    <definedName name="solver_rlx" localSheetId="2" hidden="1">2</definedName>
    <definedName name="solver_rlx" localSheetId="4" hidden="1">2</definedName>
    <definedName name="solver_rlx" localSheetId="5" hidden="1">2</definedName>
    <definedName name="solver_rlx" localSheetId="0" hidden="1">2</definedName>
    <definedName name="solver_rsd" localSheetId="1" hidden="1">0</definedName>
    <definedName name="solver_rsd" localSheetId="3" hidden="1">0</definedName>
    <definedName name="solver_rsd" localSheetId="2" hidden="1">0</definedName>
    <definedName name="solver_rsd" localSheetId="4" hidden="1">0</definedName>
    <definedName name="solver_rsd" localSheetId="5" hidden="1">0</definedName>
    <definedName name="solver_rsd" localSheetId="0" hidden="1">0</definedName>
    <definedName name="solver_scl" localSheetId="1" hidden="1">2</definedName>
    <definedName name="solver_scl" localSheetId="3" hidden="1">2</definedName>
    <definedName name="solver_scl" localSheetId="2" hidden="1">2</definedName>
    <definedName name="solver_scl" localSheetId="4" hidden="1">2</definedName>
    <definedName name="solver_scl" localSheetId="5" hidden="1">2</definedName>
    <definedName name="solver_scl" localSheetId="0" hidden="1">2</definedName>
    <definedName name="solver_sho" localSheetId="1" hidden="1">2</definedName>
    <definedName name="solver_sho" localSheetId="3" hidden="1">2</definedName>
    <definedName name="solver_sho" localSheetId="2" hidden="1">2</definedName>
    <definedName name="solver_sho" localSheetId="4" hidden="1">2</definedName>
    <definedName name="solver_sho" localSheetId="5" hidden="1">2</definedName>
    <definedName name="solver_sho" localSheetId="0" hidden="1">2</definedName>
    <definedName name="solver_ssz" localSheetId="1" hidden="1">100</definedName>
    <definedName name="solver_ssz" localSheetId="3" hidden="1">100</definedName>
    <definedName name="solver_ssz" localSheetId="2" hidden="1">100</definedName>
    <definedName name="solver_ssz" localSheetId="4" hidden="1">100</definedName>
    <definedName name="solver_ssz" localSheetId="5" hidden="1">100</definedName>
    <definedName name="solver_ssz" localSheetId="0" hidden="1">100</definedName>
    <definedName name="solver_tim" localSheetId="1" hidden="1">2147483647</definedName>
    <definedName name="solver_tim" localSheetId="3" hidden="1">2147483647</definedName>
    <definedName name="solver_tim" localSheetId="2" hidden="1">2147483647</definedName>
    <definedName name="solver_tim" localSheetId="4" hidden="1">2147483647</definedName>
    <definedName name="solver_tim" localSheetId="5" hidden="1">2147483647</definedName>
    <definedName name="solver_tim" localSheetId="0" hidden="1">2147483647</definedName>
    <definedName name="solver_tol" localSheetId="1" hidden="1">0.01</definedName>
    <definedName name="solver_tol" localSheetId="3" hidden="1">0.01</definedName>
    <definedName name="solver_tol" localSheetId="2" hidden="1">0.01</definedName>
    <definedName name="solver_tol" localSheetId="4" hidden="1">0.01</definedName>
    <definedName name="solver_tol" localSheetId="5" hidden="1">0.01</definedName>
    <definedName name="solver_tol" localSheetId="0" hidden="1">0.01</definedName>
    <definedName name="solver_typ" localSheetId="1" hidden="1">2</definedName>
    <definedName name="solver_typ" localSheetId="3" hidden="1">2</definedName>
    <definedName name="solver_typ" localSheetId="2" hidden="1">2</definedName>
    <definedName name="solver_typ" localSheetId="4" hidden="1">2</definedName>
    <definedName name="solver_typ" localSheetId="5" hidden="1">2</definedName>
    <definedName name="solver_typ" localSheetId="0" hidden="1">2</definedName>
    <definedName name="solver_val" localSheetId="1" hidden="1">0</definedName>
    <definedName name="solver_val" localSheetId="3" hidden="1">0</definedName>
    <definedName name="solver_val" localSheetId="2" hidden="1">0</definedName>
    <definedName name="solver_val" localSheetId="4" hidden="1">0</definedName>
    <definedName name="solver_val" localSheetId="5" hidden="1">0</definedName>
    <definedName name="solver_val" localSheetId="0" hidden="1">0</definedName>
    <definedName name="solver_ver" localSheetId="1" hidden="1">3</definedName>
    <definedName name="solver_ver" localSheetId="3" hidden="1">3</definedName>
    <definedName name="solver_ver" localSheetId="2" hidden="1">3</definedName>
    <definedName name="solver_ver" localSheetId="4" hidden="1">3</definedName>
    <definedName name="solver_ver" localSheetId="5" hidden="1">3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" i="9" l="1"/>
  <c r="S6" i="9"/>
  <c r="S7" i="9"/>
  <c r="S8" i="9"/>
  <c r="S9" i="9"/>
  <c r="S10" i="9"/>
  <c r="S11" i="9"/>
  <c r="S12" i="9"/>
  <c r="S13" i="9"/>
  <c r="S14" i="9"/>
  <c r="S15" i="9"/>
  <c r="S16" i="9"/>
  <c r="S17" i="9"/>
  <c r="S18" i="9"/>
  <c r="S19" i="9"/>
  <c r="S20" i="9"/>
  <c r="S21" i="9"/>
  <c r="S22" i="9"/>
  <c r="S23" i="9"/>
  <c r="S24" i="9"/>
  <c r="S25" i="9"/>
  <c r="S26" i="9"/>
  <c r="S27" i="9"/>
  <c r="S4" i="9"/>
  <c r="Q38" i="9" s="1"/>
  <c r="R20" i="9"/>
  <c r="R22" i="9"/>
  <c r="R23" i="9"/>
  <c r="R24" i="9"/>
  <c r="V6" i="9"/>
  <c r="X6" i="9" s="1"/>
  <c r="Y6" i="9" s="1"/>
  <c r="AA6" i="9" s="1"/>
  <c r="O27" i="9"/>
  <c r="L27" i="9"/>
  <c r="R27" i="9" s="1"/>
  <c r="J27" i="9"/>
  <c r="I27" i="9"/>
  <c r="H27" i="9"/>
  <c r="F27" i="9"/>
  <c r="E27" i="9"/>
  <c r="D27" i="9"/>
  <c r="O26" i="9"/>
  <c r="L26" i="9"/>
  <c r="R26" i="9" s="1"/>
  <c r="J26" i="9"/>
  <c r="I26" i="9"/>
  <c r="M26" i="9" s="1"/>
  <c r="Q26" i="9" s="1"/>
  <c r="H26" i="9"/>
  <c r="F26" i="9"/>
  <c r="E26" i="9"/>
  <c r="D26" i="9"/>
  <c r="O25" i="9"/>
  <c r="L25" i="9"/>
  <c r="R25" i="9" s="1"/>
  <c r="J25" i="9"/>
  <c r="I25" i="9"/>
  <c r="H25" i="9"/>
  <c r="F25" i="9"/>
  <c r="E25" i="9"/>
  <c r="D25" i="9"/>
  <c r="O24" i="9"/>
  <c r="L24" i="9"/>
  <c r="J24" i="9"/>
  <c r="I24" i="9"/>
  <c r="H24" i="9"/>
  <c r="F24" i="9"/>
  <c r="E24" i="9"/>
  <c r="D24" i="9"/>
  <c r="O23" i="9"/>
  <c r="L23" i="9"/>
  <c r="J23" i="9"/>
  <c r="I23" i="9"/>
  <c r="H23" i="9"/>
  <c r="F23" i="9"/>
  <c r="E23" i="9"/>
  <c r="D23" i="9"/>
  <c r="O22" i="9"/>
  <c r="L22" i="9"/>
  <c r="J22" i="9"/>
  <c r="I22" i="9"/>
  <c r="H22" i="9"/>
  <c r="F22" i="9"/>
  <c r="E22" i="9"/>
  <c r="D22" i="9"/>
  <c r="O21" i="9"/>
  <c r="L21" i="9"/>
  <c r="R21" i="9" s="1"/>
  <c r="J21" i="9"/>
  <c r="I21" i="9"/>
  <c r="H21" i="9"/>
  <c r="F21" i="9"/>
  <c r="E21" i="9"/>
  <c r="D21" i="9"/>
  <c r="O20" i="9"/>
  <c r="L20" i="9"/>
  <c r="J20" i="9"/>
  <c r="I20" i="9"/>
  <c r="H20" i="9"/>
  <c r="F20" i="9"/>
  <c r="E20" i="9"/>
  <c r="D20" i="9"/>
  <c r="O19" i="9"/>
  <c r="L19" i="9"/>
  <c r="R19" i="9" s="1"/>
  <c r="J19" i="9"/>
  <c r="I19" i="9"/>
  <c r="H19" i="9"/>
  <c r="F19" i="9"/>
  <c r="E19" i="9"/>
  <c r="D19" i="9"/>
  <c r="O18" i="9"/>
  <c r="L18" i="9"/>
  <c r="R18" i="9" s="1"/>
  <c r="J18" i="9"/>
  <c r="I18" i="9"/>
  <c r="H18" i="9"/>
  <c r="F18" i="9"/>
  <c r="E18" i="9"/>
  <c r="D18" i="9"/>
  <c r="O17" i="9"/>
  <c r="L17" i="9"/>
  <c r="R17" i="9" s="1"/>
  <c r="J17" i="9"/>
  <c r="I17" i="9"/>
  <c r="H17" i="9"/>
  <c r="F17" i="9"/>
  <c r="E17" i="9"/>
  <c r="D17" i="9"/>
  <c r="O16" i="9"/>
  <c r="L16" i="9"/>
  <c r="R16" i="9" s="1"/>
  <c r="J16" i="9"/>
  <c r="I16" i="9"/>
  <c r="H16" i="9"/>
  <c r="F16" i="9"/>
  <c r="E16" i="9"/>
  <c r="D16" i="9"/>
  <c r="O15" i="9"/>
  <c r="L15" i="9"/>
  <c r="R15" i="9" s="1"/>
  <c r="J15" i="9"/>
  <c r="I15" i="9"/>
  <c r="H15" i="9"/>
  <c r="F15" i="9"/>
  <c r="E15" i="9"/>
  <c r="D15" i="9"/>
  <c r="O14" i="9"/>
  <c r="L14" i="9"/>
  <c r="R14" i="9" s="1"/>
  <c r="J14" i="9"/>
  <c r="I14" i="9"/>
  <c r="H14" i="9"/>
  <c r="F14" i="9"/>
  <c r="E14" i="9"/>
  <c r="D14" i="9"/>
  <c r="O13" i="9"/>
  <c r="L13" i="9"/>
  <c r="R13" i="9" s="1"/>
  <c r="J13" i="9"/>
  <c r="I13" i="9"/>
  <c r="H13" i="9"/>
  <c r="F13" i="9"/>
  <c r="E13" i="9"/>
  <c r="D13" i="9"/>
  <c r="O12" i="9"/>
  <c r="L12" i="9"/>
  <c r="R12" i="9" s="1"/>
  <c r="J12" i="9"/>
  <c r="I12" i="9"/>
  <c r="H12" i="9"/>
  <c r="F12" i="9"/>
  <c r="E12" i="9"/>
  <c r="D12" i="9"/>
  <c r="O11" i="9"/>
  <c r="L11" i="9"/>
  <c r="R11" i="9" s="1"/>
  <c r="J11" i="9"/>
  <c r="I11" i="9"/>
  <c r="H11" i="9"/>
  <c r="F11" i="9"/>
  <c r="E11" i="9"/>
  <c r="D11" i="9"/>
  <c r="AH10" i="9"/>
  <c r="AG10" i="9"/>
  <c r="O10" i="9"/>
  <c r="L10" i="9"/>
  <c r="R10" i="9" s="1"/>
  <c r="J10" i="9"/>
  <c r="I10" i="9"/>
  <c r="H10" i="9"/>
  <c r="F10" i="9"/>
  <c r="E10" i="9"/>
  <c r="D10" i="9"/>
  <c r="AH9" i="9"/>
  <c r="AG9" i="9"/>
  <c r="O9" i="9"/>
  <c r="L9" i="9"/>
  <c r="R9" i="9" s="1"/>
  <c r="J9" i="9"/>
  <c r="I9" i="9"/>
  <c r="H9" i="9"/>
  <c r="F9" i="9"/>
  <c r="E9" i="9"/>
  <c r="D9" i="9"/>
  <c r="AH8" i="9"/>
  <c r="AG8" i="9"/>
  <c r="O8" i="9"/>
  <c r="L8" i="9"/>
  <c r="R8" i="9" s="1"/>
  <c r="J8" i="9"/>
  <c r="I8" i="9"/>
  <c r="H8" i="9"/>
  <c r="F8" i="9"/>
  <c r="E8" i="9"/>
  <c r="D8" i="9"/>
  <c r="AH7" i="9"/>
  <c r="AG7" i="9"/>
  <c r="O7" i="9"/>
  <c r="L7" i="9"/>
  <c r="R7" i="9" s="1"/>
  <c r="J7" i="9"/>
  <c r="I7" i="9"/>
  <c r="H7" i="9"/>
  <c r="F7" i="9"/>
  <c r="E7" i="9"/>
  <c r="D7" i="9"/>
  <c r="AH6" i="9"/>
  <c r="AG6" i="9"/>
  <c r="O6" i="9"/>
  <c r="L6" i="9"/>
  <c r="R6" i="9" s="1"/>
  <c r="J6" i="9"/>
  <c r="I6" i="9"/>
  <c r="H6" i="9"/>
  <c r="F6" i="9"/>
  <c r="E6" i="9"/>
  <c r="D6" i="9"/>
  <c r="AH5" i="9"/>
  <c r="AG5" i="9"/>
  <c r="O5" i="9"/>
  <c r="L5" i="9"/>
  <c r="R5" i="9" s="1"/>
  <c r="J5" i="9"/>
  <c r="I5" i="9"/>
  <c r="H5" i="9"/>
  <c r="F5" i="9"/>
  <c r="E5" i="9"/>
  <c r="D5" i="9"/>
  <c r="AI4" i="9" a="1"/>
  <c r="AI4" i="9" s="1"/>
  <c r="AH4" i="9"/>
  <c r="AG4" i="9"/>
  <c r="O4" i="9"/>
  <c r="L4" i="9"/>
  <c r="R4" i="9" s="1"/>
  <c r="J4" i="9"/>
  <c r="I4" i="9"/>
  <c r="H4" i="9"/>
  <c r="F4" i="9"/>
  <c r="E4" i="9"/>
  <c r="D4" i="9"/>
  <c r="V2" i="9"/>
  <c r="X2" i="9" s="1"/>
  <c r="U8" i="8"/>
  <c r="S7" i="8"/>
  <c r="S6" i="8"/>
  <c r="S8" i="8"/>
  <c r="M6" i="9" l="1"/>
  <c r="Q6" i="9" s="1"/>
  <c r="M18" i="9"/>
  <c r="Q18" i="9" s="1"/>
  <c r="M5" i="9"/>
  <c r="Q5" i="9" s="1"/>
  <c r="Q34" i="9"/>
  <c r="M23" i="9"/>
  <c r="Q23" i="9" s="1"/>
  <c r="M14" i="9"/>
  <c r="Q14" i="9" s="1"/>
  <c r="M19" i="9"/>
  <c r="Q19" i="9" s="1"/>
  <c r="M25" i="9"/>
  <c r="Q25" i="9" s="1"/>
  <c r="M13" i="9"/>
  <c r="Q13" i="9" s="1"/>
  <c r="M22" i="9"/>
  <c r="Q22" i="9" s="1"/>
  <c r="M16" i="9"/>
  <c r="Q16" i="9" s="1"/>
  <c r="M15" i="9"/>
  <c r="Q15" i="9" s="1"/>
  <c r="M11" i="9"/>
  <c r="Q11" i="9" s="1"/>
  <c r="M24" i="9"/>
  <c r="Q24" i="9" s="1"/>
  <c r="M27" i="9"/>
  <c r="Q27" i="9" s="1"/>
  <c r="M4" i="9"/>
  <c r="Q4" i="9" s="1"/>
  <c r="M17" i="9"/>
  <c r="Q17" i="9" s="1"/>
  <c r="M9" i="9"/>
  <c r="Q9" i="9" s="1"/>
  <c r="M10" i="9"/>
  <c r="Q10" i="9" s="1"/>
  <c r="M12" i="9"/>
  <c r="Q12" i="9" s="1"/>
  <c r="M20" i="9"/>
  <c r="Q20" i="9" s="1"/>
  <c r="V9" i="9"/>
  <c r="X9" i="9" s="1"/>
  <c r="Y9" i="9" s="1"/>
  <c r="AA9" i="9" s="1"/>
  <c r="M8" i="9"/>
  <c r="Q8" i="9" s="1"/>
  <c r="M7" i="9"/>
  <c r="Q7" i="9" s="1"/>
  <c r="M21" i="9"/>
  <c r="Q21" i="9" s="1"/>
  <c r="V8" i="9"/>
  <c r="X8" i="9" s="1"/>
  <c r="Y8" i="9" s="1"/>
  <c r="AA8" i="9" s="1"/>
  <c r="AJ10" i="9"/>
  <c r="AJ5" i="9"/>
  <c r="AJ7" i="9"/>
  <c r="AJ4" i="9"/>
  <c r="AJ9" i="9"/>
  <c r="AJ8" i="9"/>
  <c r="AJ6" i="9"/>
  <c r="U6" i="8"/>
  <c r="V6" i="8" s="1"/>
  <c r="X6" i="8" s="1"/>
  <c r="Q30" i="9" l="1"/>
  <c r="V7" i="9"/>
  <c r="X7" i="9" s="1"/>
  <c r="Y7" i="9" s="1"/>
  <c r="AA7" i="9" s="1"/>
  <c r="S2" i="8"/>
  <c r="U2" i="8" s="1"/>
  <c r="A30" i="1"/>
  <c r="O27" i="8"/>
  <c r="L27" i="8"/>
  <c r="J27" i="8"/>
  <c r="I27" i="8"/>
  <c r="M27" i="8" s="1"/>
  <c r="H27" i="8"/>
  <c r="F27" i="8"/>
  <c r="E27" i="8"/>
  <c r="D27" i="8"/>
  <c r="O26" i="8"/>
  <c r="L26" i="8"/>
  <c r="J26" i="8"/>
  <c r="I26" i="8"/>
  <c r="M26" i="8" s="1"/>
  <c r="H26" i="8"/>
  <c r="F26" i="8"/>
  <c r="E26" i="8"/>
  <c r="D26" i="8"/>
  <c r="O25" i="8"/>
  <c r="L25" i="8"/>
  <c r="J25" i="8"/>
  <c r="I25" i="8"/>
  <c r="M25" i="8" s="1"/>
  <c r="H25" i="8"/>
  <c r="F25" i="8"/>
  <c r="E25" i="8"/>
  <c r="D25" i="8"/>
  <c r="O24" i="8"/>
  <c r="L24" i="8"/>
  <c r="J24" i="8"/>
  <c r="I24" i="8"/>
  <c r="M24" i="8" s="1"/>
  <c r="H24" i="8"/>
  <c r="F24" i="8"/>
  <c r="E24" i="8"/>
  <c r="D24" i="8"/>
  <c r="O23" i="8"/>
  <c r="L23" i="8"/>
  <c r="J23" i="8"/>
  <c r="I23" i="8"/>
  <c r="M23" i="8" s="1"/>
  <c r="H23" i="8"/>
  <c r="F23" i="8"/>
  <c r="E23" i="8"/>
  <c r="D23" i="8"/>
  <c r="O22" i="8"/>
  <c r="L22" i="8"/>
  <c r="J22" i="8"/>
  <c r="I22" i="8"/>
  <c r="M22" i="8" s="1"/>
  <c r="H22" i="8"/>
  <c r="F22" i="8"/>
  <c r="E22" i="8"/>
  <c r="D22" i="8"/>
  <c r="O21" i="8"/>
  <c r="L21" i="8"/>
  <c r="J21" i="8"/>
  <c r="I21" i="8"/>
  <c r="H21" i="8"/>
  <c r="F21" i="8"/>
  <c r="E21" i="8"/>
  <c r="D21" i="8"/>
  <c r="O20" i="8"/>
  <c r="L20" i="8"/>
  <c r="J20" i="8"/>
  <c r="I20" i="8"/>
  <c r="M20" i="8" s="1"/>
  <c r="H20" i="8"/>
  <c r="F20" i="8"/>
  <c r="E20" i="8"/>
  <c r="D20" i="8"/>
  <c r="O19" i="8"/>
  <c r="L19" i="8"/>
  <c r="J19" i="8"/>
  <c r="I19" i="8"/>
  <c r="H19" i="8"/>
  <c r="F19" i="8"/>
  <c r="E19" i="8"/>
  <c r="D19" i="8"/>
  <c r="O18" i="8"/>
  <c r="L18" i="8"/>
  <c r="J18" i="8"/>
  <c r="I18" i="8"/>
  <c r="M18" i="8" s="1"/>
  <c r="H18" i="8"/>
  <c r="F18" i="8"/>
  <c r="E18" i="8"/>
  <c r="D18" i="8"/>
  <c r="O17" i="8"/>
  <c r="L17" i="8"/>
  <c r="J17" i="8"/>
  <c r="I17" i="8"/>
  <c r="H17" i="8"/>
  <c r="F17" i="8"/>
  <c r="E17" i="8"/>
  <c r="D17" i="8"/>
  <c r="O16" i="8"/>
  <c r="L16" i="8"/>
  <c r="J16" i="8"/>
  <c r="I16" i="8"/>
  <c r="H16" i="8"/>
  <c r="F16" i="8"/>
  <c r="E16" i="8"/>
  <c r="D16" i="8"/>
  <c r="O15" i="8"/>
  <c r="L15" i="8"/>
  <c r="J15" i="8"/>
  <c r="I15" i="8"/>
  <c r="H15" i="8"/>
  <c r="F15" i="8"/>
  <c r="E15" i="8"/>
  <c r="D15" i="8"/>
  <c r="O14" i="8"/>
  <c r="L14" i="8"/>
  <c r="J14" i="8"/>
  <c r="I14" i="8"/>
  <c r="M14" i="8" s="1"/>
  <c r="H14" i="8"/>
  <c r="F14" i="8"/>
  <c r="E14" i="8"/>
  <c r="D14" i="8"/>
  <c r="O13" i="8"/>
  <c r="L13" i="8"/>
  <c r="J13" i="8"/>
  <c r="I13" i="8"/>
  <c r="H13" i="8"/>
  <c r="F13" i="8"/>
  <c r="E13" i="8"/>
  <c r="D13" i="8"/>
  <c r="O12" i="8"/>
  <c r="L12" i="8"/>
  <c r="J12" i="8"/>
  <c r="I12" i="8"/>
  <c r="H12" i="8"/>
  <c r="F12" i="8"/>
  <c r="E12" i="8"/>
  <c r="D12" i="8"/>
  <c r="O11" i="8"/>
  <c r="L11" i="8"/>
  <c r="J11" i="8"/>
  <c r="I11" i="8"/>
  <c r="M11" i="8" s="1"/>
  <c r="H11" i="8"/>
  <c r="F11" i="8"/>
  <c r="E11" i="8"/>
  <c r="D11" i="8"/>
  <c r="AE10" i="8"/>
  <c r="AD10" i="8"/>
  <c r="O10" i="8"/>
  <c r="L10" i="8"/>
  <c r="J10" i="8"/>
  <c r="I10" i="8"/>
  <c r="H10" i="8"/>
  <c r="F10" i="8"/>
  <c r="E10" i="8"/>
  <c r="D10" i="8"/>
  <c r="AE9" i="8"/>
  <c r="AD9" i="8"/>
  <c r="O9" i="8"/>
  <c r="L9" i="8"/>
  <c r="J9" i="8"/>
  <c r="I9" i="8"/>
  <c r="H9" i="8"/>
  <c r="F9" i="8"/>
  <c r="E9" i="8"/>
  <c r="D9" i="8"/>
  <c r="AE8" i="8"/>
  <c r="AD8" i="8"/>
  <c r="O8" i="8"/>
  <c r="L8" i="8"/>
  <c r="J8" i="8"/>
  <c r="I8" i="8"/>
  <c r="H8" i="8"/>
  <c r="F8" i="8"/>
  <c r="E8" i="8"/>
  <c r="D8" i="8"/>
  <c r="AE7" i="8"/>
  <c r="AD7" i="8"/>
  <c r="O7" i="8"/>
  <c r="L7" i="8"/>
  <c r="J7" i="8"/>
  <c r="I7" i="8"/>
  <c r="H7" i="8"/>
  <c r="F7" i="8"/>
  <c r="E7" i="8"/>
  <c r="D7" i="8"/>
  <c r="AE6" i="8"/>
  <c r="AD6" i="8"/>
  <c r="O6" i="8"/>
  <c r="L6" i="8"/>
  <c r="J6" i="8"/>
  <c r="I6" i="8"/>
  <c r="H6" i="8"/>
  <c r="F6" i="8"/>
  <c r="E6" i="8"/>
  <c r="D6" i="8"/>
  <c r="AE5" i="8"/>
  <c r="AD5" i="8"/>
  <c r="O5" i="8"/>
  <c r="L5" i="8"/>
  <c r="J5" i="8"/>
  <c r="I5" i="8"/>
  <c r="H5" i="8"/>
  <c r="F5" i="8"/>
  <c r="E5" i="8"/>
  <c r="D5" i="8"/>
  <c r="AF4" i="8" a="1"/>
  <c r="AF4" i="8" s="1"/>
  <c r="AE4" i="8"/>
  <c r="AD4" i="8"/>
  <c r="O4" i="8"/>
  <c r="L4" i="8"/>
  <c r="J4" i="8"/>
  <c r="I4" i="8"/>
  <c r="H4" i="8"/>
  <c r="F4" i="8"/>
  <c r="E4" i="8"/>
  <c r="D4" i="8"/>
  <c r="S2" i="6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4" i="6"/>
  <c r="L27" i="6"/>
  <c r="J27" i="6"/>
  <c r="I27" i="6"/>
  <c r="H27" i="6"/>
  <c r="F27" i="6"/>
  <c r="E27" i="6"/>
  <c r="D27" i="6"/>
  <c r="L26" i="6"/>
  <c r="J26" i="6"/>
  <c r="I26" i="6"/>
  <c r="H26" i="6"/>
  <c r="F26" i="6"/>
  <c r="E26" i="6"/>
  <c r="D26" i="6"/>
  <c r="L25" i="6"/>
  <c r="J25" i="6"/>
  <c r="I25" i="6"/>
  <c r="H25" i="6"/>
  <c r="F25" i="6"/>
  <c r="E25" i="6"/>
  <c r="D25" i="6"/>
  <c r="L24" i="6"/>
  <c r="J24" i="6"/>
  <c r="I24" i="6"/>
  <c r="H24" i="6"/>
  <c r="F24" i="6"/>
  <c r="E24" i="6"/>
  <c r="D24" i="6"/>
  <c r="L23" i="6"/>
  <c r="J23" i="6"/>
  <c r="I23" i="6"/>
  <c r="H23" i="6"/>
  <c r="F23" i="6"/>
  <c r="E23" i="6"/>
  <c r="D23" i="6"/>
  <c r="L22" i="6"/>
  <c r="J22" i="6"/>
  <c r="I22" i="6"/>
  <c r="H22" i="6"/>
  <c r="F22" i="6"/>
  <c r="E22" i="6"/>
  <c r="D22" i="6"/>
  <c r="L21" i="6"/>
  <c r="J21" i="6"/>
  <c r="I21" i="6"/>
  <c r="H21" i="6"/>
  <c r="F21" i="6"/>
  <c r="M21" i="6" s="1"/>
  <c r="E21" i="6"/>
  <c r="D21" i="6"/>
  <c r="L20" i="6"/>
  <c r="J20" i="6"/>
  <c r="I20" i="6"/>
  <c r="H20" i="6"/>
  <c r="F20" i="6"/>
  <c r="E20" i="6"/>
  <c r="D20" i="6"/>
  <c r="L19" i="6"/>
  <c r="J19" i="6"/>
  <c r="I19" i="6"/>
  <c r="H19" i="6"/>
  <c r="F19" i="6"/>
  <c r="E19" i="6"/>
  <c r="D19" i="6"/>
  <c r="L18" i="6"/>
  <c r="J18" i="6"/>
  <c r="I18" i="6"/>
  <c r="H18" i="6"/>
  <c r="F18" i="6"/>
  <c r="M18" i="6" s="1"/>
  <c r="E18" i="6"/>
  <c r="D18" i="6"/>
  <c r="L17" i="6"/>
  <c r="J17" i="6"/>
  <c r="I17" i="6"/>
  <c r="H17" i="6"/>
  <c r="F17" i="6"/>
  <c r="E17" i="6"/>
  <c r="D17" i="6"/>
  <c r="L16" i="6"/>
  <c r="J16" i="6"/>
  <c r="I16" i="6"/>
  <c r="H16" i="6"/>
  <c r="F16" i="6"/>
  <c r="E16" i="6"/>
  <c r="D16" i="6"/>
  <c r="L15" i="6"/>
  <c r="J15" i="6"/>
  <c r="I15" i="6"/>
  <c r="H15" i="6"/>
  <c r="F15" i="6"/>
  <c r="E15" i="6"/>
  <c r="D15" i="6"/>
  <c r="L14" i="6"/>
  <c r="J14" i="6"/>
  <c r="I14" i="6"/>
  <c r="H14" i="6"/>
  <c r="F14" i="6"/>
  <c r="E14" i="6"/>
  <c r="D14" i="6"/>
  <c r="L13" i="6"/>
  <c r="J13" i="6"/>
  <c r="I13" i="6"/>
  <c r="H13" i="6"/>
  <c r="F13" i="6"/>
  <c r="E13" i="6"/>
  <c r="D13" i="6"/>
  <c r="L12" i="6"/>
  <c r="J12" i="6"/>
  <c r="I12" i="6"/>
  <c r="H12" i="6"/>
  <c r="F12" i="6"/>
  <c r="E12" i="6"/>
  <c r="D12" i="6"/>
  <c r="L11" i="6"/>
  <c r="J11" i="6"/>
  <c r="I11" i="6"/>
  <c r="H11" i="6"/>
  <c r="F11" i="6"/>
  <c r="E11" i="6"/>
  <c r="D11" i="6"/>
  <c r="Y10" i="6"/>
  <c r="X10" i="6"/>
  <c r="L10" i="6"/>
  <c r="J10" i="6"/>
  <c r="I10" i="6"/>
  <c r="H10" i="6"/>
  <c r="F10" i="6"/>
  <c r="E10" i="6"/>
  <c r="D10" i="6"/>
  <c r="Y9" i="6"/>
  <c r="X9" i="6"/>
  <c r="L9" i="6"/>
  <c r="J9" i="6"/>
  <c r="I9" i="6"/>
  <c r="H9" i="6"/>
  <c r="F9" i="6"/>
  <c r="E9" i="6"/>
  <c r="D9" i="6"/>
  <c r="Y8" i="6"/>
  <c r="X8" i="6"/>
  <c r="L8" i="6"/>
  <c r="J8" i="6"/>
  <c r="I8" i="6"/>
  <c r="H8" i="6"/>
  <c r="F8" i="6"/>
  <c r="E8" i="6"/>
  <c r="D8" i="6"/>
  <c r="Y7" i="6"/>
  <c r="X7" i="6"/>
  <c r="L7" i="6"/>
  <c r="J7" i="6"/>
  <c r="I7" i="6"/>
  <c r="H7" i="6"/>
  <c r="F7" i="6"/>
  <c r="E7" i="6"/>
  <c r="D7" i="6"/>
  <c r="Y6" i="6"/>
  <c r="X6" i="6"/>
  <c r="L6" i="6"/>
  <c r="J6" i="6"/>
  <c r="I6" i="6"/>
  <c r="H6" i="6"/>
  <c r="F6" i="6"/>
  <c r="E6" i="6"/>
  <c r="D6" i="6"/>
  <c r="Y5" i="6"/>
  <c r="X5" i="6"/>
  <c r="L5" i="6"/>
  <c r="J5" i="6"/>
  <c r="I5" i="6"/>
  <c r="H5" i="6"/>
  <c r="F5" i="6"/>
  <c r="E5" i="6"/>
  <c r="D5" i="6"/>
  <c r="Z4" i="6" a="1"/>
  <c r="Z4" i="6" s="1"/>
  <c r="AA4" i="6" s="1"/>
  <c r="Y4" i="6"/>
  <c r="X4" i="6"/>
  <c r="L4" i="6"/>
  <c r="J4" i="6"/>
  <c r="I4" i="6"/>
  <c r="M4" i="6" s="1"/>
  <c r="H4" i="6"/>
  <c r="F4" i="6"/>
  <c r="E4" i="6"/>
  <c r="D4" i="6"/>
  <c r="Q2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4" i="5"/>
  <c r="J27" i="5"/>
  <c r="I27" i="5"/>
  <c r="H27" i="5"/>
  <c r="F27" i="5"/>
  <c r="E27" i="5"/>
  <c r="D27" i="5"/>
  <c r="J26" i="5"/>
  <c r="I26" i="5"/>
  <c r="H26" i="5"/>
  <c r="F26" i="5"/>
  <c r="E26" i="5"/>
  <c r="D26" i="5"/>
  <c r="J25" i="5"/>
  <c r="I25" i="5"/>
  <c r="H25" i="5"/>
  <c r="F25" i="5"/>
  <c r="E25" i="5"/>
  <c r="D25" i="5"/>
  <c r="J24" i="5"/>
  <c r="I24" i="5"/>
  <c r="H24" i="5"/>
  <c r="F24" i="5"/>
  <c r="E24" i="5"/>
  <c r="D24" i="5"/>
  <c r="J23" i="5"/>
  <c r="I23" i="5"/>
  <c r="H23" i="5"/>
  <c r="F23" i="5"/>
  <c r="E23" i="5"/>
  <c r="D23" i="5"/>
  <c r="J22" i="5"/>
  <c r="I22" i="5"/>
  <c r="H22" i="5"/>
  <c r="F22" i="5"/>
  <c r="E22" i="5"/>
  <c r="D22" i="5"/>
  <c r="J21" i="5"/>
  <c r="I21" i="5"/>
  <c r="H21" i="5"/>
  <c r="F21" i="5"/>
  <c r="E21" i="5"/>
  <c r="D21" i="5"/>
  <c r="J20" i="5"/>
  <c r="I20" i="5"/>
  <c r="H20" i="5"/>
  <c r="F20" i="5"/>
  <c r="E20" i="5"/>
  <c r="D20" i="5"/>
  <c r="J19" i="5"/>
  <c r="I19" i="5"/>
  <c r="H19" i="5"/>
  <c r="F19" i="5"/>
  <c r="E19" i="5"/>
  <c r="D19" i="5"/>
  <c r="J18" i="5"/>
  <c r="I18" i="5"/>
  <c r="H18" i="5"/>
  <c r="F18" i="5"/>
  <c r="E18" i="5"/>
  <c r="D18" i="5"/>
  <c r="J17" i="5"/>
  <c r="I17" i="5"/>
  <c r="H17" i="5"/>
  <c r="F17" i="5"/>
  <c r="E17" i="5"/>
  <c r="D17" i="5"/>
  <c r="J16" i="5"/>
  <c r="I16" i="5"/>
  <c r="H16" i="5"/>
  <c r="F16" i="5"/>
  <c r="M16" i="5" s="1"/>
  <c r="E16" i="5"/>
  <c r="D16" i="5"/>
  <c r="J15" i="5"/>
  <c r="I15" i="5"/>
  <c r="H15" i="5"/>
  <c r="F15" i="5"/>
  <c r="E15" i="5"/>
  <c r="D15" i="5"/>
  <c r="J14" i="5"/>
  <c r="I14" i="5"/>
  <c r="H14" i="5"/>
  <c r="F14" i="5"/>
  <c r="E14" i="5"/>
  <c r="D14" i="5"/>
  <c r="J13" i="5"/>
  <c r="I13" i="5"/>
  <c r="H13" i="5"/>
  <c r="F13" i="5"/>
  <c r="E13" i="5"/>
  <c r="D13" i="5"/>
  <c r="J12" i="5"/>
  <c r="I12" i="5"/>
  <c r="H12" i="5"/>
  <c r="F12" i="5"/>
  <c r="E12" i="5"/>
  <c r="D12" i="5"/>
  <c r="J11" i="5"/>
  <c r="I11" i="5"/>
  <c r="H11" i="5"/>
  <c r="F11" i="5"/>
  <c r="E11" i="5"/>
  <c r="D11" i="5"/>
  <c r="W10" i="5"/>
  <c r="V10" i="5"/>
  <c r="J10" i="5"/>
  <c r="I10" i="5"/>
  <c r="H10" i="5"/>
  <c r="F10" i="5"/>
  <c r="E10" i="5"/>
  <c r="D10" i="5"/>
  <c r="W9" i="5"/>
  <c r="V9" i="5"/>
  <c r="J9" i="5"/>
  <c r="I9" i="5"/>
  <c r="H9" i="5"/>
  <c r="F9" i="5"/>
  <c r="E9" i="5"/>
  <c r="D9" i="5"/>
  <c r="W8" i="5"/>
  <c r="V8" i="5"/>
  <c r="J8" i="5"/>
  <c r="I8" i="5"/>
  <c r="H8" i="5"/>
  <c r="F8" i="5"/>
  <c r="E8" i="5"/>
  <c r="D8" i="5"/>
  <c r="W7" i="5"/>
  <c r="V7" i="5"/>
  <c r="J7" i="5"/>
  <c r="I7" i="5"/>
  <c r="H7" i="5"/>
  <c r="F7" i="5"/>
  <c r="E7" i="5"/>
  <c r="D7" i="5"/>
  <c r="W6" i="5"/>
  <c r="V6" i="5"/>
  <c r="J6" i="5"/>
  <c r="I6" i="5"/>
  <c r="H6" i="5"/>
  <c r="F6" i="5"/>
  <c r="E6" i="5"/>
  <c r="D6" i="5"/>
  <c r="W5" i="5"/>
  <c r="V5" i="5"/>
  <c r="J5" i="5"/>
  <c r="I5" i="5"/>
  <c r="H5" i="5"/>
  <c r="F5" i="5"/>
  <c r="E5" i="5"/>
  <c r="D5" i="5"/>
  <c r="X4" i="5" a="1"/>
  <c r="X4" i="5" s="1"/>
  <c r="W4" i="5"/>
  <c r="V4" i="5"/>
  <c r="J4" i="5"/>
  <c r="I4" i="5"/>
  <c r="H4" i="5"/>
  <c r="F4" i="5"/>
  <c r="E4" i="5"/>
  <c r="D4" i="5"/>
  <c r="O2" i="1"/>
  <c r="J27" i="4"/>
  <c r="I27" i="4"/>
  <c r="H27" i="4"/>
  <c r="F27" i="4"/>
  <c r="E27" i="4"/>
  <c r="D27" i="4"/>
  <c r="J26" i="4"/>
  <c r="I26" i="4"/>
  <c r="H26" i="4"/>
  <c r="F26" i="4"/>
  <c r="E26" i="4"/>
  <c r="D26" i="4"/>
  <c r="J25" i="4"/>
  <c r="I25" i="4"/>
  <c r="H25" i="4"/>
  <c r="F25" i="4"/>
  <c r="E25" i="4"/>
  <c r="D25" i="4"/>
  <c r="J24" i="4"/>
  <c r="I24" i="4"/>
  <c r="H24" i="4"/>
  <c r="F24" i="4"/>
  <c r="E24" i="4"/>
  <c r="D24" i="4"/>
  <c r="J23" i="4"/>
  <c r="I23" i="4"/>
  <c r="H23" i="4"/>
  <c r="F23" i="4"/>
  <c r="E23" i="4"/>
  <c r="D23" i="4"/>
  <c r="J22" i="4"/>
  <c r="I22" i="4"/>
  <c r="H22" i="4"/>
  <c r="F22" i="4"/>
  <c r="E22" i="4"/>
  <c r="D22" i="4"/>
  <c r="J21" i="4"/>
  <c r="I21" i="4"/>
  <c r="H21" i="4"/>
  <c r="F21" i="4"/>
  <c r="E21" i="4"/>
  <c r="D21" i="4"/>
  <c r="J20" i="4"/>
  <c r="I20" i="4"/>
  <c r="H20" i="4"/>
  <c r="F20" i="4"/>
  <c r="E20" i="4"/>
  <c r="D20" i="4"/>
  <c r="J19" i="4"/>
  <c r="I19" i="4"/>
  <c r="H19" i="4"/>
  <c r="F19" i="4"/>
  <c r="E19" i="4"/>
  <c r="D19" i="4"/>
  <c r="J18" i="4"/>
  <c r="I18" i="4"/>
  <c r="H18" i="4"/>
  <c r="F18" i="4"/>
  <c r="E18" i="4"/>
  <c r="D18" i="4"/>
  <c r="J17" i="4"/>
  <c r="I17" i="4"/>
  <c r="H17" i="4"/>
  <c r="F17" i="4"/>
  <c r="E17" i="4"/>
  <c r="D17" i="4"/>
  <c r="J16" i="4"/>
  <c r="I16" i="4"/>
  <c r="H16" i="4"/>
  <c r="F16" i="4"/>
  <c r="E16" i="4"/>
  <c r="D16" i="4"/>
  <c r="J15" i="4"/>
  <c r="I15" i="4"/>
  <c r="H15" i="4"/>
  <c r="F15" i="4"/>
  <c r="E15" i="4"/>
  <c r="D15" i="4"/>
  <c r="J14" i="4"/>
  <c r="I14" i="4"/>
  <c r="H14" i="4"/>
  <c r="F14" i="4"/>
  <c r="E14" i="4"/>
  <c r="D14" i="4"/>
  <c r="J13" i="4"/>
  <c r="I13" i="4"/>
  <c r="H13" i="4"/>
  <c r="F13" i="4"/>
  <c r="E13" i="4"/>
  <c r="D13" i="4"/>
  <c r="J12" i="4"/>
  <c r="I12" i="4"/>
  <c r="H12" i="4"/>
  <c r="F12" i="4"/>
  <c r="E12" i="4"/>
  <c r="D12" i="4"/>
  <c r="J11" i="4"/>
  <c r="I11" i="4"/>
  <c r="H11" i="4"/>
  <c r="F11" i="4"/>
  <c r="E11" i="4"/>
  <c r="D11" i="4"/>
  <c r="U10" i="4"/>
  <c r="T10" i="4"/>
  <c r="J10" i="4"/>
  <c r="I10" i="4"/>
  <c r="H10" i="4"/>
  <c r="F10" i="4"/>
  <c r="E10" i="4"/>
  <c r="D10" i="4"/>
  <c r="U9" i="4"/>
  <c r="T9" i="4"/>
  <c r="J9" i="4"/>
  <c r="I9" i="4"/>
  <c r="H9" i="4"/>
  <c r="F9" i="4"/>
  <c r="K9" i="4" s="1"/>
  <c r="E9" i="4"/>
  <c r="D9" i="4"/>
  <c r="U8" i="4"/>
  <c r="T8" i="4"/>
  <c r="J8" i="4"/>
  <c r="I8" i="4"/>
  <c r="H8" i="4"/>
  <c r="F8" i="4"/>
  <c r="E8" i="4"/>
  <c r="D8" i="4"/>
  <c r="U7" i="4"/>
  <c r="T7" i="4"/>
  <c r="J7" i="4"/>
  <c r="I7" i="4"/>
  <c r="H7" i="4"/>
  <c r="F7" i="4"/>
  <c r="E7" i="4"/>
  <c r="D7" i="4"/>
  <c r="U6" i="4"/>
  <c r="T6" i="4"/>
  <c r="J6" i="4"/>
  <c r="I6" i="4"/>
  <c r="H6" i="4"/>
  <c r="F6" i="4"/>
  <c r="E6" i="4"/>
  <c r="D6" i="4"/>
  <c r="U5" i="4"/>
  <c r="T5" i="4"/>
  <c r="J5" i="4"/>
  <c r="I5" i="4"/>
  <c r="H5" i="4"/>
  <c r="F5" i="4"/>
  <c r="E5" i="4"/>
  <c r="D5" i="4"/>
  <c r="V4" i="4" a="1"/>
  <c r="V4" i="4" s="1"/>
  <c r="W4" i="4" s="1"/>
  <c r="U4" i="4"/>
  <c r="T4" i="4"/>
  <c r="J4" i="4"/>
  <c r="I4" i="4"/>
  <c r="K4" i="4" s="1"/>
  <c r="H4" i="4"/>
  <c r="F4" i="4"/>
  <c r="E4" i="4"/>
  <c r="D4" i="4"/>
  <c r="K19" i="1"/>
  <c r="K20" i="1"/>
  <c r="K21" i="1"/>
  <c r="K24" i="1"/>
  <c r="K25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I5" i="1"/>
  <c r="I6" i="1"/>
  <c r="I7" i="1"/>
  <c r="K7" i="1" s="1"/>
  <c r="I8" i="1"/>
  <c r="K8" i="1" s="1"/>
  <c r="I9" i="1"/>
  <c r="K9" i="1" s="1"/>
  <c r="I10" i="1"/>
  <c r="I11" i="1"/>
  <c r="I12" i="1"/>
  <c r="K12" i="1" s="1"/>
  <c r="I13" i="1"/>
  <c r="K13" i="1" s="1"/>
  <c r="I14" i="1"/>
  <c r="K14" i="1" s="1"/>
  <c r="I15" i="1"/>
  <c r="K15" i="1" s="1"/>
  <c r="I16" i="1"/>
  <c r="I17" i="1"/>
  <c r="I18" i="1"/>
  <c r="I19" i="1"/>
  <c r="I20" i="1"/>
  <c r="I21" i="1"/>
  <c r="I22" i="1"/>
  <c r="I23" i="1"/>
  <c r="I24" i="1"/>
  <c r="I25" i="1"/>
  <c r="I26" i="1"/>
  <c r="K26" i="1" s="1"/>
  <c r="I27" i="1"/>
  <c r="K27" i="1" s="1"/>
  <c r="J4" i="1"/>
  <c r="I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4" i="1"/>
  <c r="U4" i="1"/>
  <c r="V4" i="1" a="1"/>
  <c r="V4" i="1" s="1"/>
  <c r="U5" i="1"/>
  <c r="U6" i="1"/>
  <c r="U7" i="1"/>
  <c r="U8" i="1"/>
  <c r="U9" i="1"/>
  <c r="U10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4" i="1"/>
  <c r="T5" i="1"/>
  <c r="T6" i="1"/>
  <c r="T7" i="1"/>
  <c r="T8" i="1"/>
  <c r="T9" i="1"/>
  <c r="T10" i="1"/>
  <c r="T4" i="1"/>
  <c r="S9" i="8" l="1"/>
  <c r="M4" i="8"/>
  <c r="V8" i="8"/>
  <c r="X8" i="8" s="1"/>
  <c r="M5" i="8"/>
  <c r="M17" i="8"/>
  <c r="M10" i="8"/>
  <c r="M9" i="8"/>
  <c r="M13" i="8"/>
  <c r="M16" i="8"/>
  <c r="M8" i="8"/>
  <c r="M19" i="8"/>
  <c r="M7" i="8"/>
  <c r="M12" i="8"/>
  <c r="M15" i="8"/>
  <c r="M6" i="8"/>
  <c r="M21" i="8"/>
  <c r="AG4" i="8"/>
  <c r="AG9" i="8"/>
  <c r="AG7" i="8"/>
  <c r="AG10" i="8"/>
  <c r="AG8" i="8"/>
  <c r="AG6" i="8"/>
  <c r="AG5" i="8"/>
  <c r="AA10" i="6"/>
  <c r="AA5" i="6"/>
  <c r="M9" i="6"/>
  <c r="M17" i="6"/>
  <c r="M14" i="6"/>
  <c r="M16" i="6"/>
  <c r="M26" i="6"/>
  <c r="AA8" i="6"/>
  <c r="M13" i="6"/>
  <c r="M15" i="6"/>
  <c r="M25" i="6"/>
  <c r="AA6" i="6"/>
  <c r="M6" i="6"/>
  <c r="M10" i="6"/>
  <c r="M20" i="6"/>
  <c r="M19" i="6"/>
  <c r="M8" i="6"/>
  <c r="AA9" i="6"/>
  <c r="M7" i="6"/>
  <c r="M11" i="6"/>
  <c r="M23" i="6"/>
  <c r="AA7" i="6"/>
  <c r="M27" i="6"/>
  <c r="M5" i="6"/>
  <c r="M12" i="6"/>
  <c r="M22" i="6"/>
  <c r="M24" i="6"/>
  <c r="Y4" i="5"/>
  <c r="Y5" i="5"/>
  <c r="M14" i="5"/>
  <c r="Y7" i="5"/>
  <c r="M6" i="5"/>
  <c r="M12" i="5"/>
  <c r="M22" i="5"/>
  <c r="Y10" i="5"/>
  <c r="M9" i="5"/>
  <c r="Y6" i="5"/>
  <c r="M15" i="5"/>
  <c r="M27" i="5"/>
  <c r="Y9" i="5"/>
  <c r="M20" i="5"/>
  <c r="M18" i="5"/>
  <c r="M24" i="5"/>
  <c r="M5" i="5"/>
  <c r="M8" i="5"/>
  <c r="M11" i="5"/>
  <c r="Y8" i="5"/>
  <c r="M21" i="5"/>
  <c r="M7" i="5"/>
  <c r="M17" i="5"/>
  <c r="M23" i="5"/>
  <c r="M25" i="5"/>
  <c r="M4" i="5"/>
  <c r="M13" i="5"/>
  <c r="M10" i="5"/>
  <c r="M26" i="5"/>
  <c r="M19" i="5"/>
  <c r="K12" i="4"/>
  <c r="K16" i="4"/>
  <c r="K20" i="4"/>
  <c r="K18" i="4"/>
  <c r="K14" i="4"/>
  <c r="K22" i="4"/>
  <c r="K26" i="4"/>
  <c r="K5" i="4"/>
  <c r="K11" i="4"/>
  <c r="K13" i="4"/>
  <c r="K15" i="4"/>
  <c r="K19" i="4"/>
  <c r="K21" i="4"/>
  <c r="K24" i="4"/>
  <c r="K8" i="4"/>
  <c r="K17" i="4"/>
  <c r="K23" i="4"/>
  <c r="K25" i="4"/>
  <c r="K27" i="4"/>
  <c r="K6" i="4"/>
  <c r="K7" i="4"/>
  <c r="K10" i="4"/>
  <c r="W10" i="4"/>
  <c r="W7" i="4"/>
  <c r="W6" i="4"/>
  <c r="W9" i="4"/>
  <c r="W5" i="4"/>
  <c r="W8" i="4"/>
  <c r="K11" i="1"/>
  <c r="K22" i="1"/>
  <c r="K10" i="1"/>
  <c r="K23" i="1"/>
  <c r="K18" i="1"/>
  <c r="K6" i="1"/>
  <c r="K4" i="1"/>
  <c r="K17" i="1"/>
  <c r="K5" i="1"/>
  <c r="K16" i="1"/>
  <c r="W4" i="1"/>
  <c r="W5" i="1"/>
  <c r="W6" i="1"/>
  <c r="W10" i="1"/>
  <c r="W9" i="1"/>
  <c r="W8" i="1"/>
  <c r="W7" i="1"/>
  <c r="U9" i="8" l="1"/>
  <c r="V9" i="8" s="1"/>
  <c r="X9" i="8" s="1"/>
  <c r="U7" i="8"/>
  <c r="V7" i="8" s="1"/>
  <c r="X7" i="8" s="1"/>
  <c r="O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<sst xmlns="http://schemas.openxmlformats.org/spreadsheetml/2006/main" count="364" uniqueCount="63">
  <si>
    <t>Air Freight</t>
  </si>
  <si>
    <t>Cargo Ships (Heavy Fuel Oil)</t>
  </si>
  <si>
    <t>Slow Steaming Cargo Ships</t>
  </si>
  <si>
    <t>Diesel Trucks</t>
  </si>
  <si>
    <t>Electrified Rail</t>
  </si>
  <si>
    <t>Diesel Rail</t>
  </si>
  <si>
    <t>Electric/Hybrid Trucks</t>
  </si>
  <si>
    <t>congestion_level</t>
  </si>
  <si>
    <t>transportation_method</t>
  </si>
  <si>
    <t>cost_per_unit_shipped</t>
  </si>
  <si>
    <t>to</t>
  </si>
  <si>
    <t>from</t>
  </si>
  <si>
    <t>Sugar Swirl Spires</t>
  </si>
  <si>
    <t>Soda Pop Springs</t>
  </si>
  <si>
    <t>Rainbow Ribbon Roads</t>
  </si>
  <si>
    <t>Jolly Rancher Range</t>
  </si>
  <si>
    <t>Funfetti Fields</t>
  </si>
  <si>
    <t>Coconut Cream Cove</t>
  </si>
  <si>
    <t>Cinnamon Swamp</t>
  </si>
  <si>
    <t>demand</t>
  </si>
  <si>
    <t>supply</t>
  </si>
  <si>
    <t>longitude</t>
  </si>
  <si>
    <t>latitude</t>
  </si>
  <si>
    <t>location_name</t>
  </si>
  <si>
    <t>location_id</t>
  </si>
  <si>
    <t>Objectives</t>
  </si>
  <si>
    <t>Nodes</t>
  </si>
  <si>
    <t>Inflow</t>
  </si>
  <si>
    <t>From</t>
  </si>
  <si>
    <t>To</t>
  </si>
  <si>
    <t>Cost/Unit Shipped</t>
  </si>
  <si>
    <t>Units Shipped</t>
  </si>
  <si>
    <t>Outflow</t>
  </si>
  <si>
    <t>Net Flow</t>
  </si>
  <si>
    <t>Supply/Demand</t>
  </si>
  <si>
    <t>Objective Function</t>
  </si>
  <si>
    <t>Distance</t>
  </si>
  <si>
    <t>Location</t>
  </si>
  <si>
    <t>Long</t>
  </si>
  <si>
    <t>Lat</t>
  </si>
  <si>
    <t>Transportantion Method</t>
  </si>
  <si>
    <t>Eco Friedly</t>
  </si>
  <si>
    <t>Congestion Levels</t>
  </si>
  <si>
    <t>High/Low Congestion</t>
  </si>
  <si>
    <t>Totals</t>
  </si>
  <si>
    <t>Min Trans Cost</t>
  </si>
  <si>
    <t>Min Distance</t>
  </si>
  <si>
    <t>Max Eco Friendly</t>
  </si>
  <si>
    <t>Min Congestion</t>
  </si>
  <si>
    <t>Objective Function Trans cost</t>
  </si>
  <si>
    <t>Deviation</t>
  </si>
  <si>
    <t>Target</t>
  </si>
  <si>
    <t>% Deviation</t>
  </si>
  <si>
    <t>Weight</t>
  </si>
  <si>
    <t>Weighted Deviation %</t>
  </si>
  <si>
    <t>Objective</t>
  </si>
  <si>
    <t>MiniMax</t>
  </si>
  <si>
    <t>145.76X13 + 146.34X16 + 139.92X17 + 140.65X21 + 146.42X23 + 140.01X24 + 148.63X25 + 147.03X26 + 140.63X27 + 138.9X31 + 138.13X34 + 128.59X47 + 124.18X51 + 119.84X52 + 122.21X57 + 130.56X61 + 126.14X62 + 136.23X63 + 129.09X64 + 137.31X65 + 129.44X67 + 126.38X71 + 122.01X72 + 131.99X73</t>
  </si>
  <si>
    <t>Dis</t>
  </si>
  <si>
    <t>Eco</t>
  </si>
  <si>
    <t>1X13+0X16+1X17+0X21+1X23+1X24+1X25+1X26+1X27+1X31+1X34+1X47+1X51+1X52+1X57+1X61+1X62+1X63+0X64+1X65+1X67+0X71+1X72+1X73</t>
  </si>
  <si>
    <t>con</t>
  </si>
  <si>
    <t>81X13+28X16+35X17+74X21+88X23+94X24+94X25+72X26+98X27+102X31+105X34+27X47+84X51+35X52+89X57+94X61+78X62+87X63+87X64+32X65+88X67+40X71+87X72+35X73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</si>
</sst>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0" borderId="8" xfId="0" applyFont="1" applyBorder="1"/>
    <xf numFmtId="0" fontId="2" fillId="4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0" fillId="2" borderId="10" xfId="0" applyFill="1" applyBorder="1"/>
    <xf numFmtId="0" fontId="2" fillId="2" borderId="11" xfId="0" applyFont="1" applyFill="1" applyBorder="1" applyAlignment="1">
      <alignment horizontal="center"/>
    </xf>
    <xf numFmtId="0" fontId="0" fillId="2" borderId="13" xfId="0" applyFill="1" applyBorder="1"/>
    <xf numFmtId="0" fontId="2" fillId="2" borderId="13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0" fillId="4" borderId="13" xfId="0" applyFill="1" applyBorder="1"/>
    <xf numFmtId="44" fontId="3" fillId="0" borderId="0" xfId="2" applyFont="1"/>
    <xf numFmtId="0" fontId="2" fillId="2" borderId="15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2" borderId="14" xfId="0" applyFill="1" applyBorder="1"/>
    <xf numFmtId="164" fontId="0" fillId="0" borderId="0" xfId="1" applyNumberFormat="1" applyFont="1"/>
    <xf numFmtId="164" fontId="3" fillId="0" borderId="0" xfId="1" applyNumberFormat="1" applyFont="1"/>
    <xf numFmtId="0" fontId="2" fillId="4" borderId="18" xfId="0" applyFont="1" applyFill="1" applyBorder="1" applyAlignment="1">
      <alignment horizontal="center"/>
    </xf>
    <xf numFmtId="164" fontId="0" fillId="0" borderId="0" xfId="0" applyNumberFormat="1"/>
    <xf numFmtId="44" fontId="0" fillId="0" borderId="0" xfId="0" applyNumberFormat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10" fontId="2" fillId="0" borderId="0" xfId="3" applyNumberFormat="1" applyFont="1"/>
    <xf numFmtId="0" fontId="2" fillId="4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0" borderId="5" xfId="0" applyFont="1" applyBorder="1"/>
    <xf numFmtId="44" fontId="4" fillId="0" borderId="0" xfId="2" applyFont="1" applyBorder="1" applyAlignment="1">
      <alignment horizontal="right"/>
    </xf>
    <xf numFmtId="9" fontId="0" fillId="0" borderId="0" xfId="3" applyFont="1" applyBorder="1"/>
    <xf numFmtId="2" fontId="0" fillId="0" borderId="0" xfId="0" applyNumberFormat="1"/>
    <xf numFmtId="10" fontId="0" fillId="0" borderId="6" xfId="3" applyNumberFormat="1" applyFont="1" applyBorder="1"/>
    <xf numFmtId="0" fontId="4" fillId="0" borderId="0" xfId="0" applyFont="1" applyAlignment="1">
      <alignment horizontal="right"/>
    </xf>
    <xf numFmtId="0" fontId="2" fillId="0" borderId="7" xfId="0" applyFont="1" applyBorder="1"/>
    <xf numFmtId="0" fontId="4" fillId="0" borderId="8" xfId="0" applyFont="1" applyBorder="1" applyAlignment="1">
      <alignment horizontal="right"/>
    </xf>
    <xf numFmtId="44" fontId="0" fillId="0" borderId="8" xfId="0" applyNumberFormat="1" applyBorder="1"/>
    <xf numFmtId="9" fontId="0" fillId="0" borderId="8" xfId="3" applyFont="1" applyBorder="1"/>
    <xf numFmtId="2" fontId="0" fillId="0" borderId="8" xfId="0" applyNumberFormat="1" applyBorder="1"/>
    <xf numFmtId="10" fontId="0" fillId="0" borderId="9" xfId="3" applyNumberFormat="1" applyFont="1" applyBorder="1"/>
    <xf numFmtId="0" fontId="2" fillId="2" borderId="15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4" borderId="19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24DF4-9736-4D40-970D-8292A2E1D0B9}">
  <dimension ref="B1:AL40"/>
  <sheetViews>
    <sheetView tabSelected="1" topLeftCell="H1" zoomScale="70" zoomScaleNormal="70" workbookViewId="0">
      <selection activeCell="T3" sqref="T3"/>
    </sheetView>
  </sheetViews>
  <sheetFormatPr defaultRowHeight="14.5" x14ac:dyDescent="0.35"/>
  <cols>
    <col min="1" max="1" width="14.7265625" bestFit="1" customWidth="1"/>
    <col min="2" max="2" width="14.90625" bestFit="1" customWidth="1"/>
    <col min="3" max="3" width="1.81640625" bestFit="1" customWidth="1"/>
    <col min="4" max="4" width="20.1796875" bestFit="1" customWidth="1"/>
    <col min="5" max="5" width="6.08984375" bestFit="1" customWidth="1"/>
    <col min="6" max="6" width="7.81640625" bestFit="1" customWidth="1"/>
    <col min="7" max="7" width="2" bestFit="1" customWidth="1"/>
    <col min="8" max="8" width="20.36328125" bestFit="1" customWidth="1"/>
    <col min="9" max="9" width="6.08984375" bestFit="1" customWidth="1"/>
    <col min="10" max="10" width="5.1796875" bestFit="1" customWidth="1"/>
    <col min="11" max="11" width="24.1796875" bestFit="1" customWidth="1"/>
    <col min="12" max="12" width="10.1796875" bestFit="1" customWidth="1"/>
    <col min="13" max="13" width="11.453125" customWidth="1"/>
    <col min="14" max="14" width="16.453125" bestFit="1" customWidth="1"/>
    <col min="15" max="15" width="19.6328125" bestFit="1" customWidth="1"/>
    <col min="16" max="16" width="17.81640625" customWidth="1"/>
    <col min="17" max="17" width="16.1796875" bestFit="1" customWidth="1"/>
    <col min="18" max="20" width="16.1796875" customWidth="1"/>
    <col min="21" max="21" width="26.7265625" bestFit="1" customWidth="1"/>
    <col min="22" max="22" width="16.54296875" bestFit="1" customWidth="1"/>
    <col min="23" max="24" width="14.453125" bestFit="1" customWidth="1"/>
    <col min="25" max="26" width="14.453125" customWidth="1"/>
    <col min="27" max="27" width="20.08984375" bestFit="1" customWidth="1"/>
    <col min="28" max="29" width="12.54296875" customWidth="1"/>
    <col min="30" max="30" width="14.453125" customWidth="1"/>
    <col min="31" max="31" width="20.1796875" bestFit="1" customWidth="1"/>
    <col min="32" max="32" width="1.81640625" bestFit="1" customWidth="1"/>
    <col min="33" max="33" width="20.1796875" bestFit="1" customWidth="1"/>
    <col min="34" max="34" width="9.1796875" customWidth="1"/>
    <col min="35" max="35" width="14.36328125" bestFit="1" customWidth="1"/>
    <col min="36" max="36" width="9.54296875" customWidth="1"/>
    <col min="37" max="37" width="15.1796875" bestFit="1" customWidth="1"/>
  </cols>
  <sheetData>
    <row r="1" spans="2:37" ht="15" thickBot="1" x14ac:dyDescent="0.4"/>
    <row r="2" spans="2:37" ht="15" thickBot="1" x14ac:dyDescent="0.4">
      <c r="C2" s="29"/>
      <c r="D2" s="52" t="s">
        <v>28</v>
      </c>
      <c r="E2" s="52"/>
      <c r="F2" s="52"/>
      <c r="G2" s="53" t="s">
        <v>29</v>
      </c>
      <c r="H2" s="53"/>
      <c r="I2" s="53"/>
      <c r="J2" s="54"/>
      <c r="K2" s="2"/>
      <c r="L2" s="2"/>
      <c r="M2" s="2"/>
      <c r="N2" s="2"/>
      <c r="O2" s="2"/>
      <c r="U2" s="3" t="s">
        <v>49</v>
      </c>
      <c r="V2" s="30">
        <f>SUMPRODUCT(P4:P27,B4:B27)</f>
        <v>169159</v>
      </c>
      <c r="W2">
        <v>169159</v>
      </c>
      <c r="X2" s="33">
        <f>W2-V2</f>
        <v>0</v>
      </c>
      <c r="Y2" s="33"/>
      <c r="Z2" s="33"/>
      <c r="AA2" s="33"/>
      <c r="AB2" s="33"/>
      <c r="AC2" s="33"/>
      <c r="AD2" s="33"/>
    </row>
    <row r="3" spans="2:37" ht="15" thickBot="1" x14ac:dyDescent="0.4">
      <c r="B3" s="28" t="s">
        <v>31</v>
      </c>
      <c r="C3" s="27"/>
      <c r="D3" s="23" t="s">
        <v>37</v>
      </c>
      <c r="E3" s="23" t="s">
        <v>39</v>
      </c>
      <c r="F3" s="23" t="s">
        <v>38</v>
      </c>
      <c r="G3" s="24"/>
      <c r="H3" s="24" t="s">
        <v>37</v>
      </c>
      <c r="I3" s="24" t="s">
        <v>39</v>
      </c>
      <c r="J3" s="24" t="s">
        <v>38</v>
      </c>
      <c r="K3" s="25" t="s">
        <v>40</v>
      </c>
      <c r="L3" s="25" t="s">
        <v>41</v>
      </c>
      <c r="M3" s="25" t="s">
        <v>36</v>
      </c>
      <c r="N3" s="32" t="s">
        <v>42</v>
      </c>
      <c r="O3" s="32" t="s">
        <v>43</v>
      </c>
      <c r="P3" s="26" t="s">
        <v>30</v>
      </c>
      <c r="Q3" s="57" t="s">
        <v>58</v>
      </c>
      <c r="R3" s="58" t="s">
        <v>59</v>
      </c>
      <c r="S3" s="58" t="s">
        <v>61</v>
      </c>
      <c r="T3" s="58"/>
      <c r="AF3" s="15"/>
      <c r="AG3" s="16" t="s">
        <v>26</v>
      </c>
      <c r="AH3" s="13" t="s">
        <v>27</v>
      </c>
      <c r="AI3" s="13" t="s">
        <v>32</v>
      </c>
      <c r="AJ3" s="13" t="s">
        <v>33</v>
      </c>
      <c r="AK3" s="14" t="s">
        <v>34</v>
      </c>
    </row>
    <row r="4" spans="2:37" ht="15" thickBot="1" x14ac:dyDescent="0.4">
      <c r="B4" s="35">
        <v>0</v>
      </c>
      <c r="C4">
        <v>1</v>
      </c>
      <c r="D4" t="str">
        <f t="shared" ref="D4:D27" si="0">_xlfn.XLOOKUP(C4,$AG$19:$AG$25,$AH$19:$AH$25)</f>
        <v>Cinnamon Swamp</v>
      </c>
      <c r="E4" s="4">
        <f t="shared" ref="E4:E27" si="1">_xlfn.XLOOKUP(C4,$AG$19:$AG$25,$AI$19:$AI$25)</f>
        <v>37.5</v>
      </c>
      <c r="F4" s="4">
        <f t="shared" ref="F4:F27" si="2">_xlfn.XLOOKUP(C4,$AG$19:$AG$25,$AJ$19:$AJ$25)</f>
        <v>-102.5</v>
      </c>
      <c r="G4">
        <v>3</v>
      </c>
      <c r="H4" t="str">
        <f t="shared" ref="H4:H27" si="3">_xlfn.XLOOKUP(G4,$AG$19:$AG$25,$AH$19:$AH$25)</f>
        <v>Funfetti Fields</v>
      </c>
      <c r="I4" s="4">
        <f t="shared" ref="I4:I27" si="4">_xlfn.XLOOKUP(G4,$AG$19:$AG$25,$AI$19:$AI$25)</f>
        <v>43.26</v>
      </c>
      <c r="J4" s="4">
        <f t="shared" ref="J4:J27" si="5">_xlfn.XLOOKUP(G4,$AG$19:$AG$25,$AJ$19:$AJ$25)</f>
        <v>-101.4</v>
      </c>
      <c r="K4" t="s">
        <v>3</v>
      </c>
      <c r="L4" s="4">
        <f>IF(OR(K4="Electric/Hybrid Trucks",K4="Electrified Rail",K4="Wind-powered Ships",K4="Slow Steaming Cargo Ships"),0,1)</f>
        <v>1</v>
      </c>
      <c r="M4" s="4">
        <f t="shared" ref="M4:M27" si="6">SQRT((I4-F4)^2+(J4-F4)^2)</f>
        <v>145.76415059952154</v>
      </c>
      <c r="N4" s="4">
        <v>81</v>
      </c>
      <c r="O4" s="4">
        <f>IF(N4&gt;=70,1,0)</f>
        <v>1</v>
      </c>
      <c r="P4" s="6">
        <v>22</v>
      </c>
      <c r="Q4" t="str">
        <f>_xlfn.CONCAT(ROUND(M4,2),"X",C4,G4)</f>
        <v>145.76X13</v>
      </c>
      <c r="R4" t="str">
        <f>_xlfn.CONCAT(L4,"X",C4,G4)</f>
        <v>1X13</v>
      </c>
      <c r="S4" t="str">
        <f>_xlfn.CONCAT(N4,"X",C4,G4)</f>
        <v>81X13</v>
      </c>
      <c r="AF4" s="5">
        <v>1</v>
      </c>
      <c r="AG4" s="1" t="str">
        <f t="shared" ref="AG4:AG10" si="7">_xlfn.XLOOKUP(AF4,$AG$19:$AG$25,$AH$19:$AH$25)</f>
        <v>Cinnamon Swamp</v>
      </c>
      <c r="AH4" s="4">
        <f t="shared" ref="AH4:AH10" si="8">SUMIF($G$4:$G$27,AF4,$B$4:$B$27)</f>
        <v>0</v>
      </c>
      <c r="AI4" s="4" cm="1">
        <f t="array" ref="AI4:AI10">SUMIF(C4:C27,AF4:AF10,B4:B27)</f>
        <v>8606</v>
      </c>
      <c r="AJ4" s="4">
        <f>AH4-AI4</f>
        <v>-8606</v>
      </c>
      <c r="AK4" s="6">
        <v>-8606</v>
      </c>
    </row>
    <row r="5" spans="2:37" x14ac:dyDescent="0.35">
      <c r="B5" s="35">
        <v>5477</v>
      </c>
      <c r="C5">
        <v>1</v>
      </c>
      <c r="D5" t="str">
        <f t="shared" si="0"/>
        <v>Cinnamon Swamp</v>
      </c>
      <c r="E5" s="4">
        <f t="shared" si="1"/>
        <v>37.5</v>
      </c>
      <c r="F5" s="4">
        <f t="shared" si="2"/>
        <v>-102.5</v>
      </c>
      <c r="G5">
        <v>6</v>
      </c>
      <c r="H5" t="str">
        <f t="shared" si="3"/>
        <v>Soda Pop Springs</v>
      </c>
      <c r="I5" s="4">
        <f t="shared" si="4"/>
        <v>43.51</v>
      </c>
      <c r="J5" s="4">
        <f t="shared" si="5"/>
        <v>-92.69</v>
      </c>
      <c r="K5" t="s">
        <v>6</v>
      </c>
      <c r="L5" s="4">
        <f t="shared" ref="L5:L27" si="9">IF(OR(K5="Electric/Hybrid Trucks",K5="Electrified Rail",K5="Wind-powered Ships",K5="Slow Steaming Cargo Ships"),0,1)</f>
        <v>0</v>
      </c>
      <c r="M5" s="4">
        <f t="shared" si="6"/>
        <v>146.33918203953442</v>
      </c>
      <c r="N5" s="4">
        <v>28</v>
      </c>
      <c r="O5" s="4">
        <f t="shared" ref="O5:O27" si="10">IF(N5&gt;=70,1,0)</f>
        <v>0</v>
      </c>
      <c r="P5" s="6">
        <v>8</v>
      </c>
      <c r="Q5" t="str">
        <f t="shared" ref="Q5:Q27" si="11">_xlfn.CONCAT(ROUND(M5,2),"X",C5,G5)</f>
        <v>146.34X16</v>
      </c>
      <c r="R5" t="str">
        <f t="shared" ref="R5:R27" si="12">_xlfn.CONCAT(L5,"X",C5,G5)</f>
        <v>0X16</v>
      </c>
      <c r="S5" t="str">
        <f t="shared" ref="S5:S27" si="13">_xlfn.CONCAT(N5,"X",C5,G5)</f>
        <v>28X16</v>
      </c>
      <c r="U5" s="38" t="s">
        <v>25</v>
      </c>
      <c r="V5" s="11" t="s">
        <v>44</v>
      </c>
      <c r="W5" s="11" t="s">
        <v>51</v>
      </c>
      <c r="X5" s="11" t="s">
        <v>50</v>
      </c>
      <c r="Y5" s="11" t="s">
        <v>52</v>
      </c>
      <c r="Z5" s="11" t="s">
        <v>53</v>
      </c>
      <c r="AA5" s="39" t="s">
        <v>54</v>
      </c>
      <c r="AB5" s="2"/>
      <c r="AC5" s="2"/>
      <c r="AD5" s="2"/>
      <c r="AF5" s="5">
        <v>2</v>
      </c>
      <c r="AG5" s="1" t="str">
        <f t="shared" si="7"/>
        <v>Coconut Cream Cove</v>
      </c>
      <c r="AH5" s="4">
        <f t="shared" si="8"/>
        <v>2785</v>
      </c>
      <c r="AI5" s="4">
        <v>1298</v>
      </c>
      <c r="AJ5" s="4">
        <f t="shared" ref="AJ5:AJ10" si="14">AH5-AI5</f>
        <v>1487</v>
      </c>
      <c r="AK5" s="6">
        <v>1487</v>
      </c>
    </row>
    <row r="6" spans="2:37" x14ac:dyDescent="0.35">
      <c r="B6" s="35">
        <v>3129</v>
      </c>
      <c r="C6">
        <v>1</v>
      </c>
      <c r="D6" t="str">
        <f t="shared" si="0"/>
        <v>Cinnamon Swamp</v>
      </c>
      <c r="E6" s="4">
        <f t="shared" si="1"/>
        <v>37.5</v>
      </c>
      <c r="F6" s="4">
        <f t="shared" si="2"/>
        <v>-102.5</v>
      </c>
      <c r="G6">
        <v>7</v>
      </c>
      <c r="H6" t="str">
        <f t="shared" si="3"/>
        <v>Sugar Swirl Spires</v>
      </c>
      <c r="I6" s="4">
        <f t="shared" si="4"/>
        <v>36.67</v>
      </c>
      <c r="J6" s="4">
        <f t="shared" si="5"/>
        <v>-88.05</v>
      </c>
      <c r="K6" t="s">
        <v>0</v>
      </c>
      <c r="L6" s="4">
        <f t="shared" si="9"/>
        <v>1</v>
      </c>
      <c r="M6" s="4">
        <f t="shared" si="6"/>
        <v>139.91815965056145</v>
      </c>
      <c r="N6" s="4">
        <v>35</v>
      </c>
      <c r="O6" s="4">
        <f t="shared" si="10"/>
        <v>0</v>
      </c>
      <c r="P6" s="6">
        <v>12</v>
      </c>
      <c r="Q6" t="str">
        <f t="shared" si="11"/>
        <v>139.92X17</v>
      </c>
      <c r="R6" t="str">
        <f t="shared" si="12"/>
        <v>1X17</v>
      </c>
      <c r="S6" t="str">
        <f t="shared" si="13"/>
        <v>35X17</v>
      </c>
      <c r="U6" s="40" t="s">
        <v>45</v>
      </c>
      <c r="V6">
        <f>SUMPRODUCT(P4:P27,B4:B27)</f>
        <v>169159</v>
      </c>
      <c r="W6" s="41">
        <v>140314</v>
      </c>
      <c r="X6" s="34">
        <f>V6-W6</f>
        <v>28845</v>
      </c>
      <c r="Y6" s="42">
        <f>X6/W6</f>
        <v>0.20557463973659079</v>
      </c>
      <c r="Z6" s="43">
        <v>4</v>
      </c>
      <c r="AA6" s="44">
        <f>Y6*Z6</f>
        <v>0.82229855894636317</v>
      </c>
      <c r="AB6" s="34"/>
      <c r="AC6" s="34"/>
      <c r="AD6" s="34"/>
      <c r="AF6" s="5">
        <v>3</v>
      </c>
      <c r="AG6" s="1" t="str">
        <f t="shared" si="7"/>
        <v>Funfetti Fields</v>
      </c>
      <c r="AH6" s="4">
        <f t="shared" si="8"/>
        <v>1889.9999999999998</v>
      </c>
      <c r="AI6" s="4">
        <v>0</v>
      </c>
      <c r="AJ6" s="4">
        <f t="shared" si="14"/>
        <v>1889.9999999999998</v>
      </c>
      <c r="AK6" s="6">
        <v>1890</v>
      </c>
    </row>
    <row r="7" spans="2:37" x14ac:dyDescent="0.35">
      <c r="B7" s="35">
        <v>0</v>
      </c>
      <c r="C7">
        <v>2</v>
      </c>
      <c r="D7" t="str">
        <f t="shared" si="0"/>
        <v>Coconut Cream Cove</v>
      </c>
      <c r="E7" s="4">
        <f t="shared" si="1"/>
        <v>33.020000000000003</v>
      </c>
      <c r="F7" s="4">
        <f t="shared" si="2"/>
        <v>-103.15</v>
      </c>
      <c r="G7">
        <v>1</v>
      </c>
      <c r="H7" t="str">
        <f t="shared" si="3"/>
        <v>Cinnamon Swamp</v>
      </c>
      <c r="I7" s="4">
        <f t="shared" si="4"/>
        <v>37.5</v>
      </c>
      <c r="J7" s="4">
        <f t="shared" si="5"/>
        <v>-102.5</v>
      </c>
      <c r="K7" t="s">
        <v>4</v>
      </c>
      <c r="L7" s="4">
        <f t="shared" si="9"/>
        <v>0</v>
      </c>
      <c r="M7" s="4">
        <f t="shared" si="6"/>
        <v>140.65150194718862</v>
      </c>
      <c r="N7" s="4">
        <v>74</v>
      </c>
      <c r="O7" s="4">
        <f t="shared" si="10"/>
        <v>1</v>
      </c>
      <c r="P7" s="6">
        <v>9</v>
      </c>
      <c r="Q7" t="str">
        <f t="shared" si="11"/>
        <v>140.65X21</v>
      </c>
      <c r="R7" t="str">
        <f t="shared" si="12"/>
        <v>0X21</v>
      </c>
      <c r="S7" t="str">
        <f t="shared" si="13"/>
        <v>74X21</v>
      </c>
      <c r="U7" s="40" t="s">
        <v>46</v>
      </c>
      <c r="V7">
        <f>SUMPRODUCT(B4:B27,M4:M27)</f>
        <v>2582431.6143072071</v>
      </c>
      <c r="W7" s="41">
        <v>1785593.6808288898</v>
      </c>
      <c r="X7" s="34">
        <f t="shared" ref="X7:X9" si="15">V7-W7</f>
        <v>796837.93347831722</v>
      </c>
      <c r="Y7" s="42">
        <f t="shared" ref="Y7:Y9" si="16">X7/W7</f>
        <v>0.4462593825424031</v>
      </c>
      <c r="Z7" s="43">
        <v>1</v>
      </c>
      <c r="AA7" s="44">
        <f t="shared" ref="AA7:AA9" si="17">Y7*Z7</f>
        <v>0.4462593825424031</v>
      </c>
      <c r="AB7" s="34"/>
      <c r="AC7" s="34"/>
      <c r="AD7" s="34"/>
      <c r="AF7" s="5">
        <v>4</v>
      </c>
      <c r="AG7" s="1" t="str">
        <f t="shared" si="7"/>
        <v>Jolly Rancher Range</v>
      </c>
      <c r="AH7" s="4">
        <f t="shared" si="8"/>
        <v>1298</v>
      </c>
      <c r="AI7" s="4">
        <v>0</v>
      </c>
      <c r="AJ7" s="4">
        <f t="shared" si="14"/>
        <v>1298</v>
      </c>
      <c r="AK7" s="6">
        <v>1298</v>
      </c>
    </row>
    <row r="8" spans="2:37" x14ac:dyDescent="0.35">
      <c r="B8" s="35">
        <v>0</v>
      </c>
      <c r="C8">
        <v>2</v>
      </c>
      <c r="D8" t="str">
        <f t="shared" si="0"/>
        <v>Coconut Cream Cove</v>
      </c>
      <c r="E8" s="4">
        <f t="shared" si="1"/>
        <v>33.020000000000003</v>
      </c>
      <c r="F8" s="4">
        <f t="shared" si="2"/>
        <v>-103.15</v>
      </c>
      <c r="G8">
        <v>3</v>
      </c>
      <c r="H8" t="str">
        <f t="shared" si="3"/>
        <v>Funfetti Fields</v>
      </c>
      <c r="I8" s="4">
        <f t="shared" si="4"/>
        <v>43.26</v>
      </c>
      <c r="J8" s="4">
        <f t="shared" si="5"/>
        <v>-101.4</v>
      </c>
      <c r="K8" t="s">
        <v>1</v>
      </c>
      <c r="L8" s="4">
        <f t="shared" si="9"/>
        <v>1</v>
      </c>
      <c r="M8" s="4">
        <f t="shared" si="6"/>
        <v>146.4204582700109</v>
      </c>
      <c r="N8" s="4">
        <v>88</v>
      </c>
      <c r="O8" s="4">
        <f t="shared" si="10"/>
        <v>1</v>
      </c>
      <c r="P8" s="6">
        <v>11</v>
      </c>
      <c r="Q8" t="str">
        <f t="shared" si="11"/>
        <v>146.42X23</v>
      </c>
      <c r="R8" t="str">
        <f t="shared" si="12"/>
        <v>1X23</v>
      </c>
      <c r="S8" t="str">
        <f t="shared" si="13"/>
        <v>88X23</v>
      </c>
      <c r="U8" s="40" t="s">
        <v>47</v>
      </c>
      <c r="V8">
        <f>SUMPRODUCT(B4:B27,L4:L27)</f>
        <v>13313</v>
      </c>
      <c r="W8" s="45">
        <v>6042</v>
      </c>
      <c r="X8" s="34">
        <f>V8-W8</f>
        <v>7271</v>
      </c>
      <c r="Y8" s="42">
        <f t="shared" si="16"/>
        <v>1.2034094670638862</v>
      </c>
      <c r="Z8" s="43">
        <v>3</v>
      </c>
      <c r="AA8" s="44">
        <f t="shared" si="17"/>
        <v>3.6102284011916588</v>
      </c>
      <c r="AB8" s="34"/>
      <c r="AC8" s="34"/>
      <c r="AD8" s="34"/>
      <c r="AF8" s="5">
        <v>5</v>
      </c>
      <c r="AG8" s="1" t="str">
        <f t="shared" si="7"/>
        <v>Rainbow Ribbon Roads</v>
      </c>
      <c r="AH8" s="4">
        <f t="shared" si="8"/>
        <v>4211</v>
      </c>
      <c r="AI8" s="4">
        <v>2785</v>
      </c>
      <c r="AJ8" s="4">
        <f t="shared" si="14"/>
        <v>1426</v>
      </c>
      <c r="AK8" s="6">
        <v>1426</v>
      </c>
    </row>
    <row r="9" spans="2:37" ht="15" thickBot="1" x14ac:dyDescent="0.4">
      <c r="B9" s="35">
        <v>1298</v>
      </c>
      <c r="C9">
        <v>2</v>
      </c>
      <c r="D9" t="str">
        <f t="shared" si="0"/>
        <v>Coconut Cream Cove</v>
      </c>
      <c r="E9" s="4">
        <f t="shared" si="1"/>
        <v>33.020000000000003</v>
      </c>
      <c r="F9" s="4">
        <f t="shared" si="2"/>
        <v>-103.15</v>
      </c>
      <c r="G9">
        <v>4</v>
      </c>
      <c r="H9" t="str">
        <f t="shared" si="3"/>
        <v>Jolly Rancher Range</v>
      </c>
      <c r="I9" s="4">
        <f t="shared" si="4"/>
        <v>36.4</v>
      </c>
      <c r="J9" s="4">
        <f t="shared" si="5"/>
        <v>-91.86</v>
      </c>
      <c r="K9" t="s">
        <v>5</v>
      </c>
      <c r="L9" s="4">
        <f t="shared" si="9"/>
        <v>1</v>
      </c>
      <c r="M9" s="4">
        <f t="shared" si="6"/>
        <v>140.00595201633394</v>
      </c>
      <c r="N9" s="4">
        <v>94</v>
      </c>
      <c r="O9" s="4">
        <f t="shared" si="10"/>
        <v>1</v>
      </c>
      <c r="P9" s="6">
        <v>13</v>
      </c>
      <c r="Q9" t="str">
        <f t="shared" si="11"/>
        <v>140.01X24</v>
      </c>
      <c r="R9" t="str">
        <f t="shared" si="12"/>
        <v>1X24</v>
      </c>
      <c r="S9" t="str">
        <f t="shared" si="13"/>
        <v>94X24</v>
      </c>
      <c r="U9" s="46" t="s">
        <v>48</v>
      </c>
      <c r="V9" s="8">
        <f>SUMPRODUCT(B4:B27,O4:O27)</f>
        <v>1298</v>
      </c>
      <c r="W9" s="47">
        <v>1298</v>
      </c>
      <c r="X9" s="48">
        <f t="shared" si="15"/>
        <v>0</v>
      </c>
      <c r="Y9" s="49">
        <f t="shared" si="16"/>
        <v>0</v>
      </c>
      <c r="Z9" s="50">
        <v>2</v>
      </c>
      <c r="AA9" s="51">
        <f t="shared" si="17"/>
        <v>0</v>
      </c>
      <c r="AB9" s="34"/>
      <c r="AC9" s="34"/>
      <c r="AD9" s="34"/>
      <c r="AF9" s="5">
        <v>6</v>
      </c>
      <c r="AG9" s="1" t="str">
        <f t="shared" si="7"/>
        <v>Soda Pop Springs</v>
      </c>
      <c r="AH9" s="4">
        <f t="shared" si="8"/>
        <v>5477</v>
      </c>
      <c r="AI9" s="4">
        <v>4211</v>
      </c>
      <c r="AJ9" s="4">
        <f t="shared" si="14"/>
        <v>1266</v>
      </c>
      <c r="AK9" s="6">
        <v>1266</v>
      </c>
    </row>
    <row r="10" spans="2:37" ht="15" thickBot="1" x14ac:dyDescent="0.4">
      <c r="B10" s="35">
        <v>0</v>
      </c>
      <c r="C10">
        <v>2</v>
      </c>
      <c r="D10" t="str">
        <f t="shared" si="0"/>
        <v>Coconut Cream Cove</v>
      </c>
      <c r="E10" s="4">
        <f t="shared" si="1"/>
        <v>33.020000000000003</v>
      </c>
      <c r="F10" s="4">
        <f t="shared" si="2"/>
        <v>-103.15</v>
      </c>
      <c r="G10">
        <v>5</v>
      </c>
      <c r="H10" t="str">
        <f t="shared" si="3"/>
        <v>Rainbow Ribbon Roads</v>
      </c>
      <c r="I10" s="4">
        <f t="shared" si="4"/>
        <v>44.43</v>
      </c>
      <c r="J10" s="4">
        <f t="shared" si="5"/>
        <v>-85.51</v>
      </c>
      <c r="K10" t="s">
        <v>5</v>
      </c>
      <c r="L10" s="4">
        <f t="shared" si="9"/>
        <v>1</v>
      </c>
      <c r="M10" s="4">
        <f t="shared" si="6"/>
        <v>148.63050158026113</v>
      </c>
      <c r="N10" s="4">
        <v>94</v>
      </c>
      <c r="O10" s="4">
        <f t="shared" si="10"/>
        <v>1</v>
      </c>
      <c r="P10" s="6">
        <v>5</v>
      </c>
      <c r="Q10" t="str">
        <f t="shared" si="11"/>
        <v>148.63X25</v>
      </c>
      <c r="R10" t="str">
        <f t="shared" si="12"/>
        <v>1X25</v>
      </c>
      <c r="S10" t="str">
        <f t="shared" si="13"/>
        <v>94X25</v>
      </c>
      <c r="AF10" s="7">
        <v>7</v>
      </c>
      <c r="AG10" s="12" t="str">
        <f t="shared" si="7"/>
        <v>Sugar Swirl Spires</v>
      </c>
      <c r="AH10" s="9">
        <f t="shared" si="8"/>
        <v>3129</v>
      </c>
      <c r="AI10" s="9">
        <v>1889.9999999999998</v>
      </c>
      <c r="AJ10" s="9">
        <f t="shared" si="14"/>
        <v>1239.0000000000002</v>
      </c>
      <c r="AK10" s="10">
        <v>1239</v>
      </c>
    </row>
    <row r="11" spans="2:37" x14ac:dyDescent="0.35">
      <c r="B11" s="35">
        <v>0</v>
      </c>
      <c r="C11">
        <v>2</v>
      </c>
      <c r="D11" t="str">
        <f t="shared" si="0"/>
        <v>Coconut Cream Cove</v>
      </c>
      <c r="E11" s="4">
        <f t="shared" si="1"/>
        <v>33.020000000000003</v>
      </c>
      <c r="F11" s="4">
        <f t="shared" si="2"/>
        <v>-103.15</v>
      </c>
      <c r="G11">
        <v>6</v>
      </c>
      <c r="H11" t="str">
        <f t="shared" si="3"/>
        <v>Soda Pop Springs</v>
      </c>
      <c r="I11" s="4">
        <f t="shared" si="4"/>
        <v>43.51</v>
      </c>
      <c r="J11" s="4">
        <f t="shared" si="5"/>
        <v>-92.69</v>
      </c>
      <c r="K11" t="s">
        <v>3</v>
      </c>
      <c r="L11" s="4">
        <f t="shared" si="9"/>
        <v>1</v>
      </c>
      <c r="M11" s="4">
        <f t="shared" si="6"/>
        <v>147.03253789552841</v>
      </c>
      <c r="N11" s="4">
        <v>72</v>
      </c>
      <c r="O11" s="4">
        <f t="shared" si="10"/>
        <v>1</v>
      </c>
      <c r="P11" s="6">
        <v>24</v>
      </c>
      <c r="Q11" t="str">
        <f t="shared" si="11"/>
        <v>147.03X26</v>
      </c>
      <c r="R11" t="str">
        <f t="shared" si="12"/>
        <v>1X26</v>
      </c>
      <c r="S11" t="str">
        <f t="shared" si="13"/>
        <v>72X26</v>
      </c>
    </row>
    <row r="12" spans="2:37" x14ac:dyDescent="0.35">
      <c r="B12" s="35">
        <v>0</v>
      </c>
      <c r="C12">
        <v>2</v>
      </c>
      <c r="D12" t="str">
        <f t="shared" si="0"/>
        <v>Coconut Cream Cove</v>
      </c>
      <c r="E12" s="4">
        <f t="shared" si="1"/>
        <v>33.020000000000003</v>
      </c>
      <c r="F12" s="4">
        <f t="shared" si="2"/>
        <v>-103.15</v>
      </c>
      <c r="G12">
        <v>7</v>
      </c>
      <c r="H12" t="str">
        <f t="shared" si="3"/>
        <v>Sugar Swirl Spires</v>
      </c>
      <c r="I12" s="4">
        <f t="shared" si="4"/>
        <v>36.67</v>
      </c>
      <c r="J12" s="4">
        <f t="shared" si="5"/>
        <v>-88.05</v>
      </c>
      <c r="K12" t="s">
        <v>0</v>
      </c>
      <c r="L12" s="4">
        <f t="shared" si="9"/>
        <v>1</v>
      </c>
      <c r="M12" s="4">
        <f t="shared" si="6"/>
        <v>140.63300608320935</v>
      </c>
      <c r="N12" s="4">
        <v>98</v>
      </c>
      <c r="O12" s="4">
        <f t="shared" si="10"/>
        <v>1</v>
      </c>
      <c r="P12" s="6">
        <v>18</v>
      </c>
      <c r="Q12" t="str">
        <f t="shared" si="11"/>
        <v>140.63X27</v>
      </c>
      <c r="R12" t="str">
        <f t="shared" si="12"/>
        <v>1X27</v>
      </c>
      <c r="S12" t="str">
        <f t="shared" si="13"/>
        <v>98X27</v>
      </c>
      <c r="U12" s="1" t="s">
        <v>55</v>
      </c>
    </row>
    <row r="13" spans="2:37" x14ac:dyDescent="0.35">
      <c r="B13" s="35">
        <v>0</v>
      </c>
      <c r="C13">
        <v>3</v>
      </c>
      <c r="D13" t="str">
        <f t="shared" si="0"/>
        <v>Funfetti Fields</v>
      </c>
      <c r="E13" s="4">
        <f t="shared" si="1"/>
        <v>43.26</v>
      </c>
      <c r="F13" s="4">
        <f t="shared" si="2"/>
        <v>-101.4</v>
      </c>
      <c r="G13">
        <v>1</v>
      </c>
      <c r="H13" t="str">
        <f t="shared" si="3"/>
        <v>Cinnamon Swamp</v>
      </c>
      <c r="I13" s="4">
        <f t="shared" si="4"/>
        <v>37.5</v>
      </c>
      <c r="J13" s="4">
        <f t="shared" si="5"/>
        <v>-102.5</v>
      </c>
      <c r="K13" t="s">
        <v>5</v>
      </c>
      <c r="L13" s="4">
        <f t="shared" si="9"/>
        <v>1</v>
      </c>
      <c r="M13" s="4">
        <f t="shared" si="6"/>
        <v>138.90435558325737</v>
      </c>
      <c r="N13" s="4">
        <v>102</v>
      </c>
      <c r="O13" s="4">
        <f t="shared" si="10"/>
        <v>1</v>
      </c>
      <c r="P13" s="6">
        <v>13</v>
      </c>
      <c r="Q13" t="str">
        <f t="shared" si="11"/>
        <v>138.9X31</v>
      </c>
      <c r="R13" t="str">
        <f t="shared" si="12"/>
        <v>1X31</v>
      </c>
      <c r="S13" t="str">
        <f t="shared" si="13"/>
        <v>102X31</v>
      </c>
      <c r="U13" s="1" t="s">
        <v>56</v>
      </c>
      <c r="V13" s="37">
        <v>3.6102284011911019</v>
      </c>
    </row>
    <row r="14" spans="2:37" x14ac:dyDescent="0.35">
      <c r="B14" s="35">
        <v>0</v>
      </c>
      <c r="C14">
        <v>3</v>
      </c>
      <c r="D14" t="str">
        <f t="shared" si="0"/>
        <v>Funfetti Fields</v>
      </c>
      <c r="E14" s="4">
        <f t="shared" si="1"/>
        <v>43.26</v>
      </c>
      <c r="F14" s="4">
        <f t="shared" si="2"/>
        <v>-101.4</v>
      </c>
      <c r="G14">
        <v>4</v>
      </c>
      <c r="H14" t="str">
        <f t="shared" si="3"/>
        <v>Jolly Rancher Range</v>
      </c>
      <c r="I14" s="4">
        <f t="shared" si="4"/>
        <v>36.4</v>
      </c>
      <c r="J14" s="4">
        <f t="shared" si="5"/>
        <v>-91.86</v>
      </c>
      <c r="K14" t="s">
        <v>3</v>
      </c>
      <c r="L14" s="4">
        <f t="shared" si="9"/>
        <v>1</v>
      </c>
      <c r="M14" s="4">
        <f t="shared" si="6"/>
        <v>138.12983602393803</v>
      </c>
      <c r="N14" s="4">
        <v>105</v>
      </c>
      <c r="O14" s="4">
        <f t="shared" si="10"/>
        <v>1</v>
      </c>
      <c r="P14" s="6">
        <v>16</v>
      </c>
      <c r="Q14" t="str">
        <f t="shared" si="11"/>
        <v>138.13X34</v>
      </c>
      <c r="R14" t="str">
        <f t="shared" si="12"/>
        <v>1X34</v>
      </c>
      <c r="S14" t="str">
        <f t="shared" si="13"/>
        <v>105X34</v>
      </c>
    </row>
    <row r="15" spans="2:37" x14ac:dyDescent="0.35">
      <c r="B15" s="35">
        <v>0</v>
      </c>
      <c r="C15">
        <v>4</v>
      </c>
      <c r="D15" t="str">
        <f t="shared" si="0"/>
        <v>Jolly Rancher Range</v>
      </c>
      <c r="E15" s="4">
        <f t="shared" si="1"/>
        <v>36.4</v>
      </c>
      <c r="F15" s="4">
        <f t="shared" si="2"/>
        <v>-91.86</v>
      </c>
      <c r="G15">
        <v>7</v>
      </c>
      <c r="H15" t="str">
        <f t="shared" si="3"/>
        <v>Sugar Swirl Spires</v>
      </c>
      <c r="I15" s="4">
        <f t="shared" si="4"/>
        <v>36.67</v>
      </c>
      <c r="J15" s="4">
        <f t="shared" si="5"/>
        <v>-88.05</v>
      </c>
      <c r="K15" t="s">
        <v>3</v>
      </c>
      <c r="L15" s="4">
        <f t="shared" si="9"/>
        <v>1</v>
      </c>
      <c r="M15" s="4">
        <f t="shared" si="6"/>
        <v>128.58645729624874</v>
      </c>
      <c r="N15" s="4">
        <v>27</v>
      </c>
      <c r="O15" s="4">
        <f t="shared" si="10"/>
        <v>0</v>
      </c>
      <c r="P15" s="6">
        <v>16</v>
      </c>
      <c r="Q15" t="str">
        <f t="shared" si="11"/>
        <v>128.59X47</v>
      </c>
      <c r="R15" t="str">
        <f t="shared" si="12"/>
        <v>1X47</v>
      </c>
      <c r="S15" t="str">
        <f t="shared" si="13"/>
        <v>27X47</v>
      </c>
    </row>
    <row r="16" spans="2:37" x14ac:dyDescent="0.35">
      <c r="B16" s="35">
        <v>0</v>
      </c>
      <c r="C16">
        <v>5</v>
      </c>
      <c r="D16" t="str">
        <f t="shared" si="0"/>
        <v>Rainbow Ribbon Roads</v>
      </c>
      <c r="E16" s="4">
        <f t="shared" si="1"/>
        <v>44.43</v>
      </c>
      <c r="F16" s="4">
        <f t="shared" si="2"/>
        <v>-85.51</v>
      </c>
      <c r="G16">
        <v>1</v>
      </c>
      <c r="H16" t="str">
        <f t="shared" si="3"/>
        <v>Cinnamon Swamp</v>
      </c>
      <c r="I16" s="4">
        <f t="shared" si="4"/>
        <v>37.5</v>
      </c>
      <c r="J16" s="4">
        <f t="shared" si="5"/>
        <v>-102.5</v>
      </c>
      <c r="K16" t="s">
        <v>3</v>
      </c>
      <c r="L16" s="4">
        <f t="shared" si="9"/>
        <v>1</v>
      </c>
      <c r="M16" s="4">
        <f t="shared" si="6"/>
        <v>124.17777659468703</v>
      </c>
      <c r="N16" s="4">
        <v>84</v>
      </c>
      <c r="O16" s="4">
        <f t="shared" si="10"/>
        <v>1</v>
      </c>
      <c r="P16" s="6">
        <v>10</v>
      </c>
      <c r="Q16" t="str">
        <f t="shared" si="11"/>
        <v>124.18X51</v>
      </c>
      <c r="R16" t="str">
        <f t="shared" si="12"/>
        <v>1X51</v>
      </c>
      <c r="S16" t="str">
        <f t="shared" si="13"/>
        <v>84X51</v>
      </c>
    </row>
    <row r="17" spans="2:38" x14ac:dyDescent="0.35">
      <c r="B17" s="35">
        <v>2785</v>
      </c>
      <c r="C17">
        <v>5</v>
      </c>
      <c r="D17" t="str">
        <f t="shared" si="0"/>
        <v>Rainbow Ribbon Roads</v>
      </c>
      <c r="E17" s="4">
        <f t="shared" si="1"/>
        <v>44.43</v>
      </c>
      <c r="F17" s="4">
        <f t="shared" si="2"/>
        <v>-85.51</v>
      </c>
      <c r="G17">
        <v>2</v>
      </c>
      <c r="H17" t="str">
        <f t="shared" si="3"/>
        <v>Coconut Cream Cove</v>
      </c>
      <c r="I17" s="4">
        <f t="shared" si="4"/>
        <v>33.020000000000003</v>
      </c>
      <c r="J17" s="4">
        <f t="shared" si="5"/>
        <v>-103.15</v>
      </c>
      <c r="K17" t="s">
        <v>5</v>
      </c>
      <c r="L17" s="4">
        <f t="shared" si="9"/>
        <v>1</v>
      </c>
      <c r="M17" s="4">
        <f t="shared" si="6"/>
        <v>119.83543090421963</v>
      </c>
      <c r="N17" s="4">
        <v>35</v>
      </c>
      <c r="O17" s="4">
        <f t="shared" si="10"/>
        <v>0</v>
      </c>
      <c r="P17" s="6">
        <v>13</v>
      </c>
      <c r="Q17" t="str">
        <f t="shared" si="11"/>
        <v>119.84X52</v>
      </c>
      <c r="R17" t="str">
        <f t="shared" si="12"/>
        <v>1X52</v>
      </c>
      <c r="S17" t="str">
        <f t="shared" si="13"/>
        <v>35X52</v>
      </c>
    </row>
    <row r="18" spans="2:38" x14ac:dyDescent="0.35">
      <c r="B18" s="35">
        <v>0</v>
      </c>
      <c r="C18">
        <v>5</v>
      </c>
      <c r="D18" t="str">
        <f t="shared" si="0"/>
        <v>Rainbow Ribbon Roads</v>
      </c>
      <c r="E18" s="4">
        <f t="shared" si="1"/>
        <v>44.43</v>
      </c>
      <c r="F18" s="4">
        <f t="shared" si="2"/>
        <v>-85.51</v>
      </c>
      <c r="G18">
        <v>7</v>
      </c>
      <c r="H18" t="str">
        <f t="shared" si="3"/>
        <v>Sugar Swirl Spires</v>
      </c>
      <c r="I18" s="4">
        <f t="shared" si="4"/>
        <v>36.67</v>
      </c>
      <c r="J18" s="4">
        <f t="shared" si="5"/>
        <v>-88.05</v>
      </c>
      <c r="K18" t="s">
        <v>3</v>
      </c>
      <c r="L18" s="4">
        <f t="shared" si="9"/>
        <v>1</v>
      </c>
      <c r="M18" s="4">
        <f t="shared" si="6"/>
        <v>122.20639917778448</v>
      </c>
      <c r="N18" s="4">
        <v>89</v>
      </c>
      <c r="O18" s="4">
        <f t="shared" si="10"/>
        <v>1</v>
      </c>
      <c r="P18" s="6">
        <v>19</v>
      </c>
      <c r="Q18" t="str">
        <f t="shared" si="11"/>
        <v>122.21X57</v>
      </c>
      <c r="R18" t="str">
        <f t="shared" si="12"/>
        <v>1X57</v>
      </c>
      <c r="S18" t="str">
        <f t="shared" si="13"/>
        <v>89X57</v>
      </c>
      <c r="AG18" t="s">
        <v>24</v>
      </c>
      <c r="AH18" t="s">
        <v>23</v>
      </c>
      <c r="AI18" t="s">
        <v>22</v>
      </c>
      <c r="AJ18" t="s">
        <v>21</v>
      </c>
      <c r="AK18" t="s">
        <v>20</v>
      </c>
      <c r="AL18" t="s">
        <v>19</v>
      </c>
    </row>
    <row r="19" spans="2:38" x14ac:dyDescent="0.35">
      <c r="B19" s="35">
        <v>0</v>
      </c>
      <c r="C19">
        <v>6</v>
      </c>
      <c r="D19" t="str">
        <f t="shared" si="0"/>
        <v>Soda Pop Springs</v>
      </c>
      <c r="E19" s="4">
        <f t="shared" si="1"/>
        <v>43.51</v>
      </c>
      <c r="F19" s="4">
        <f t="shared" si="2"/>
        <v>-92.69</v>
      </c>
      <c r="G19">
        <v>1</v>
      </c>
      <c r="H19" t="str">
        <f t="shared" si="3"/>
        <v>Cinnamon Swamp</v>
      </c>
      <c r="I19" s="4">
        <f t="shared" si="4"/>
        <v>37.5</v>
      </c>
      <c r="J19" s="4">
        <f t="shared" si="5"/>
        <v>-102.5</v>
      </c>
      <c r="K19" t="s">
        <v>1</v>
      </c>
      <c r="L19" s="4">
        <f t="shared" si="9"/>
        <v>1</v>
      </c>
      <c r="M19" s="4">
        <f t="shared" si="6"/>
        <v>130.55907551756025</v>
      </c>
      <c r="N19" s="4">
        <v>94</v>
      </c>
      <c r="O19" s="4">
        <f t="shared" si="10"/>
        <v>1</v>
      </c>
      <c r="P19" s="6">
        <v>13</v>
      </c>
      <c r="Q19" t="str">
        <f t="shared" si="11"/>
        <v>130.56X61</v>
      </c>
      <c r="R19" t="str">
        <f t="shared" si="12"/>
        <v>1X61</v>
      </c>
      <c r="S19" t="str">
        <f t="shared" si="13"/>
        <v>94X61</v>
      </c>
      <c r="AG19">
        <v>1</v>
      </c>
      <c r="AH19" t="s">
        <v>18</v>
      </c>
      <c r="AI19">
        <v>37.5</v>
      </c>
      <c r="AJ19">
        <v>-102.5</v>
      </c>
      <c r="AK19">
        <v>8606</v>
      </c>
    </row>
    <row r="20" spans="2:38" x14ac:dyDescent="0.35">
      <c r="B20" s="35">
        <v>0</v>
      </c>
      <c r="C20">
        <v>6</v>
      </c>
      <c r="D20" t="str">
        <f t="shared" si="0"/>
        <v>Soda Pop Springs</v>
      </c>
      <c r="E20" s="4">
        <f t="shared" si="1"/>
        <v>43.51</v>
      </c>
      <c r="F20" s="4">
        <f t="shared" si="2"/>
        <v>-92.69</v>
      </c>
      <c r="G20">
        <v>2</v>
      </c>
      <c r="H20" t="str">
        <f t="shared" si="3"/>
        <v>Coconut Cream Cove</v>
      </c>
      <c r="I20" s="4">
        <f t="shared" si="4"/>
        <v>33.020000000000003</v>
      </c>
      <c r="J20" s="4">
        <f t="shared" si="5"/>
        <v>-103.15</v>
      </c>
      <c r="K20" t="s">
        <v>5</v>
      </c>
      <c r="L20" s="4">
        <f t="shared" si="9"/>
        <v>1</v>
      </c>
      <c r="M20" s="4">
        <f t="shared" si="6"/>
        <v>126.14442397506123</v>
      </c>
      <c r="N20" s="4">
        <v>78</v>
      </c>
      <c r="O20" s="4">
        <f t="shared" si="10"/>
        <v>1</v>
      </c>
      <c r="P20" s="6">
        <v>11</v>
      </c>
      <c r="Q20" t="str">
        <f t="shared" si="11"/>
        <v>126.14X62</v>
      </c>
      <c r="R20" t="str">
        <f t="shared" si="12"/>
        <v>1X62</v>
      </c>
      <c r="S20" t="str">
        <f t="shared" si="13"/>
        <v>78X62</v>
      </c>
      <c r="AG20">
        <v>2</v>
      </c>
      <c r="AH20" t="s">
        <v>17</v>
      </c>
      <c r="AI20">
        <v>33.020000000000003</v>
      </c>
      <c r="AJ20">
        <v>-103.15</v>
      </c>
      <c r="AL20">
        <v>1487</v>
      </c>
    </row>
    <row r="21" spans="2:38" x14ac:dyDescent="0.35">
      <c r="B21" s="35">
        <v>0</v>
      </c>
      <c r="C21">
        <v>6</v>
      </c>
      <c r="D21" t="str">
        <f t="shared" si="0"/>
        <v>Soda Pop Springs</v>
      </c>
      <c r="E21" s="4">
        <f t="shared" si="1"/>
        <v>43.51</v>
      </c>
      <c r="F21" s="4">
        <f t="shared" si="2"/>
        <v>-92.69</v>
      </c>
      <c r="G21">
        <v>3</v>
      </c>
      <c r="H21" t="str">
        <f t="shared" si="3"/>
        <v>Funfetti Fields</v>
      </c>
      <c r="I21" s="4">
        <f t="shared" si="4"/>
        <v>43.26</v>
      </c>
      <c r="J21" s="4">
        <f t="shared" si="5"/>
        <v>-101.4</v>
      </c>
      <c r="K21" t="s">
        <v>0</v>
      </c>
      <c r="L21" s="4">
        <f t="shared" si="9"/>
        <v>1</v>
      </c>
      <c r="M21" s="4">
        <f t="shared" si="6"/>
        <v>136.22872898181203</v>
      </c>
      <c r="N21" s="4">
        <v>87</v>
      </c>
      <c r="O21" s="4">
        <f t="shared" si="10"/>
        <v>1</v>
      </c>
      <c r="P21" s="6">
        <v>7</v>
      </c>
      <c r="Q21" t="str">
        <f t="shared" si="11"/>
        <v>136.23X63</v>
      </c>
      <c r="R21" t="str">
        <f t="shared" si="12"/>
        <v>1X63</v>
      </c>
      <c r="S21" t="str">
        <f t="shared" si="13"/>
        <v>87X63</v>
      </c>
      <c r="AG21">
        <v>3</v>
      </c>
      <c r="AH21" t="s">
        <v>16</v>
      </c>
      <c r="AI21">
        <v>43.26</v>
      </c>
      <c r="AJ21">
        <v>-101.4</v>
      </c>
      <c r="AL21">
        <v>1890</v>
      </c>
    </row>
    <row r="22" spans="2:38" x14ac:dyDescent="0.35">
      <c r="B22" s="35">
        <v>0</v>
      </c>
      <c r="C22">
        <v>6</v>
      </c>
      <c r="D22" t="str">
        <f t="shared" si="0"/>
        <v>Soda Pop Springs</v>
      </c>
      <c r="E22" s="4">
        <f t="shared" si="1"/>
        <v>43.51</v>
      </c>
      <c r="F22" s="4">
        <f t="shared" si="2"/>
        <v>-92.69</v>
      </c>
      <c r="G22">
        <v>4</v>
      </c>
      <c r="H22" t="str">
        <f t="shared" si="3"/>
        <v>Jolly Rancher Range</v>
      </c>
      <c r="I22" s="4">
        <f t="shared" si="4"/>
        <v>36.4</v>
      </c>
      <c r="J22" s="4">
        <f t="shared" si="5"/>
        <v>-91.86</v>
      </c>
      <c r="K22" t="s">
        <v>4</v>
      </c>
      <c r="L22" s="4">
        <f t="shared" si="9"/>
        <v>0</v>
      </c>
      <c r="M22" s="4">
        <f t="shared" si="6"/>
        <v>129.09266826586241</v>
      </c>
      <c r="N22" s="4">
        <v>87</v>
      </c>
      <c r="O22" s="4">
        <f t="shared" si="10"/>
        <v>1</v>
      </c>
      <c r="P22" s="6">
        <v>23</v>
      </c>
      <c r="Q22" t="str">
        <f t="shared" si="11"/>
        <v>129.09X64</v>
      </c>
      <c r="R22" t="str">
        <f t="shared" si="12"/>
        <v>0X64</v>
      </c>
      <c r="S22" t="str">
        <f t="shared" si="13"/>
        <v>87X64</v>
      </c>
      <c r="AG22">
        <v>4</v>
      </c>
      <c r="AH22" t="s">
        <v>15</v>
      </c>
      <c r="AI22">
        <v>36.4</v>
      </c>
      <c r="AJ22">
        <v>-91.86</v>
      </c>
      <c r="AL22">
        <v>1298</v>
      </c>
    </row>
    <row r="23" spans="2:38" x14ac:dyDescent="0.35">
      <c r="B23" s="35">
        <v>4211</v>
      </c>
      <c r="C23">
        <v>6</v>
      </c>
      <c r="D23" t="str">
        <f t="shared" si="0"/>
        <v>Soda Pop Springs</v>
      </c>
      <c r="E23" s="4">
        <f t="shared" si="1"/>
        <v>43.51</v>
      </c>
      <c r="F23" s="4">
        <f t="shared" si="2"/>
        <v>-92.69</v>
      </c>
      <c r="G23">
        <v>5</v>
      </c>
      <c r="H23" t="str">
        <f t="shared" si="3"/>
        <v>Rainbow Ribbon Roads</v>
      </c>
      <c r="I23" s="4">
        <f t="shared" si="4"/>
        <v>44.43</v>
      </c>
      <c r="J23" s="4">
        <f t="shared" si="5"/>
        <v>-85.51</v>
      </c>
      <c r="K23" t="s">
        <v>3</v>
      </c>
      <c r="L23" s="4">
        <f t="shared" si="9"/>
        <v>1</v>
      </c>
      <c r="M23" s="4">
        <f t="shared" si="6"/>
        <v>137.3078541089329</v>
      </c>
      <c r="N23" s="4">
        <v>32</v>
      </c>
      <c r="O23" s="4">
        <f t="shared" si="10"/>
        <v>0</v>
      </c>
      <c r="P23" s="6">
        <v>6</v>
      </c>
      <c r="Q23" t="str">
        <f t="shared" si="11"/>
        <v>137.31X65</v>
      </c>
      <c r="R23" t="str">
        <f t="shared" si="12"/>
        <v>1X65</v>
      </c>
      <c r="S23" t="str">
        <f t="shared" si="13"/>
        <v>32X65</v>
      </c>
      <c r="AG23">
        <v>5</v>
      </c>
      <c r="AH23" t="s">
        <v>14</v>
      </c>
      <c r="AI23">
        <v>44.43</v>
      </c>
      <c r="AJ23">
        <v>-85.51</v>
      </c>
      <c r="AL23">
        <v>1426</v>
      </c>
    </row>
    <row r="24" spans="2:38" x14ac:dyDescent="0.35">
      <c r="B24" s="35">
        <v>0</v>
      </c>
      <c r="C24">
        <v>6</v>
      </c>
      <c r="D24" t="str">
        <f t="shared" si="0"/>
        <v>Soda Pop Springs</v>
      </c>
      <c r="E24" s="4">
        <f t="shared" si="1"/>
        <v>43.51</v>
      </c>
      <c r="F24" s="4">
        <f t="shared" si="2"/>
        <v>-92.69</v>
      </c>
      <c r="G24">
        <v>7</v>
      </c>
      <c r="H24" t="str">
        <f t="shared" si="3"/>
        <v>Sugar Swirl Spires</v>
      </c>
      <c r="I24" s="4">
        <f t="shared" si="4"/>
        <v>36.67</v>
      </c>
      <c r="J24" s="4">
        <f t="shared" si="5"/>
        <v>-88.05</v>
      </c>
      <c r="K24" t="s">
        <v>0</v>
      </c>
      <c r="L24" s="4">
        <f t="shared" si="9"/>
        <v>1</v>
      </c>
      <c r="M24" s="4">
        <f t="shared" si="6"/>
        <v>129.44318908308776</v>
      </c>
      <c r="N24" s="4">
        <v>88</v>
      </c>
      <c r="O24" s="4">
        <f t="shared" si="10"/>
        <v>1</v>
      </c>
      <c r="P24" s="6">
        <v>24</v>
      </c>
      <c r="Q24" t="str">
        <f t="shared" si="11"/>
        <v>129.44X67</v>
      </c>
      <c r="R24" t="str">
        <f t="shared" si="12"/>
        <v>1X67</v>
      </c>
      <c r="S24" t="str">
        <f t="shared" si="13"/>
        <v>88X67</v>
      </c>
      <c r="AG24">
        <v>6</v>
      </c>
      <c r="AH24" t="s">
        <v>13</v>
      </c>
      <c r="AI24">
        <v>43.51</v>
      </c>
      <c r="AJ24">
        <v>-92.69</v>
      </c>
      <c r="AL24">
        <v>1266</v>
      </c>
    </row>
    <row r="25" spans="2:38" x14ac:dyDescent="0.35">
      <c r="B25" s="35">
        <v>0</v>
      </c>
      <c r="C25">
        <v>7</v>
      </c>
      <c r="D25" t="str">
        <f t="shared" si="0"/>
        <v>Sugar Swirl Spires</v>
      </c>
      <c r="E25" s="4">
        <f t="shared" si="1"/>
        <v>36.67</v>
      </c>
      <c r="F25" s="4">
        <f t="shared" si="2"/>
        <v>-88.05</v>
      </c>
      <c r="G25">
        <v>1</v>
      </c>
      <c r="H25" t="str">
        <f t="shared" si="3"/>
        <v>Cinnamon Swamp</v>
      </c>
      <c r="I25" s="4">
        <f t="shared" si="4"/>
        <v>37.5</v>
      </c>
      <c r="J25" s="4">
        <f t="shared" si="5"/>
        <v>-102.5</v>
      </c>
      <c r="K25" t="s">
        <v>2</v>
      </c>
      <c r="L25" s="4">
        <f t="shared" si="9"/>
        <v>0</v>
      </c>
      <c r="M25" s="4">
        <f t="shared" si="6"/>
        <v>126.37881547158131</v>
      </c>
      <c r="N25" s="4">
        <v>40</v>
      </c>
      <c r="O25" s="4">
        <f t="shared" si="10"/>
        <v>0</v>
      </c>
      <c r="P25" s="6">
        <v>18</v>
      </c>
      <c r="Q25" t="str">
        <f t="shared" si="11"/>
        <v>126.38X71</v>
      </c>
      <c r="R25" t="str">
        <f t="shared" si="12"/>
        <v>0X71</v>
      </c>
      <c r="S25" t="str">
        <f t="shared" si="13"/>
        <v>40X71</v>
      </c>
      <c r="AG25">
        <v>7</v>
      </c>
      <c r="AH25" t="s">
        <v>12</v>
      </c>
      <c r="AI25">
        <v>36.67</v>
      </c>
      <c r="AJ25">
        <v>-88.05</v>
      </c>
      <c r="AL25">
        <v>1239</v>
      </c>
    </row>
    <row r="26" spans="2:38" x14ac:dyDescent="0.35">
      <c r="B26" s="35">
        <v>0</v>
      </c>
      <c r="C26">
        <v>7</v>
      </c>
      <c r="D26" t="str">
        <f t="shared" si="0"/>
        <v>Sugar Swirl Spires</v>
      </c>
      <c r="E26" s="4">
        <f t="shared" si="1"/>
        <v>36.67</v>
      </c>
      <c r="F26" s="4">
        <f t="shared" si="2"/>
        <v>-88.05</v>
      </c>
      <c r="G26">
        <v>2</v>
      </c>
      <c r="H26" t="str">
        <f t="shared" si="3"/>
        <v>Coconut Cream Cove</v>
      </c>
      <c r="I26" s="4">
        <f t="shared" si="4"/>
        <v>33.020000000000003</v>
      </c>
      <c r="J26" s="4">
        <f t="shared" si="5"/>
        <v>-103.15</v>
      </c>
      <c r="K26" t="s">
        <v>1</v>
      </c>
      <c r="L26" s="4">
        <f t="shared" si="9"/>
        <v>1</v>
      </c>
      <c r="M26" s="4">
        <f t="shared" si="6"/>
        <v>122.00801162218815</v>
      </c>
      <c r="N26" s="4">
        <v>87</v>
      </c>
      <c r="O26" s="4">
        <f t="shared" si="10"/>
        <v>1</v>
      </c>
      <c r="P26" s="6">
        <v>6</v>
      </c>
      <c r="Q26" t="str">
        <f t="shared" si="11"/>
        <v>122.01X72</v>
      </c>
      <c r="R26" t="str">
        <f t="shared" si="12"/>
        <v>1X72</v>
      </c>
      <c r="S26" t="str">
        <f t="shared" si="13"/>
        <v>87X72</v>
      </c>
    </row>
    <row r="27" spans="2:38" ht="15" thickBot="1" x14ac:dyDescent="0.4">
      <c r="B27" s="36">
        <v>1889.9999999999998</v>
      </c>
      <c r="C27" s="8">
        <v>7</v>
      </c>
      <c r="D27" s="8" t="str">
        <f t="shared" si="0"/>
        <v>Sugar Swirl Spires</v>
      </c>
      <c r="E27" s="9">
        <f t="shared" si="1"/>
        <v>36.67</v>
      </c>
      <c r="F27" s="9">
        <f t="shared" si="2"/>
        <v>-88.05</v>
      </c>
      <c r="G27" s="8">
        <v>3</v>
      </c>
      <c r="H27" s="8" t="str">
        <f t="shared" si="3"/>
        <v>Funfetti Fields</v>
      </c>
      <c r="I27" s="9">
        <f t="shared" si="4"/>
        <v>43.26</v>
      </c>
      <c r="J27" s="9">
        <f t="shared" si="5"/>
        <v>-101.4</v>
      </c>
      <c r="K27" s="8" t="s">
        <v>0</v>
      </c>
      <c r="L27" s="9">
        <f t="shared" si="9"/>
        <v>1</v>
      </c>
      <c r="M27" s="9">
        <f t="shared" si="6"/>
        <v>131.98688798513282</v>
      </c>
      <c r="N27" s="9">
        <v>35</v>
      </c>
      <c r="O27" s="9">
        <f t="shared" si="10"/>
        <v>0</v>
      </c>
      <c r="P27" s="10">
        <v>5</v>
      </c>
      <c r="Q27" t="str">
        <f t="shared" si="11"/>
        <v>131.99X73</v>
      </c>
      <c r="R27" t="str">
        <f t="shared" si="12"/>
        <v>1X73</v>
      </c>
      <c r="S27" t="str">
        <f t="shared" si="13"/>
        <v>35X73</v>
      </c>
    </row>
    <row r="30" spans="2:38" x14ac:dyDescent="0.35">
      <c r="Q30" t="str">
        <f>_xlfn.TEXTJOIN(" + ",1,Q4:Q27)</f>
        <v>145.76X13 + 146.34X16 + 139.92X17 + 140.65X21 + 146.42X23 + 140.01X24 + 148.63X25 + 147.03X26 + 140.63X27 + 138.9X31 + 138.13X34 + 128.59X47 + 124.18X51 + 119.84X52 + 122.21X57 + 130.56X61 + 126.14X62 + 136.23X63 + 129.09X64 + 137.31X65 + 129.44X67 + 126.38X71 + 122.01X72 + 131.99X73</v>
      </c>
    </row>
    <row r="32" spans="2:38" x14ac:dyDescent="0.35">
      <c r="Q32" t="s">
        <v>57</v>
      </c>
    </row>
    <row r="34" spans="17:17" x14ac:dyDescent="0.35">
      <c r="Q34" t="str">
        <f>_xlfn.TEXTJOIN("+",TRUE,R4:R27)</f>
        <v>1X13+0X16+1X17+0X21+1X23+1X24+1X25+1X26+1X27+1X31+1X34+1X47+1X51+1X52+1X57+1X61+1X62+1X63+0X64+1X65+1X67+0X71+1X72+1X73</v>
      </c>
    </row>
    <row r="36" spans="17:17" x14ac:dyDescent="0.35">
      <c r="Q36" t="s">
        <v>60</v>
      </c>
    </row>
    <row r="38" spans="17:17" x14ac:dyDescent="0.35">
      <c r="Q38" t="str">
        <f>_xlfn.TEXTJOIN("+",1,S4:S27)</f>
        <v>81X13+28X16+35X17+74X21+88X23+94X24+94X25+72X26+98X27+102X31+105X34+27X47+84X51+35X52+89X57+94X61+78X62+87X63+87X64+32X65+88X67+40X71+87X72+35X73</v>
      </c>
    </row>
    <row r="40" spans="17:17" x14ac:dyDescent="0.35">
      <c r="Q40" t="s">
        <v>62</v>
      </c>
    </row>
  </sheetData>
  <mergeCells count="2">
    <mergeCell ref="D2:F2"/>
    <mergeCell ref="G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13841-BB34-43DA-8249-D89FC8EE0ED5}">
  <dimension ref="B1:AI27"/>
  <sheetViews>
    <sheetView zoomScale="70" zoomScaleNormal="70" workbookViewId="0">
      <selection activeCell="V17" sqref="V17"/>
    </sheetView>
  </sheetViews>
  <sheetFormatPr defaultRowHeight="14.5" x14ac:dyDescent="0.35"/>
  <cols>
    <col min="1" max="1" width="14.7265625" bestFit="1" customWidth="1"/>
    <col min="2" max="2" width="14.90625" bestFit="1" customWidth="1"/>
    <col min="3" max="3" width="1.81640625" bestFit="1" customWidth="1"/>
    <col min="4" max="4" width="20.1796875" bestFit="1" customWidth="1"/>
    <col min="5" max="5" width="6.08984375" bestFit="1" customWidth="1"/>
    <col min="6" max="6" width="7.81640625" bestFit="1" customWidth="1"/>
    <col min="7" max="7" width="2" bestFit="1" customWidth="1"/>
    <col min="8" max="8" width="20.36328125" bestFit="1" customWidth="1"/>
    <col min="9" max="9" width="6.08984375" bestFit="1" customWidth="1"/>
    <col min="10" max="10" width="5.1796875" bestFit="1" customWidth="1"/>
    <col min="11" max="11" width="24.1796875" bestFit="1" customWidth="1"/>
    <col min="12" max="12" width="10.1796875" bestFit="1" customWidth="1"/>
    <col min="13" max="13" width="11.453125" customWidth="1"/>
    <col min="14" max="14" width="16.453125" bestFit="1" customWidth="1"/>
    <col min="15" max="15" width="19.6328125" bestFit="1" customWidth="1"/>
    <col min="16" max="16" width="17.81640625" customWidth="1"/>
    <col min="17" max="17" width="16.1796875" bestFit="1" customWidth="1"/>
    <col min="18" max="18" width="26.7265625" bestFit="1" customWidth="1"/>
    <col min="19" max="19" width="16.54296875" bestFit="1" customWidth="1"/>
    <col min="20" max="21" width="14.453125" bestFit="1" customWidth="1"/>
    <col min="22" max="23" width="14.453125" customWidth="1"/>
    <col min="24" max="24" width="20.08984375" bestFit="1" customWidth="1"/>
    <col min="25" max="26" width="12.54296875" customWidth="1"/>
    <col min="27" max="27" width="14.453125" customWidth="1"/>
    <col min="28" max="28" width="20.1796875" bestFit="1" customWidth="1"/>
    <col min="29" max="29" width="1.81640625" bestFit="1" customWidth="1"/>
    <col min="30" max="30" width="20.1796875" bestFit="1" customWidth="1"/>
    <col min="31" max="31" width="9.1796875" customWidth="1"/>
    <col min="32" max="32" width="14.36328125" bestFit="1" customWidth="1"/>
    <col min="33" max="33" width="9.54296875" customWidth="1"/>
    <col min="34" max="34" width="15.1796875" bestFit="1" customWidth="1"/>
  </cols>
  <sheetData>
    <row r="1" spans="2:34" ht="15" thickBot="1" x14ac:dyDescent="0.4"/>
    <row r="2" spans="2:34" ht="15" thickBot="1" x14ac:dyDescent="0.4">
      <c r="C2" s="29"/>
      <c r="D2" s="52" t="s">
        <v>28</v>
      </c>
      <c r="E2" s="52"/>
      <c r="F2" s="52"/>
      <c r="G2" s="53" t="s">
        <v>29</v>
      </c>
      <c r="H2" s="53"/>
      <c r="I2" s="53"/>
      <c r="J2" s="54"/>
      <c r="K2" s="2"/>
      <c r="L2" s="2"/>
      <c r="M2" s="2"/>
      <c r="N2" s="2"/>
      <c r="O2" s="2"/>
      <c r="R2" s="3" t="s">
        <v>49</v>
      </c>
      <c r="S2" s="30">
        <f>SUMPRODUCT(P4:P27,B4:B27)</f>
        <v>169159</v>
      </c>
      <c r="T2">
        <v>169159</v>
      </c>
      <c r="U2" s="33">
        <f>T2-S2</f>
        <v>0</v>
      </c>
      <c r="V2" s="33"/>
      <c r="W2" s="33"/>
      <c r="X2" s="33"/>
      <c r="Y2" s="33"/>
      <c r="Z2" s="33"/>
      <c r="AA2" s="33"/>
    </row>
    <row r="3" spans="2:34" ht="15" thickBot="1" x14ac:dyDescent="0.4">
      <c r="B3" s="28" t="s">
        <v>31</v>
      </c>
      <c r="C3" s="27"/>
      <c r="D3" s="23" t="s">
        <v>37</v>
      </c>
      <c r="E3" s="23" t="s">
        <v>39</v>
      </c>
      <c r="F3" s="23" t="s">
        <v>38</v>
      </c>
      <c r="G3" s="24"/>
      <c r="H3" s="24" t="s">
        <v>37</v>
      </c>
      <c r="I3" s="24" t="s">
        <v>39</v>
      </c>
      <c r="J3" s="24" t="s">
        <v>38</v>
      </c>
      <c r="K3" s="25" t="s">
        <v>40</v>
      </c>
      <c r="L3" s="25" t="s">
        <v>41</v>
      </c>
      <c r="M3" s="25" t="s">
        <v>36</v>
      </c>
      <c r="N3" s="32" t="s">
        <v>42</v>
      </c>
      <c r="O3" s="32" t="s">
        <v>43</v>
      </c>
      <c r="P3" s="26" t="s">
        <v>30</v>
      </c>
      <c r="AC3" s="15"/>
      <c r="AD3" s="16" t="s">
        <v>26</v>
      </c>
      <c r="AE3" s="13" t="s">
        <v>27</v>
      </c>
      <c r="AF3" s="13" t="s">
        <v>32</v>
      </c>
      <c r="AG3" s="13" t="s">
        <v>33</v>
      </c>
      <c r="AH3" s="14" t="s">
        <v>34</v>
      </c>
    </row>
    <row r="4" spans="2:34" ht="15" thickBot="1" x14ac:dyDescent="0.4">
      <c r="B4" s="35">
        <v>0</v>
      </c>
      <c r="C4">
        <v>1</v>
      </c>
      <c r="D4" t="str">
        <f t="shared" ref="D4:D27" si="0">_xlfn.XLOOKUP(C4,$AD$19:$AD$25,$AE$19:$AE$25)</f>
        <v>Cinnamon Swamp</v>
      </c>
      <c r="E4" s="4">
        <f t="shared" ref="E4:E27" si="1">_xlfn.XLOOKUP(C4,$AD$19:$AD$25,$AF$19:$AF$25)</f>
        <v>37.5</v>
      </c>
      <c r="F4" s="4">
        <f t="shared" ref="F4:F27" si="2">_xlfn.XLOOKUP(C4,$AD$19:$AD$25,$AG$19:$AG$25)</f>
        <v>-102.5</v>
      </c>
      <c r="G4">
        <v>3</v>
      </c>
      <c r="H4" t="str">
        <f t="shared" ref="H4:H27" si="3">_xlfn.XLOOKUP(G4,$AD$19:$AD$25,$AE$19:$AE$25)</f>
        <v>Funfetti Fields</v>
      </c>
      <c r="I4" s="4">
        <f t="shared" ref="I4:I27" si="4">_xlfn.XLOOKUP(G4,$AD$19:$AD$25,$AF$19:$AF$25)</f>
        <v>43.26</v>
      </c>
      <c r="J4" s="4">
        <f t="shared" ref="J4:J27" si="5">_xlfn.XLOOKUP(G4,$AD$19:$AD$25,$AG$19:$AG$25)</f>
        <v>-101.4</v>
      </c>
      <c r="K4" t="s">
        <v>3</v>
      </c>
      <c r="L4" s="4">
        <f>IF(OR(K4="Electric/Hybrid Trucks",K4="Electrified Rail",K4="Wind-powered Ships",K4="Slow Steaming Cargo Ships"),0,1)</f>
        <v>1</v>
      </c>
      <c r="M4" s="4">
        <f t="shared" ref="M4:M27" si="6">SQRT((I4-F4)^2+(J4-F4)^2)</f>
        <v>145.76415059952154</v>
      </c>
      <c r="N4" s="4">
        <v>81</v>
      </c>
      <c r="O4" s="4">
        <f>IF(N4&gt;=70,1,0)</f>
        <v>1</v>
      </c>
      <c r="P4" s="6">
        <v>22</v>
      </c>
      <c r="AC4" s="5">
        <v>1</v>
      </c>
      <c r="AD4" s="1" t="str">
        <f t="shared" ref="AD4:AD10" si="7">_xlfn.XLOOKUP(AC4,$AD$19:$AD$25,$AE$19:$AE$25)</f>
        <v>Cinnamon Swamp</v>
      </c>
      <c r="AE4" s="4">
        <f t="shared" ref="AE4:AE10" si="8">SUMIF($G$4:$G$27,AC4,$B$4:$B$27)</f>
        <v>0</v>
      </c>
      <c r="AF4" s="4" cm="1">
        <f t="array" ref="AF4:AF10">SUMIF(C4:C27,AC4:AC10,B4:B27)</f>
        <v>8606</v>
      </c>
      <c r="AG4" s="4">
        <f>AE4-AF4</f>
        <v>-8606</v>
      </c>
      <c r="AH4" s="6">
        <v>-8606</v>
      </c>
    </row>
    <row r="5" spans="2:34" x14ac:dyDescent="0.35">
      <c r="B5" s="35">
        <v>5477</v>
      </c>
      <c r="C5">
        <v>1</v>
      </c>
      <c r="D5" t="str">
        <f t="shared" si="0"/>
        <v>Cinnamon Swamp</v>
      </c>
      <c r="E5" s="4">
        <f t="shared" si="1"/>
        <v>37.5</v>
      </c>
      <c r="F5" s="4">
        <f t="shared" si="2"/>
        <v>-102.5</v>
      </c>
      <c r="G5">
        <v>6</v>
      </c>
      <c r="H5" t="str">
        <f t="shared" si="3"/>
        <v>Soda Pop Springs</v>
      </c>
      <c r="I5" s="4">
        <f t="shared" si="4"/>
        <v>43.51</v>
      </c>
      <c r="J5" s="4">
        <f t="shared" si="5"/>
        <v>-92.69</v>
      </c>
      <c r="K5" t="s">
        <v>6</v>
      </c>
      <c r="L5" s="4">
        <f t="shared" ref="L5:L27" si="9">IF(OR(K5="Electric/Hybrid Trucks",K5="Electrified Rail",K5="Wind-powered Ships",K5="Slow Steaming Cargo Ships"),0,1)</f>
        <v>0</v>
      </c>
      <c r="M5" s="4">
        <f t="shared" si="6"/>
        <v>146.33918203953442</v>
      </c>
      <c r="N5" s="4">
        <v>28</v>
      </c>
      <c r="O5" s="4">
        <f t="shared" ref="O5:O27" si="10">IF(N5&gt;=70,1,0)</f>
        <v>0</v>
      </c>
      <c r="P5" s="6">
        <v>8</v>
      </c>
      <c r="R5" s="38" t="s">
        <v>25</v>
      </c>
      <c r="S5" s="11" t="s">
        <v>44</v>
      </c>
      <c r="T5" s="11" t="s">
        <v>51</v>
      </c>
      <c r="U5" s="11" t="s">
        <v>50</v>
      </c>
      <c r="V5" s="11" t="s">
        <v>52</v>
      </c>
      <c r="W5" s="11" t="s">
        <v>53</v>
      </c>
      <c r="X5" s="39" t="s">
        <v>54</v>
      </c>
      <c r="Y5" s="2"/>
      <c r="Z5" s="2"/>
      <c r="AA5" s="2"/>
      <c r="AC5" s="5">
        <v>2</v>
      </c>
      <c r="AD5" s="1" t="str">
        <f t="shared" si="7"/>
        <v>Coconut Cream Cove</v>
      </c>
      <c r="AE5" s="4">
        <f t="shared" si="8"/>
        <v>2785</v>
      </c>
      <c r="AF5" s="4">
        <v>1298</v>
      </c>
      <c r="AG5" s="4">
        <f t="shared" ref="AG5:AG10" si="11">AE5-AF5</f>
        <v>1487</v>
      </c>
      <c r="AH5" s="6">
        <v>1487</v>
      </c>
    </row>
    <row r="6" spans="2:34" x14ac:dyDescent="0.35">
      <c r="B6" s="35">
        <v>3129</v>
      </c>
      <c r="C6">
        <v>1</v>
      </c>
      <c r="D6" t="str">
        <f t="shared" si="0"/>
        <v>Cinnamon Swamp</v>
      </c>
      <c r="E6" s="4">
        <f t="shared" si="1"/>
        <v>37.5</v>
      </c>
      <c r="F6" s="4">
        <f t="shared" si="2"/>
        <v>-102.5</v>
      </c>
      <c r="G6">
        <v>7</v>
      </c>
      <c r="H6" t="str">
        <f t="shared" si="3"/>
        <v>Sugar Swirl Spires</v>
      </c>
      <c r="I6" s="4">
        <f t="shared" si="4"/>
        <v>36.67</v>
      </c>
      <c r="J6" s="4">
        <f t="shared" si="5"/>
        <v>-88.05</v>
      </c>
      <c r="K6" t="s">
        <v>0</v>
      </c>
      <c r="L6" s="4">
        <f t="shared" si="9"/>
        <v>1</v>
      </c>
      <c r="M6" s="4">
        <f t="shared" si="6"/>
        <v>139.91815965056145</v>
      </c>
      <c r="N6" s="4">
        <v>35</v>
      </c>
      <c r="O6" s="4">
        <f t="shared" si="10"/>
        <v>0</v>
      </c>
      <c r="P6" s="6">
        <v>12</v>
      </c>
      <c r="R6" s="40" t="s">
        <v>45</v>
      </c>
      <c r="S6">
        <f>SUMPRODUCT(P4:P27,B4:B27)</f>
        <v>169159</v>
      </c>
      <c r="T6" s="41">
        <v>140314</v>
      </c>
      <c r="U6" s="34">
        <f>S6-T6</f>
        <v>28845</v>
      </c>
      <c r="V6" s="42">
        <f>U6/T6</f>
        <v>0.20557463973659079</v>
      </c>
      <c r="W6" s="43">
        <v>1</v>
      </c>
      <c r="X6" s="44">
        <f>V6*W6</f>
        <v>0.20557463973659079</v>
      </c>
      <c r="Y6" s="34"/>
      <c r="Z6" s="34"/>
      <c r="AA6" s="34"/>
      <c r="AC6" s="5">
        <v>3</v>
      </c>
      <c r="AD6" s="1" t="str">
        <f t="shared" si="7"/>
        <v>Funfetti Fields</v>
      </c>
      <c r="AE6" s="4">
        <f t="shared" si="8"/>
        <v>1890</v>
      </c>
      <c r="AF6" s="4">
        <v>0</v>
      </c>
      <c r="AG6" s="4">
        <f t="shared" si="11"/>
        <v>1890</v>
      </c>
      <c r="AH6" s="6">
        <v>1890</v>
      </c>
    </row>
    <row r="7" spans="2:34" x14ac:dyDescent="0.35">
      <c r="B7" s="35">
        <v>0</v>
      </c>
      <c r="C7">
        <v>2</v>
      </c>
      <c r="D7" t="str">
        <f t="shared" si="0"/>
        <v>Coconut Cream Cove</v>
      </c>
      <c r="E7" s="4">
        <f t="shared" si="1"/>
        <v>33.020000000000003</v>
      </c>
      <c r="F7" s="4">
        <f t="shared" si="2"/>
        <v>-103.15</v>
      </c>
      <c r="G7">
        <v>1</v>
      </c>
      <c r="H7" t="str">
        <f t="shared" si="3"/>
        <v>Cinnamon Swamp</v>
      </c>
      <c r="I7" s="4">
        <f t="shared" si="4"/>
        <v>37.5</v>
      </c>
      <c r="J7" s="4">
        <f t="shared" si="5"/>
        <v>-102.5</v>
      </c>
      <c r="K7" t="s">
        <v>4</v>
      </c>
      <c r="L7" s="4">
        <f t="shared" si="9"/>
        <v>0</v>
      </c>
      <c r="M7" s="4">
        <f t="shared" si="6"/>
        <v>140.65150194718862</v>
      </c>
      <c r="N7" s="4">
        <v>74</v>
      </c>
      <c r="O7" s="4">
        <f t="shared" si="10"/>
        <v>1</v>
      </c>
      <c r="P7" s="6">
        <v>9</v>
      </c>
      <c r="R7" s="40" t="s">
        <v>46</v>
      </c>
      <c r="S7">
        <f>SUMPRODUCT(B4:B27,M4:M27)</f>
        <v>2582431.6143072071</v>
      </c>
      <c r="T7" s="41">
        <v>1785593.6808288898</v>
      </c>
      <c r="U7" s="34">
        <f t="shared" ref="U7:U9" si="12">S7-T7</f>
        <v>796837.93347831722</v>
      </c>
      <c r="V7" s="42">
        <f t="shared" ref="V7:V9" si="13">U7/T7</f>
        <v>0.4462593825424031</v>
      </c>
      <c r="W7" s="43">
        <v>1</v>
      </c>
      <c r="X7" s="44">
        <f t="shared" ref="X7:X9" si="14">V7*W7</f>
        <v>0.4462593825424031</v>
      </c>
      <c r="Y7" s="34"/>
      <c r="Z7" s="34"/>
      <c r="AA7" s="34"/>
      <c r="AC7" s="5">
        <v>4</v>
      </c>
      <c r="AD7" s="1" t="str">
        <f t="shared" si="7"/>
        <v>Jolly Rancher Range</v>
      </c>
      <c r="AE7" s="4">
        <f t="shared" si="8"/>
        <v>1298</v>
      </c>
      <c r="AF7" s="4">
        <v>0</v>
      </c>
      <c r="AG7" s="4">
        <f t="shared" si="11"/>
        <v>1298</v>
      </c>
      <c r="AH7" s="6">
        <v>1298</v>
      </c>
    </row>
    <row r="8" spans="2:34" x14ac:dyDescent="0.35">
      <c r="B8" s="35">
        <v>0</v>
      </c>
      <c r="C8">
        <v>2</v>
      </c>
      <c r="D8" t="str">
        <f t="shared" si="0"/>
        <v>Coconut Cream Cove</v>
      </c>
      <c r="E8" s="4">
        <f t="shared" si="1"/>
        <v>33.020000000000003</v>
      </c>
      <c r="F8" s="4">
        <f t="shared" si="2"/>
        <v>-103.15</v>
      </c>
      <c r="G8">
        <v>3</v>
      </c>
      <c r="H8" t="str">
        <f t="shared" si="3"/>
        <v>Funfetti Fields</v>
      </c>
      <c r="I8" s="4">
        <f t="shared" si="4"/>
        <v>43.26</v>
      </c>
      <c r="J8" s="4">
        <f t="shared" si="5"/>
        <v>-101.4</v>
      </c>
      <c r="K8" t="s">
        <v>1</v>
      </c>
      <c r="L8" s="4">
        <f t="shared" si="9"/>
        <v>1</v>
      </c>
      <c r="M8" s="4">
        <f t="shared" si="6"/>
        <v>146.4204582700109</v>
      </c>
      <c r="N8" s="4">
        <v>88</v>
      </c>
      <c r="O8" s="4">
        <f t="shared" si="10"/>
        <v>1</v>
      </c>
      <c r="P8" s="6">
        <v>11</v>
      </c>
      <c r="R8" s="40" t="s">
        <v>47</v>
      </c>
      <c r="S8">
        <f>SUMPRODUCT(B4:B27,L4:L27)</f>
        <v>13313</v>
      </c>
      <c r="T8" s="45">
        <v>6042</v>
      </c>
      <c r="U8" s="34">
        <f>S8-T8</f>
        <v>7271</v>
      </c>
      <c r="V8" s="42">
        <f t="shared" si="13"/>
        <v>1.2034094670638862</v>
      </c>
      <c r="W8" s="43">
        <v>1</v>
      </c>
      <c r="X8" s="44">
        <f t="shared" si="14"/>
        <v>1.2034094670638862</v>
      </c>
      <c r="Y8" s="34"/>
      <c r="Z8" s="34"/>
      <c r="AA8" s="34"/>
      <c r="AC8" s="5">
        <v>5</v>
      </c>
      <c r="AD8" s="1" t="str">
        <f t="shared" si="7"/>
        <v>Rainbow Ribbon Roads</v>
      </c>
      <c r="AE8" s="4">
        <f t="shared" si="8"/>
        <v>4211</v>
      </c>
      <c r="AF8" s="4">
        <v>2785</v>
      </c>
      <c r="AG8" s="4">
        <f t="shared" si="11"/>
        <v>1426</v>
      </c>
      <c r="AH8" s="6">
        <v>1426</v>
      </c>
    </row>
    <row r="9" spans="2:34" ht="15" thickBot="1" x14ac:dyDescent="0.4">
      <c r="B9" s="35">
        <v>1298</v>
      </c>
      <c r="C9">
        <v>2</v>
      </c>
      <c r="D9" t="str">
        <f t="shared" si="0"/>
        <v>Coconut Cream Cove</v>
      </c>
      <c r="E9" s="4">
        <f t="shared" si="1"/>
        <v>33.020000000000003</v>
      </c>
      <c r="F9" s="4">
        <f t="shared" si="2"/>
        <v>-103.15</v>
      </c>
      <c r="G9">
        <v>4</v>
      </c>
      <c r="H9" t="str">
        <f t="shared" si="3"/>
        <v>Jolly Rancher Range</v>
      </c>
      <c r="I9" s="4">
        <f t="shared" si="4"/>
        <v>36.4</v>
      </c>
      <c r="J9" s="4">
        <f t="shared" si="5"/>
        <v>-91.86</v>
      </c>
      <c r="K9" t="s">
        <v>5</v>
      </c>
      <c r="L9" s="4">
        <f t="shared" si="9"/>
        <v>1</v>
      </c>
      <c r="M9" s="4">
        <f t="shared" si="6"/>
        <v>140.00595201633394</v>
      </c>
      <c r="N9" s="4">
        <v>94</v>
      </c>
      <c r="O9" s="4">
        <f t="shared" si="10"/>
        <v>1</v>
      </c>
      <c r="P9" s="6">
        <v>13</v>
      </c>
      <c r="R9" s="46" t="s">
        <v>48</v>
      </c>
      <c r="S9" s="8">
        <f>SUMPRODUCT(B4:B27,O4:O27)</f>
        <v>1298</v>
      </c>
      <c r="T9" s="47">
        <v>1298</v>
      </c>
      <c r="U9" s="48">
        <f t="shared" si="12"/>
        <v>0</v>
      </c>
      <c r="V9" s="49">
        <f t="shared" si="13"/>
        <v>0</v>
      </c>
      <c r="W9" s="50">
        <v>1</v>
      </c>
      <c r="X9" s="51">
        <f t="shared" si="14"/>
        <v>0</v>
      </c>
      <c r="Y9" s="34"/>
      <c r="Z9" s="34"/>
      <c r="AA9" s="34"/>
      <c r="AC9" s="5">
        <v>6</v>
      </c>
      <c r="AD9" s="1" t="str">
        <f t="shared" si="7"/>
        <v>Soda Pop Springs</v>
      </c>
      <c r="AE9" s="4">
        <f t="shared" si="8"/>
        <v>5477</v>
      </c>
      <c r="AF9" s="4">
        <v>4211</v>
      </c>
      <c r="AG9" s="4">
        <f t="shared" si="11"/>
        <v>1266</v>
      </c>
      <c r="AH9" s="6">
        <v>1266</v>
      </c>
    </row>
    <row r="10" spans="2:34" ht="15" thickBot="1" x14ac:dyDescent="0.4">
      <c r="B10" s="35">
        <v>0</v>
      </c>
      <c r="C10">
        <v>2</v>
      </c>
      <c r="D10" t="str">
        <f t="shared" si="0"/>
        <v>Coconut Cream Cove</v>
      </c>
      <c r="E10" s="4">
        <f t="shared" si="1"/>
        <v>33.020000000000003</v>
      </c>
      <c r="F10" s="4">
        <f t="shared" si="2"/>
        <v>-103.15</v>
      </c>
      <c r="G10">
        <v>5</v>
      </c>
      <c r="H10" t="str">
        <f t="shared" si="3"/>
        <v>Rainbow Ribbon Roads</v>
      </c>
      <c r="I10" s="4">
        <f t="shared" si="4"/>
        <v>44.43</v>
      </c>
      <c r="J10" s="4">
        <f t="shared" si="5"/>
        <v>-85.51</v>
      </c>
      <c r="K10" t="s">
        <v>5</v>
      </c>
      <c r="L10" s="4">
        <f t="shared" si="9"/>
        <v>1</v>
      </c>
      <c r="M10" s="4">
        <f t="shared" si="6"/>
        <v>148.63050158026113</v>
      </c>
      <c r="N10" s="4">
        <v>94</v>
      </c>
      <c r="O10" s="4">
        <f t="shared" si="10"/>
        <v>1</v>
      </c>
      <c r="P10" s="6">
        <v>5</v>
      </c>
      <c r="AC10" s="7">
        <v>7</v>
      </c>
      <c r="AD10" s="12" t="str">
        <f t="shared" si="7"/>
        <v>Sugar Swirl Spires</v>
      </c>
      <c r="AE10" s="9">
        <f t="shared" si="8"/>
        <v>3129</v>
      </c>
      <c r="AF10" s="9">
        <v>1890</v>
      </c>
      <c r="AG10" s="9">
        <f t="shared" si="11"/>
        <v>1239</v>
      </c>
      <c r="AH10" s="10">
        <v>1239</v>
      </c>
    </row>
    <row r="11" spans="2:34" x14ac:dyDescent="0.35">
      <c r="B11" s="35">
        <v>0</v>
      </c>
      <c r="C11">
        <v>2</v>
      </c>
      <c r="D11" t="str">
        <f t="shared" si="0"/>
        <v>Coconut Cream Cove</v>
      </c>
      <c r="E11" s="4">
        <f t="shared" si="1"/>
        <v>33.020000000000003</v>
      </c>
      <c r="F11" s="4">
        <f t="shared" si="2"/>
        <v>-103.15</v>
      </c>
      <c r="G11">
        <v>6</v>
      </c>
      <c r="H11" t="str">
        <f t="shared" si="3"/>
        <v>Soda Pop Springs</v>
      </c>
      <c r="I11" s="4">
        <f t="shared" si="4"/>
        <v>43.51</v>
      </c>
      <c r="J11" s="4">
        <f t="shared" si="5"/>
        <v>-92.69</v>
      </c>
      <c r="K11" t="s">
        <v>3</v>
      </c>
      <c r="L11" s="4">
        <f t="shared" si="9"/>
        <v>1</v>
      </c>
      <c r="M11" s="4">
        <f t="shared" si="6"/>
        <v>147.03253789552841</v>
      </c>
      <c r="N11" s="4">
        <v>72</v>
      </c>
      <c r="O11" s="4">
        <f t="shared" si="10"/>
        <v>1</v>
      </c>
      <c r="P11" s="6">
        <v>24</v>
      </c>
    </row>
    <row r="12" spans="2:34" x14ac:dyDescent="0.35">
      <c r="B12" s="35">
        <v>0</v>
      </c>
      <c r="C12">
        <v>2</v>
      </c>
      <c r="D12" t="str">
        <f t="shared" si="0"/>
        <v>Coconut Cream Cove</v>
      </c>
      <c r="E12" s="4">
        <f t="shared" si="1"/>
        <v>33.020000000000003</v>
      </c>
      <c r="F12" s="4">
        <f t="shared" si="2"/>
        <v>-103.15</v>
      </c>
      <c r="G12">
        <v>7</v>
      </c>
      <c r="H12" t="str">
        <f t="shared" si="3"/>
        <v>Sugar Swirl Spires</v>
      </c>
      <c r="I12" s="4">
        <f t="shared" si="4"/>
        <v>36.67</v>
      </c>
      <c r="J12" s="4">
        <f t="shared" si="5"/>
        <v>-88.05</v>
      </c>
      <c r="K12" t="s">
        <v>0</v>
      </c>
      <c r="L12" s="4">
        <f t="shared" si="9"/>
        <v>1</v>
      </c>
      <c r="M12" s="4">
        <f t="shared" si="6"/>
        <v>140.63300608320935</v>
      </c>
      <c r="N12" s="4">
        <v>98</v>
      </c>
      <c r="O12" s="4">
        <f t="shared" si="10"/>
        <v>1</v>
      </c>
      <c r="P12" s="6">
        <v>18</v>
      </c>
      <c r="R12" s="1" t="s">
        <v>55</v>
      </c>
    </row>
    <row r="13" spans="2:34" x14ac:dyDescent="0.35">
      <c r="B13" s="35">
        <v>0</v>
      </c>
      <c r="C13">
        <v>3</v>
      </c>
      <c r="D13" t="str">
        <f t="shared" si="0"/>
        <v>Funfetti Fields</v>
      </c>
      <c r="E13" s="4">
        <f t="shared" si="1"/>
        <v>43.26</v>
      </c>
      <c r="F13" s="4">
        <f t="shared" si="2"/>
        <v>-101.4</v>
      </c>
      <c r="G13">
        <v>1</v>
      </c>
      <c r="H13" t="str">
        <f t="shared" si="3"/>
        <v>Cinnamon Swamp</v>
      </c>
      <c r="I13" s="4">
        <f t="shared" si="4"/>
        <v>37.5</v>
      </c>
      <c r="J13" s="4">
        <f t="shared" si="5"/>
        <v>-102.5</v>
      </c>
      <c r="K13" t="s">
        <v>5</v>
      </c>
      <c r="L13" s="4">
        <f t="shared" si="9"/>
        <v>1</v>
      </c>
      <c r="M13" s="4">
        <f t="shared" si="6"/>
        <v>138.90435558325737</v>
      </c>
      <c r="N13" s="4">
        <v>102</v>
      </c>
      <c r="O13" s="4">
        <f t="shared" si="10"/>
        <v>1</v>
      </c>
      <c r="P13" s="6">
        <v>13</v>
      </c>
      <c r="R13" s="1" t="s">
        <v>56</v>
      </c>
      <c r="S13" s="37">
        <v>1.2034094670640756</v>
      </c>
    </row>
    <row r="14" spans="2:34" x14ac:dyDescent="0.35">
      <c r="B14" s="35">
        <v>0</v>
      </c>
      <c r="C14">
        <v>3</v>
      </c>
      <c r="D14" t="str">
        <f t="shared" si="0"/>
        <v>Funfetti Fields</v>
      </c>
      <c r="E14" s="4">
        <f t="shared" si="1"/>
        <v>43.26</v>
      </c>
      <c r="F14" s="4">
        <f t="shared" si="2"/>
        <v>-101.4</v>
      </c>
      <c r="G14">
        <v>4</v>
      </c>
      <c r="H14" t="str">
        <f t="shared" si="3"/>
        <v>Jolly Rancher Range</v>
      </c>
      <c r="I14" s="4">
        <f t="shared" si="4"/>
        <v>36.4</v>
      </c>
      <c r="J14" s="4">
        <f t="shared" si="5"/>
        <v>-91.86</v>
      </c>
      <c r="K14" t="s">
        <v>3</v>
      </c>
      <c r="L14" s="4">
        <f t="shared" si="9"/>
        <v>1</v>
      </c>
      <c r="M14" s="4">
        <f t="shared" si="6"/>
        <v>138.12983602393803</v>
      </c>
      <c r="N14" s="4">
        <v>105</v>
      </c>
      <c r="O14" s="4">
        <f t="shared" si="10"/>
        <v>1</v>
      </c>
      <c r="P14" s="6">
        <v>16</v>
      </c>
    </row>
    <row r="15" spans="2:34" x14ac:dyDescent="0.35">
      <c r="B15" s="35">
        <v>0</v>
      </c>
      <c r="C15">
        <v>4</v>
      </c>
      <c r="D15" t="str">
        <f t="shared" si="0"/>
        <v>Jolly Rancher Range</v>
      </c>
      <c r="E15" s="4">
        <f t="shared" si="1"/>
        <v>36.4</v>
      </c>
      <c r="F15" s="4">
        <f t="shared" si="2"/>
        <v>-91.86</v>
      </c>
      <c r="G15">
        <v>7</v>
      </c>
      <c r="H15" t="str">
        <f t="shared" si="3"/>
        <v>Sugar Swirl Spires</v>
      </c>
      <c r="I15" s="4">
        <f t="shared" si="4"/>
        <v>36.67</v>
      </c>
      <c r="J15" s="4">
        <f t="shared" si="5"/>
        <v>-88.05</v>
      </c>
      <c r="K15" t="s">
        <v>3</v>
      </c>
      <c r="L15" s="4">
        <f t="shared" si="9"/>
        <v>1</v>
      </c>
      <c r="M15" s="4">
        <f t="shared" si="6"/>
        <v>128.58645729624874</v>
      </c>
      <c r="N15" s="4">
        <v>27</v>
      </c>
      <c r="O15" s="4">
        <f t="shared" si="10"/>
        <v>0</v>
      </c>
      <c r="P15" s="6">
        <v>16</v>
      </c>
    </row>
    <row r="16" spans="2:34" x14ac:dyDescent="0.35">
      <c r="B16" s="35">
        <v>0</v>
      </c>
      <c r="C16">
        <v>5</v>
      </c>
      <c r="D16" t="str">
        <f t="shared" si="0"/>
        <v>Rainbow Ribbon Roads</v>
      </c>
      <c r="E16" s="4">
        <f t="shared" si="1"/>
        <v>44.43</v>
      </c>
      <c r="F16" s="4">
        <f t="shared" si="2"/>
        <v>-85.51</v>
      </c>
      <c r="G16">
        <v>1</v>
      </c>
      <c r="H16" t="str">
        <f t="shared" si="3"/>
        <v>Cinnamon Swamp</v>
      </c>
      <c r="I16" s="4">
        <f t="shared" si="4"/>
        <v>37.5</v>
      </c>
      <c r="J16" s="4">
        <f t="shared" si="5"/>
        <v>-102.5</v>
      </c>
      <c r="K16" t="s">
        <v>3</v>
      </c>
      <c r="L16" s="4">
        <f t="shared" si="9"/>
        <v>1</v>
      </c>
      <c r="M16" s="4">
        <f t="shared" si="6"/>
        <v>124.17777659468703</v>
      </c>
      <c r="N16" s="4">
        <v>84</v>
      </c>
      <c r="O16" s="4">
        <f t="shared" si="10"/>
        <v>1</v>
      </c>
      <c r="P16" s="6">
        <v>10</v>
      </c>
    </row>
    <row r="17" spans="2:35" x14ac:dyDescent="0.35">
      <c r="B17" s="35">
        <v>2785</v>
      </c>
      <c r="C17">
        <v>5</v>
      </c>
      <c r="D17" t="str">
        <f t="shared" si="0"/>
        <v>Rainbow Ribbon Roads</v>
      </c>
      <c r="E17" s="4">
        <f t="shared" si="1"/>
        <v>44.43</v>
      </c>
      <c r="F17" s="4">
        <f t="shared" si="2"/>
        <v>-85.51</v>
      </c>
      <c r="G17">
        <v>2</v>
      </c>
      <c r="H17" t="str">
        <f t="shared" si="3"/>
        <v>Coconut Cream Cove</v>
      </c>
      <c r="I17" s="4">
        <f t="shared" si="4"/>
        <v>33.020000000000003</v>
      </c>
      <c r="J17" s="4">
        <f t="shared" si="5"/>
        <v>-103.15</v>
      </c>
      <c r="K17" t="s">
        <v>5</v>
      </c>
      <c r="L17" s="4">
        <f t="shared" si="9"/>
        <v>1</v>
      </c>
      <c r="M17" s="4">
        <f t="shared" si="6"/>
        <v>119.83543090421963</v>
      </c>
      <c r="N17" s="4">
        <v>35</v>
      </c>
      <c r="O17" s="4">
        <f t="shared" si="10"/>
        <v>0</v>
      </c>
      <c r="P17" s="6">
        <v>13</v>
      </c>
    </row>
    <row r="18" spans="2:35" x14ac:dyDescent="0.35">
      <c r="B18" s="35">
        <v>0</v>
      </c>
      <c r="C18">
        <v>5</v>
      </c>
      <c r="D18" t="str">
        <f t="shared" si="0"/>
        <v>Rainbow Ribbon Roads</v>
      </c>
      <c r="E18" s="4">
        <f t="shared" si="1"/>
        <v>44.43</v>
      </c>
      <c r="F18" s="4">
        <f t="shared" si="2"/>
        <v>-85.51</v>
      </c>
      <c r="G18">
        <v>7</v>
      </c>
      <c r="H18" t="str">
        <f t="shared" si="3"/>
        <v>Sugar Swirl Spires</v>
      </c>
      <c r="I18" s="4">
        <f t="shared" si="4"/>
        <v>36.67</v>
      </c>
      <c r="J18" s="4">
        <f t="shared" si="5"/>
        <v>-88.05</v>
      </c>
      <c r="K18" t="s">
        <v>3</v>
      </c>
      <c r="L18" s="4">
        <f t="shared" si="9"/>
        <v>1</v>
      </c>
      <c r="M18" s="4">
        <f t="shared" si="6"/>
        <v>122.20639917778448</v>
      </c>
      <c r="N18" s="4">
        <v>89</v>
      </c>
      <c r="O18" s="4">
        <f t="shared" si="10"/>
        <v>1</v>
      </c>
      <c r="P18" s="6">
        <v>19</v>
      </c>
      <c r="AD18" t="s">
        <v>24</v>
      </c>
      <c r="AE18" t="s">
        <v>23</v>
      </c>
      <c r="AF18" t="s">
        <v>22</v>
      </c>
      <c r="AG18" t="s">
        <v>21</v>
      </c>
      <c r="AH18" t="s">
        <v>20</v>
      </c>
      <c r="AI18" t="s">
        <v>19</v>
      </c>
    </row>
    <row r="19" spans="2:35" x14ac:dyDescent="0.35">
      <c r="B19" s="35">
        <v>0</v>
      </c>
      <c r="C19">
        <v>6</v>
      </c>
      <c r="D19" t="str">
        <f t="shared" si="0"/>
        <v>Soda Pop Springs</v>
      </c>
      <c r="E19" s="4">
        <f t="shared" si="1"/>
        <v>43.51</v>
      </c>
      <c r="F19" s="4">
        <f t="shared" si="2"/>
        <v>-92.69</v>
      </c>
      <c r="G19">
        <v>1</v>
      </c>
      <c r="H19" t="str">
        <f t="shared" si="3"/>
        <v>Cinnamon Swamp</v>
      </c>
      <c r="I19" s="4">
        <f t="shared" si="4"/>
        <v>37.5</v>
      </c>
      <c r="J19" s="4">
        <f t="shared" si="5"/>
        <v>-102.5</v>
      </c>
      <c r="K19" t="s">
        <v>1</v>
      </c>
      <c r="L19" s="4">
        <f t="shared" si="9"/>
        <v>1</v>
      </c>
      <c r="M19" s="4">
        <f t="shared" si="6"/>
        <v>130.55907551756025</v>
      </c>
      <c r="N19" s="4">
        <v>94</v>
      </c>
      <c r="O19" s="4">
        <f t="shared" si="10"/>
        <v>1</v>
      </c>
      <c r="P19" s="6">
        <v>13</v>
      </c>
      <c r="AD19">
        <v>1</v>
      </c>
      <c r="AE19" t="s">
        <v>18</v>
      </c>
      <c r="AF19">
        <v>37.5</v>
      </c>
      <c r="AG19">
        <v>-102.5</v>
      </c>
      <c r="AH19">
        <v>8606</v>
      </c>
    </row>
    <row r="20" spans="2:35" x14ac:dyDescent="0.35">
      <c r="B20" s="35">
        <v>0</v>
      </c>
      <c r="C20">
        <v>6</v>
      </c>
      <c r="D20" t="str">
        <f t="shared" si="0"/>
        <v>Soda Pop Springs</v>
      </c>
      <c r="E20" s="4">
        <f t="shared" si="1"/>
        <v>43.51</v>
      </c>
      <c r="F20" s="4">
        <f t="shared" si="2"/>
        <v>-92.69</v>
      </c>
      <c r="G20">
        <v>2</v>
      </c>
      <c r="H20" t="str">
        <f t="shared" si="3"/>
        <v>Coconut Cream Cove</v>
      </c>
      <c r="I20" s="4">
        <f t="shared" si="4"/>
        <v>33.020000000000003</v>
      </c>
      <c r="J20" s="4">
        <f t="shared" si="5"/>
        <v>-103.15</v>
      </c>
      <c r="K20" t="s">
        <v>5</v>
      </c>
      <c r="L20" s="4">
        <f t="shared" si="9"/>
        <v>1</v>
      </c>
      <c r="M20" s="4">
        <f t="shared" si="6"/>
        <v>126.14442397506123</v>
      </c>
      <c r="N20" s="4">
        <v>78</v>
      </c>
      <c r="O20" s="4">
        <f t="shared" si="10"/>
        <v>1</v>
      </c>
      <c r="P20" s="6">
        <v>11</v>
      </c>
      <c r="AD20">
        <v>2</v>
      </c>
      <c r="AE20" t="s">
        <v>17</v>
      </c>
      <c r="AF20">
        <v>33.020000000000003</v>
      </c>
      <c r="AG20">
        <v>-103.15</v>
      </c>
      <c r="AI20">
        <v>1487</v>
      </c>
    </row>
    <row r="21" spans="2:35" x14ac:dyDescent="0.35">
      <c r="B21" s="35">
        <v>0</v>
      </c>
      <c r="C21">
        <v>6</v>
      </c>
      <c r="D21" t="str">
        <f t="shared" si="0"/>
        <v>Soda Pop Springs</v>
      </c>
      <c r="E21" s="4">
        <f t="shared" si="1"/>
        <v>43.51</v>
      </c>
      <c r="F21" s="4">
        <f t="shared" si="2"/>
        <v>-92.69</v>
      </c>
      <c r="G21">
        <v>3</v>
      </c>
      <c r="H21" t="str">
        <f t="shared" si="3"/>
        <v>Funfetti Fields</v>
      </c>
      <c r="I21" s="4">
        <f t="shared" si="4"/>
        <v>43.26</v>
      </c>
      <c r="J21" s="4">
        <f t="shared" si="5"/>
        <v>-101.4</v>
      </c>
      <c r="K21" t="s">
        <v>0</v>
      </c>
      <c r="L21" s="4">
        <f t="shared" si="9"/>
        <v>1</v>
      </c>
      <c r="M21" s="4">
        <f t="shared" si="6"/>
        <v>136.22872898181203</v>
      </c>
      <c r="N21" s="4">
        <v>87</v>
      </c>
      <c r="O21" s="4">
        <f t="shared" si="10"/>
        <v>1</v>
      </c>
      <c r="P21" s="6">
        <v>7</v>
      </c>
      <c r="AD21">
        <v>3</v>
      </c>
      <c r="AE21" t="s">
        <v>16</v>
      </c>
      <c r="AF21">
        <v>43.26</v>
      </c>
      <c r="AG21">
        <v>-101.4</v>
      </c>
      <c r="AI21">
        <v>1890</v>
      </c>
    </row>
    <row r="22" spans="2:35" x14ac:dyDescent="0.35">
      <c r="B22" s="35">
        <v>0</v>
      </c>
      <c r="C22">
        <v>6</v>
      </c>
      <c r="D22" t="str">
        <f t="shared" si="0"/>
        <v>Soda Pop Springs</v>
      </c>
      <c r="E22" s="4">
        <f t="shared" si="1"/>
        <v>43.51</v>
      </c>
      <c r="F22" s="4">
        <f t="shared" si="2"/>
        <v>-92.69</v>
      </c>
      <c r="G22">
        <v>4</v>
      </c>
      <c r="H22" t="str">
        <f t="shared" si="3"/>
        <v>Jolly Rancher Range</v>
      </c>
      <c r="I22" s="4">
        <f t="shared" si="4"/>
        <v>36.4</v>
      </c>
      <c r="J22" s="4">
        <f t="shared" si="5"/>
        <v>-91.86</v>
      </c>
      <c r="K22" t="s">
        <v>4</v>
      </c>
      <c r="L22" s="4">
        <f t="shared" si="9"/>
        <v>0</v>
      </c>
      <c r="M22" s="4">
        <f t="shared" si="6"/>
        <v>129.09266826586241</v>
      </c>
      <c r="N22" s="4">
        <v>87</v>
      </c>
      <c r="O22" s="4">
        <f t="shared" si="10"/>
        <v>1</v>
      </c>
      <c r="P22" s="6">
        <v>23</v>
      </c>
      <c r="AD22">
        <v>4</v>
      </c>
      <c r="AE22" t="s">
        <v>15</v>
      </c>
      <c r="AF22">
        <v>36.4</v>
      </c>
      <c r="AG22">
        <v>-91.86</v>
      </c>
      <c r="AI22">
        <v>1298</v>
      </c>
    </row>
    <row r="23" spans="2:35" x14ac:dyDescent="0.35">
      <c r="B23" s="35">
        <v>4211</v>
      </c>
      <c r="C23">
        <v>6</v>
      </c>
      <c r="D23" t="str">
        <f t="shared" si="0"/>
        <v>Soda Pop Springs</v>
      </c>
      <c r="E23" s="4">
        <f t="shared" si="1"/>
        <v>43.51</v>
      </c>
      <c r="F23" s="4">
        <f t="shared" si="2"/>
        <v>-92.69</v>
      </c>
      <c r="G23">
        <v>5</v>
      </c>
      <c r="H23" t="str">
        <f t="shared" si="3"/>
        <v>Rainbow Ribbon Roads</v>
      </c>
      <c r="I23" s="4">
        <f t="shared" si="4"/>
        <v>44.43</v>
      </c>
      <c r="J23" s="4">
        <f t="shared" si="5"/>
        <v>-85.51</v>
      </c>
      <c r="K23" t="s">
        <v>3</v>
      </c>
      <c r="L23" s="4">
        <f t="shared" si="9"/>
        <v>1</v>
      </c>
      <c r="M23" s="4">
        <f t="shared" si="6"/>
        <v>137.3078541089329</v>
      </c>
      <c r="N23" s="4">
        <v>32</v>
      </c>
      <c r="O23" s="4">
        <f t="shared" si="10"/>
        <v>0</v>
      </c>
      <c r="P23" s="6">
        <v>6</v>
      </c>
      <c r="AD23">
        <v>5</v>
      </c>
      <c r="AE23" t="s">
        <v>14</v>
      </c>
      <c r="AF23">
        <v>44.43</v>
      </c>
      <c r="AG23">
        <v>-85.51</v>
      </c>
      <c r="AI23">
        <v>1426</v>
      </c>
    </row>
    <row r="24" spans="2:35" x14ac:dyDescent="0.35">
      <c r="B24" s="35">
        <v>0</v>
      </c>
      <c r="C24">
        <v>6</v>
      </c>
      <c r="D24" t="str">
        <f t="shared" si="0"/>
        <v>Soda Pop Springs</v>
      </c>
      <c r="E24" s="4">
        <f t="shared" si="1"/>
        <v>43.51</v>
      </c>
      <c r="F24" s="4">
        <f t="shared" si="2"/>
        <v>-92.69</v>
      </c>
      <c r="G24">
        <v>7</v>
      </c>
      <c r="H24" t="str">
        <f t="shared" si="3"/>
        <v>Sugar Swirl Spires</v>
      </c>
      <c r="I24" s="4">
        <f t="shared" si="4"/>
        <v>36.67</v>
      </c>
      <c r="J24" s="4">
        <f t="shared" si="5"/>
        <v>-88.05</v>
      </c>
      <c r="K24" t="s">
        <v>0</v>
      </c>
      <c r="L24" s="4">
        <f t="shared" si="9"/>
        <v>1</v>
      </c>
      <c r="M24" s="4">
        <f t="shared" si="6"/>
        <v>129.44318908308776</v>
      </c>
      <c r="N24" s="4">
        <v>88</v>
      </c>
      <c r="O24" s="4">
        <f t="shared" si="10"/>
        <v>1</v>
      </c>
      <c r="P24" s="6">
        <v>24</v>
      </c>
      <c r="AD24">
        <v>6</v>
      </c>
      <c r="AE24" t="s">
        <v>13</v>
      </c>
      <c r="AF24">
        <v>43.51</v>
      </c>
      <c r="AG24">
        <v>-92.69</v>
      </c>
      <c r="AI24">
        <v>1266</v>
      </c>
    </row>
    <row r="25" spans="2:35" x14ac:dyDescent="0.35">
      <c r="B25" s="35">
        <v>0</v>
      </c>
      <c r="C25">
        <v>7</v>
      </c>
      <c r="D25" t="str">
        <f t="shared" si="0"/>
        <v>Sugar Swirl Spires</v>
      </c>
      <c r="E25" s="4">
        <f t="shared" si="1"/>
        <v>36.67</v>
      </c>
      <c r="F25" s="4">
        <f t="shared" si="2"/>
        <v>-88.05</v>
      </c>
      <c r="G25">
        <v>1</v>
      </c>
      <c r="H25" t="str">
        <f t="shared" si="3"/>
        <v>Cinnamon Swamp</v>
      </c>
      <c r="I25" s="4">
        <f t="shared" si="4"/>
        <v>37.5</v>
      </c>
      <c r="J25" s="4">
        <f t="shared" si="5"/>
        <v>-102.5</v>
      </c>
      <c r="K25" t="s">
        <v>2</v>
      </c>
      <c r="L25" s="4">
        <f t="shared" si="9"/>
        <v>0</v>
      </c>
      <c r="M25" s="4">
        <f t="shared" si="6"/>
        <v>126.37881547158131</v>
      </c>
      <c r="N25" s="4">
        <v>40</v>
      </c>
      <c r="O25" s="4">
        <f t="shared" si="10"/>
        <v>0</v>
      </c>
      <c r="P25" s="6">
        <v>18</v>
      </c>
      <c r="AD25">
        <v>7</v>
      </c>
      <c r="AE25" t="s">
        <v>12</v>
      </c>
      <c r="AF25">
        <v>36.67</v>
      </c>
      <c r="AG25">
        <v>-88.05</v>
      </c>
      <c r="AI25">
        <v>1239</v>
      </c>
    </row>
    <row r="26" spans="2:35" x14ac:dyDescent="0.35">
      <c r="B26" s="35">
        <v>0</v>
      </c>
      <c r="C26">
        <v>7</v>
      </c>
      <c r="D26" t="str">
        <f t="shared" si="0"/>
        <v>Sugar Swirl Spires</v>
      </c>
      <c r="E26" s="4">
        <f t="shared" si="1"/>
        <v>36.67</v>
      </c>
      <c r="F26" s="4">
        <f t="shared" si="2"/>
        <v>-88.05</v>
      </c>
      <c r="G26">
        <v>2</v>
      </c>
      <c r="H26" t="str">
        <f t="shared" si="3"/>
        <v>Coconut Cream Cove</v>
      </c>
      <c r="I26" s="4">
        <f t="shared" si="4"/>
        <v>33.020000000000003</v>
      </c>
      <c r="J26" s="4">
        <f t="shared" si="5"/>
        <v>-103.15</v>
      </c>
      <c r="K26" t="s">
        <v>1</v>
      </c>
      <c r="L26" s="4">
        <f t="shared" si="9"/>
        <v>1</v>
      </c>
      <c r="M26" s="4">
        <f t="shared" si="6"/>
        <v>122.00801162218815</v>
      </c>
      <c r="N26" s="4">
        <v>87</v>
      </c>
      <c r="O26" s="4">
        <f t="shared" si="10"/>
        <v>1</v>
      </c>
      <c r="P26" s="6">
        <v>6</v>
      </c>
    </row>
    <row r="27" spans="2:35" ht="15" thickBot="1" x14ac:dyDescent="0.4">
      <c r="B27" s="36">
        <v>1890</v>
      </c>
      <c r="C27" s="8">
        <v>7</v>
      </c>
      <c r="D27" s="8" t="str">
        <f t="shared" si="0"/>
        <v>Sugar Swirl Spires</v>
      </c>
      <c r="E27" s="9">
        <f t="shared" si="1"/>
        <v>36.67</v>
      </c>
      <c r="F27" s="9">
        <f t="shared" si="2"/>
        <v>-88.05</v>
      </c>
      <c r="G27" s="8">
        <v>3</v>
      </c>
      <c r="H27" s="8" t="str">
        <f t="shared" si="3"/>
        <v>Funfetti Fields</v>
      </c>
      <c r="I27" s="9">
        <f t="shared" si="4"/>
        <v>43.26</v>
      </c>
      <c r="J27" s="9">
        <f t="shared" si="5"/>
        <v>-101.4</v>
      </c>
      <c r="K27" s="8" t="s">
        <v>0</v>
      </c>
      <c r="L27" s="9">
        <f t="shared" si="9"/>
        <v>1</v>
      </c>
      <c r="M27" s="9">
        <f t="shared" si="6"/>
        <v>131.98688798513282</v>
      </c>
      <c r="N27" s="9">
        <v>35</v>
      </c>
      <c r="O27" s="9">
        <f t="shared" si="10"/>
        <v>0</v>
      </c>
      <c r="P27" s="10">
        <v>5</v>
      </c>
    </row>
  </sheetData>
  <mergeCells count="2">
    <mergeCell ref="D2:F2"/>
    <mergeCell ref="G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3FF6D-72D0-4CE8-868E-4F5149DA7003}">
  <dimension ref="B1:AC27"/>
  <sheetViews>
    <sheetView zoomScale="80" zoomScaleNormal="80" workbookViewId="0">
      <selection activeCell="S2" sqref="S2"/>
    </sheetView>
  </sheetViews>
  <sheetFormatPr defaultRowHeight="14.5" x14ac:dyDescent="0.35"/>
  <cols>
    <col min="1" max="1" width="14.7265625" bestFit="1" customWidth="1"/>
    <col min="2" max="2" width="14.90625" bestFit="1" customWidth="1"/>
    <col min="3" max="3" width="1.81640625" bestFit="1" customWidth="1"/>
    <col min="4" max="4" width="20.1796875" bestFit="1" customWidth="1"/>
    <col min="5" max="5" width="6.08984375" bestFit="1" customWidth="1"/>
    <col min="6" max="6" width="7.81640625" bestFit="1" customWidth="1"/>
    <col min="7" max="7" width="2" bestFit="1" customWidth="1"/>
    <col min="8" max="8" width="20.36328125" bestFit="1" customWidth="1"/>
    <col min="9" max="9" width="6.08984375" bestFit="1" customWidth="1"/>
    <col min="10" max="10" width="5.1796875" bestFit="1" customWidth="1"/>
    <col min="11" max="11" width="24.1796875" bestFit="1" customWidth="1"/>
    <col min="12" max="12" width="10.1796875" bestFit="1" customWidth="1"/>
    <col min="13" max="13" width="11.453125" customWidth="1"/>
    <col min="14" max="14" width="16.453125" bestFit="1" customWidth="1"/>
    <col min="15" max="15" width="19.6328125" bestFit="1" customWidth="1"/>
    <col min="16" max="16" width="17.81640625" customWidth="1"/>
    <col min="17" max="17" width="16.1796875" bestFit="1" customWidth="1"/>
    <col min="18" max="19" width="16.54296875" bestFit="1" customWidth="1"/>
    <col min="20" max="20" width="12.08984375" bestFit="1" customWidth="1"/>
    <col min="21" max="21" width="9" customWidth="1"/>
    <col min="22" max="22" width="20.1796875" bestFit="1" customWidth="1"/>
    <col min="23" max="23" width="1.81640625" bestFit="1" customWidth="1"/>
    <col min="24" max="24" width="20.1796875" bestFit="1" customWidth="1"/>
    <col min="25" max="25" width="9.1796875" customWidth="1"/>
    <col min="26" max="26" width="14.36328125" bestFit="1" customWidth="1"/>
    <col min="28" max="28" width="14.36328125" bestFit="1" customWidth="1"/>
  </cols>
  <sheetData>
    <row r="1" spans="2:28" ht="15" thickBot="1" x14ac:dyDescent="0.4"/>
    <row r="2" spans="2:28" ht="15" thickBot="1" x14ac:dyDescent="0.4">
      <c r="C2" s="29"/>
      <c r="D2" s="52" t="s">
        <v>28</v>
      </c>
      <c r="E2" s="52"/>
      <c r="F2" s="52"/>
      <c r="G2" s="53" t="s">
        <v>29</v>
      </c>
      <c r="H2" s="53"/>
      <c r="I2" s="53"/>
      <c r="J2" s="54"/>
      <c r="K2" s="2"/>
      <c r="L2" s="2"/>
      <c r="M2" s="2"/>
      <c r="N2" s="2"/>
      <c r="O2" s="2"/>
      <c r="R2" s="3" t="s">
        <v>35</v>
      </c>
      <c r="S2" s="30">
        <f>SUMPRODUCT(O4:O27,B4:B27)</f>
        <v>1298</v>
      </c>
    </row>
    <row r="3" spans="2:28" ht="15" thickBot="1" x14ac:dyDescent="0.4">
      <c r="B3" s="28" t="s">
        <v>31</v>
      </c>
      <c r="C3" s="27"/>
      <c r="D3" s="23" t="s">
        <v>37</v>
      </c>
      <c r="E3" s="23" t="s">
        <v>39</v>
      </c>
      <c r="F3" s="23" t="s">
        <v>38</v>
      </c>
      <c r="G3" s="24"/>
      <c r="H3" s="24" t="s">
        <v>37</v>
      </c>
      <c r="I3" s="24" t="s">
        <v>39</v>
      </c>
      <c r="J3" s="24" t="s">
        <v>38</v>
      </c>
      <c r="K3" s="25" t="s">
        <v>40</v>
      </c>
      <c r="L3" s="25" t="s">
        <v>41</v>
      </c>
      <c r="M3" s="25" t="s">
        <v>36</v>
      </c>
      <c r="N3" s="32" t="s">
        <v>42</v>
      </c>
      <c r="O3" s="32" t="s">
        <v>43</v>
      </c>
      <c r="P3" s="26" t="s">
        <v>30</v>
      </c>
      <c r="W3" s="15"/>
      <c r="X3" s="16" t="s">
        <v>26</v>
      </c>
      <c r="Y3" s="13" t="s">
        <v>27</v>
      </c>
      <c r="Z3" s="13" t="s">
        <v>32</v>
      </c>
      <c r="AA3" s="13" t="s">
        <v>33</v>
      </c>
      <c r="AB3" s="14" t="s">
        <v>34</v>
      </c>
    </row>
    <row r="4" spans="2:28" x14ac:dyDescent="0.35">
      <c r="B4" s="4">
        <v>0</v>
      </c>
      <c r="C4">
        <v>1</v>
      </c>
      <c r="D4" t="str">
        <f t="shared" ref="D4:D27" si="0">_xlfn.XLOOKUP(C4,$X$19:$X$25,$Y$19:$Y$25)</f>
        <v>Cinnamon Swamp</v>
      </c>
      <c r="E4" s="4">
        <f t="shared" ref="E4:E27" si="1">_xlfn.XLOOKUP(C4,$X$19:$X$25,$Z$19:$Z$25)</f>
        <v>37.5</v>
      </c>
      <c r="F4" s="4">
        <f t="shared" ref="F4:F27" si="2">_xlfn.XLOOKUP(C4,$X$19:$X$25,$AA$19:$AA$25)</f>
        <v>-102.5</v>
      </c>
      <c r="G4">
        <v>3</v>
      </c>
      <c r="H4" t="str">
        <f t="shared" ref="H4:H27" si="3">_xlfn.XLOOKUP(G4,$X$19:$X$25,$Y$19:$Y$25)</f>
        <v>Funfetti Fields</v>
      </c>
      <c r="I4" s="4">
        <f t="shared" ref="I4:I27" si="4">_xlfn.XLOOKUP(G4,$X$19:$X$25,$Z$19:$Z$25)</f>
        <v>43.26</v>
      </c>
      <c r="J4" s="4">
        <f t="shared" ref="J4:J27" si="5">_xlfn.XLOOKUP(G4,$X$19:$X$25,$AA$19:$AA$25)</f>
        <v>-101.4</v>
      </c>
      <c r="K4" t="s">
        <v>3</v>
      </c>
      <c r="L4" s="4">
        <f>IF(OR(K4="Electric/Hybrid Trucks",K4="Electrified Rail",K4="Wind-powered Ships",K4="Slow Steaming Cargo Ships"),0,1)</f>
        <v>1</v>
      </c>
      <c r="M4" s="4">
        <f t="shared" ref="M4:M27" si="6">SQRT((I4-F4)^2+(J4-F4)^2)</f>
        <v>145.76415059952154</v>
      </c>
      <c r="N4" s="4">
        <v>81</v>
      </c>
      <c r="O4" s="4">
        <f>IF(N4&gt;=70,1,0)</f>
        <v>1</v>
      </c>
      <c r="P4" s="4">
        <v>22</v>
      </c>
      <c r="W4" s="5">
        <v>1</v>
      </c>
      <c r="X4" s="1" t="str">
        <f t="shared" ref="X4:X10" si="7">_xlfn.XLOOKUP(W4,$X$19:$X$25,$Y$19:$Y$25)</f>
        <v>Cinnamon Swamp</v>
      </c>
      <c r="Y4" s="4">
        <f t="shared" ref="Y4:Y10" si="8">SUMIF($G$4:$G$27,W4,$B$4:$B$27)</f>
        <v>0</v>
      </c>
      <c r="Z4" s="4" cm="1">
        <f t="array" ref="Z4:Z10">SUMIF(C4:C27,W4:W10,B4:B27)</f>
        <v>8606</v>
      </c>
      <c r="AA4" s="4">
        <f>Y4-Z4</f>
        <v>-8606</v>
      </c>
      <c r="AB4" s="6">
        <v>-8606</v>
      </c>
    </row>
    <row r="5" spans="2:28" x14ac:dyDescent="0.35">
      <c r="B5" s="4">
        <v>5477</v>
      </c>
      <c r="C5">
        <v>1</v>
      </c>
      <c r="D5" t="str">
        <f t="shared" si="0"/>
        <v>Cinnamon Swamp</v>
      </c>
      <c r="E5" s="4">
        <f t="shared" si="1"/>
        <v>37.5</v>
      </c>
      <c r="F5" s="4">
        <f t="shared" si="2"/>
        <v>-102.5</v>
      </c>
      <c r="G5">
        <v>6</v>
      </c>
      <c r="H5" t="str">
        <f t="shared" si="3"/>
        <v>Soda Pop Springs</v>
      </c>
      <c r="I5" s="4">
        <f t="shared" si="4"/>
        <v>43.51</v>
      </c>
      <c r="J5" s="4">
        <f t="shared" si="5"/>
        <v>-92.69</v>
      </c>
      <c r="K5" t="s">
        <v>6</v>
      </c>
      <c r="L5" s="4">
        <f t="shared" ref="L5:L27" si="9">IF(OR(K5="Electric/Hybrid Trucks",K5="Electrified Rail",K5="Wind-powered Ships",K5="Slow Steaming Cargo Ships"),0,1)</f>
        <v>0</v>
      </c>
      <c r="M5" s="4">
        <f t="shared" si="6"/>
        <v>146.33918203953442</v>
      </c>
      <c r="N5" s="4">
        <v>28</v>
      </c>
      <c r="O5" s="4">
        <f t="shared" ref="O5:O27" si="10">IF(N5&gt;=70,1,0)</f>
        <v>0</v>
      </c>
      <c r="P5" s="4">
        <v>8</v>
      </c>
      <c r="W5" s="5">
        <v>2</v>
      </c>
      <c r="X5" s="1" t="str">
        <f t="shared" si="7"/>
        <v>Coconut Cream Cove</v>
      </c>
      <c r="Y5" s="4">
        <f t="shared" si="8"/>
        <v>2785</v>
      </c>
      <c r="Z5" s="4">
        <v>1298</v>
      </c>
      <c r="AA5" s="4">
        <f t="shared" ref="AA5:AA10" si="11">Y5-Z5</f>
        <v>1487</v>
      </c>
      <c r="AB5" s="6">
        <v>1487</v>
      </c>
    </row>
    <row r="6" spans="2:28" x14ac:dyDescent="0.35">
      <c r="B6" s="4">
        <v>3129</v>
      </c>
      <c r="C6">
        <v>1</v>
      </c>
      <c r="D6" t="str">
        <f t="shared" si="0"/>
        <v>Cinnamon Swamp</v>
      </c>
      <c r="E6" s="4">
        <f t="shared" si="1"/>
        <v>37.5</v>
      </c>
      <c r="F6" s="4">
        <f t="shared" si="2"/>
        <v>-102.5</v>
      </c>
      <c r="G6">
        <v>7</v>
      </c>
      <c r="H6" t="str">
        <f t="shared" si="3"/>
        <v>Sugar Swirl Spires</v>
      </c>
      <c r="I6" s="4">
        <f t="shared" si="4"/>
        <v>36.67</v>
      </c>
      <c r="J6" s="4">
        <f t="shared" si="5"/>
        <v>-88.05</v>
      </c>
      <c r="K6" t="s">
        <v>0</v>
      </c>
      <c r="L6" s="4">
        <f t="shared" si="9"/>
        <v>1</v>
      </c>
      <c r="M6" s="4">
        <f t="shared" si="6"/>
        <v>139.91815965056145</v>
      </c>
      <c r="N6" s="4">
        <v>35</v>
      </c>
      <c r="O6" s="4">
        <f t="shared" si="10"/>
        <v>0</v>
      </c>
      <c r="P6" s="4">
        <v>12</v>
      </c>
      <c r="W6" s="5">
        <v>3</v>
      </c>
      <c r="X6" s="1" t="str">
        <f t="shared" si="7"/>
        <v>Funfetti Fields</v>
      </c>
      <c r="Y6" s="4">
        <f t="shared" si="8"/>
        <v>1890</v>
      </c>
      <c r="Z6" s="4">
        <v>0</v>
      </c>
      <c r="AA6" s="4">
        <f t="shared" si="11"/>
        <v>1890</v>
      </c>
      <c r="AB6" s="6">
        <v>1890</v>
      </c>
    </row>
    <row r="7" spans="2:28" x14ac:dyDescent="0.35">
      <c r="B7" s="4">
        <v>0</v>
      </c>
      <c r="C7">
        <v>2</v>
      </c>
      <c r="D7" t="str">
        <f t="shared" si="0"/>
        <v>Coconut Cream Cove</v>
      </c>
      <c r="E7" s="4">
        <f t="shared" si="1"/>
        <v>33.020000000000003</v>
      </c>
      <c r="F7" s="4">
        <f t="shared" si="2"/>
        <v>-103.15</v>
      </c>
      <c r="G7">
        <v>1</v>
      </c>
      <c r="H7" t="str">
        <f t="shared" si="3"/>
        <v>Cinnamon Swamp</v>
      </c>
      <c r="I7" s="4">
        <f t="shared" si="4"/>
        <v>37.5</v>
      </c>
      <c r="J7" s="4">
        <f t="shared" si="5"/>
        <v>-102.5</v>
      </c>
      <c r="K7" t="s">
        <v>4</v>
      </c>
      <c r="L7" s="4">
        <f t="shared" si="9"/>
        <v>0</v>
      </c>
      <c r="M7" s="4">
        <f t="shared" si="6"/>
        <v>140.65150194718862</v>
      </c>
      <c r="N7" s="4">
        <v>74</v>
      </c>
      <c r="O7" s="4">
        <f t="shared" si="10"/>
        <v>1</v>
      </c>
      <c r="P7" s="4">
        <v>9</v>
      </c>
      <c r="W7" s="5">
        <v>4</v>
      </c>
      <c r="X7" s="1" t="str">
        <f t="shared" si="7"/>
        <v>Jolly Rancher Range</v>
      </c>
      <c r="Y7" s="4">
        <f t="shared" si="8"/>
        <v>1298</v>
      </c>
      <c r="Z7" s="4">
        <v>0</v>
      </c>
      <c r="AA7" s="4">
        <f t="shared" si="11"/>
        <v>1298</v>
      </c>
      <c r="AB7" s="6">
        <v>1298</v>
      </c>
    </row>
    <row r="8" spans="2:28" x14ac:dyDescent="0.35">
      <c r="B8" s="4">
        <v>0</v>
      </c>
      <c r="C8">
        <v>2</v>
      </c>
      <c r="D8" t="str">
        <f t="shared" si="0"/>
        <v>Coconut Cream Cove</v>
      </c>
      <c r="E8" s="4">
        <f t="shared" si="1"/>
        <v>33.020000000000003</v>
      </c>
      <c r="F8" s="4">
        <f t="shared" si="2"/>
        <v>-103.15</v>
      </c>
      <c r="G8">
        <v>3</v>
      </c>
      <c r="H8" t="str">
        <f t="shared" si="3"/>
        <v>Funfetti Fields</v>
      </c>
      <c r="I8" s="4">
        <f t="shared" si="4"/>
        <v>43.26</v>
      </c>
      <c r="J8" s="4">
        <f t="shared" si="5"/>
        <v>-101.4</v>
      </c>
      <c r="K8" t="s">
        <v>1</v>
      </c>
      <c r="L8" s="4">
        <f t="shared" si="9"/>
        <v>1</v>
      </c>
      <c r="M8" s="4">
        <f t="shared" si="6"/>
        <v>146.4204582700109</v>
      </c>
      <c r="N8" s="4">
        <v>88</v>
      </c>
      <c r="O8" s="4">
        <f t="shared" si="10"/>
        <v>1</v>
      </c>
      <c r="P8" s="4">
        <v>11</v>
      </c>
      <c r="W8" s="5">
        <v>5</v>
      </c>
      <c r="X8" s="1" t="str">
        <f t="shared" si="7"/>
        <v>Rainbow Ribbon Roads</v>
      </c>
      <c r="Y8" s="4">
        <f t="shared" si="8"/>
        <v>4211</v>
      </c>
      <c r="Z8" s="4">
        <v>2785</v>
      </c>
      <c r="AA8" s="4">
        <f t="shared" si="11"/>
        <v>1426</v>
      </c>
      <c r="AB8" s="6">
        <v>1426</v>
      </c>
    </row>
    <row r="9" spans="2:28" x14ac:dyDescent="0.35">
      <c r="B9" s="4">
        <v>1298</v>
      </c>
      <c r="C9">
        <v>2</v>
      </c>
      <c r="D9" t="str">
        <f t="shared" si="0"/>
        <v>Coconut Cream Cove</v>
      </c>
      <c r="E9" s="4">
        <f t="shared" si="1"/>
        <v>33.020000000000003</v>
      </c>
      <c r="F9" s="4">
        <f t="shared" si="2"/>
        <v>-103.15</v>
      </c>
      <c r="G9">
        <v>4</v>
      </c>
      <c r="H9" t="str">
        <f t="shared" si="3"/>
        <v>Jolly Rancher Range</v>
      </c>
      <c r="I9" s="4">
        <f t="shared" si="4"/>
        <v>36.4</v>
      </c>
      <c r="J9" s="4">
        <f t="shared" si="5"/>
        <v>-91.86</v>
      </c>
      <c r="K9" t="s">
        <v>5</v>
      </c>
      <c r="L9" s="4">
        <f t="shared" si="9"/>
        <v>1</v>
      </c>
      <c r="M9" s="4">
        <f t="shared" si="6"/>
        <v>140.00595201633394</v>
      </c>
      <c r="N9" s="4">
        <v>94</v>
      </c>
      <c r="O9" s="4">
        <f t="shared" si="10"/>
        <v>1</v>
      </c>
      <c r="P9" s="4">
        <v>13</v>
      </c>
      <c r="W9" s="5">
        <v>6</v>
      </c>
      <c r="X9" s="1" t="str">
        <f t="shared" si="7"/>
        <v>Soda Pop Springs</v>
      </c>
      <c r="Y9" s="4">
        <f t="shared" si="8"/>
        <v>5477</v>
      </c>
      <c r="Z9" s="4">
        <v>4211</v>
      </c>
      <c r="AA9" s="4">
        <f t="shared" si="11"/>
        <v>1266</v>
      </c>
      <c r="AB9" s="6">
        <v>1266</v>
      </c>
    </row>
    <row r="10" spans="2:28" ht="15" thickBot="1" x14ac:dyDescent="0.4">
      <c r="B10" s="4">
        <v>0</v>
      </c>
      <c r="C10">
        <v>2</v>
      </c>
      <c r="D10" t="str">
        <f t="shared" si="0"/>
        <v>Coconut Cream Cove</v>
      </c>
      <c r="E10" s="4">
        <f t="shared" si="1"/>
        <v>33.020000000000003</v>
      </c>
      <c r="F10" s="4">
        <f t="shared" si="2"/>
        <v>-103.15</v>
      </c>
      <c r="G10">
        <v>5</v>
      </c>
      <c r="H10" t="str">
        <f t="shared" si="3"/>
        <v>Rainbow Ribbon Roads</v>
      </c>
      <c r="I10" s="4">
        <f t="shared" si="4"/>
        <v>44.43</v>
      </c>
      <c r="J10" s="4">
        <f t="shared" si="5"/>
        <v>-85.51</v>
      </c>
      <c r="K10" t="s">
        <v>5</v>
      </c>
      <c r="L10" s="4">
        <f t="shared" si="9"/>
        <v>1</v>
      </c>
      <c r="M10" s="4">
        <f t="shared" si="6"/>
        <v>148.63050158026113</v>
      </c>
      <c r="N10" s="4">
        <v>94</v>
      </c>
      <c r="O10" s="4">
        <f t="shared" si="10"/>
        <v>1</v>
      </c>
      <c r="P10" s="4">
        <v>5</v>
      </c>
      <c r="W10" s="7">
        <v>7</v>
      </c>
      <c r="X10" s="12" t="str">
        <f t="shared" si="7"/>
        <v>Sugar Swirl Spires</v>
      </c>
      <c r="Y10" s="9">
        <f t="shared" si="8"/>
        <v>3129</v>
      </c>
      <c r="Z10" s="9">
        <v>1890</v>
      </c>
      <c r="AA10" s="9">
        <f t="shared" si="11"/>
        <v>1239</v>
      </c>
      <c r="AB10" s="10">
        <v>1239</v>
      </c>
    </row>
    <row r="11" spans="2:28" x14ac:dyDescent="0.35">
      <c r="B11" s="4">
        <v>0</v>
      </c>
      <c r="C11">
        <v>2</v>
      </c>
      <c r="D11" t="str">
        <f t="shared" si="0"/>
        <v>Coconut Cream Cove</v>
      </c>
      <c r="E11" s="4">
        <f t="shared" si="1"/>
        <v>33.020000000000003</v>
      </c>
      <c r="F11" s="4">
        <f t="shared" si="2"/>
        <v>-103.15</v>
      </c>
      <c r="G11">
        <v>6</v>
      </c>
      <c r="H11" t="str">
        <f t="shared" si="3"/>
        <v>Soda Pop Springs</v>
      </c>
      <c r="I11" s="4">
        <f t="shared" si="4"/>
        <v>43.51</v>
      </c>
      <c r="J11" s="4">
        <f t="shared" si="5"/>
        <v>-92.69</v>
      </c>
      <c r="K11" t="s">
        <v>3</v>
      </c>
      <c r="L11" s="4">
        <f t="shared" si="9"/>
        <v>1</v>
      </c>
      <c r="M11" s="4">
        <f t="shared" si="6"/>
        <v>147.03253789552841</v>
      </c>
      <c r="N11" s="4">
        <v>72</v>
      </c>
      <c r="O11" s="4">
        <f t="shared" si="10"/>
        <v>1</v>
      </c>
      <c r="P11" s="4">
        <v>24</v>
      </c>
    </row>
    <row r="12" spans="2:28" x14ac:dyDescent="0.35">
      <c r="B12" s="4">
        <v>0</v>
      </c>
      <c r="C12">
        <v>2</v>
      </c>
      <c r="D12" t="str">
        <f t="shared" si="0"/>
        <v>Coconut Cream Cove</v>
      </c>
      <c r="E12" s="4">
        <f t="shared" si="1"/>
        <v>33.020000000000003</v>
      </c>
      <c r="F12" s="4">
        <f t="shared" si="2"/>
        <v>-103.15</v>
      </c>
      <c r="G12">
        <v>7</v>
      </c>
      <c r="H12" t="str">
        <f t="shared" si="3"/>
        <v>Sugar Swirl Spires</v>
      </c>
      <c r="I12" s="4">
        <f t="shared" si="4"/>
        <v>36.67</v>
      </c>
      <c r="J12" s="4">
        <f t="shared" si="5"/>
        <v>-88.05</v>
      </c>
      <c r="K12" t="s">
        <v>0</v>
      </c>
      <c r="L12" s="4">
        <f t="shared" si="9"/>
        <v>1</v>
      </c>
      <c r="M12" s="4">
        <f t="shared" si="6"/>
        <v>140.63300608320935</v>
      </c>
      <c r="N12" s="4">
        <v>98</v>
      </c>
      <c r="O12" s="4">
        <f t="shared" si="10"/>
        <v>1</v>
      </c>
      <c r="P12" s="4">
        <v>18</v>
      </c>
    </row>
    <row r="13" spans="2:28" x14ac:dyDescent="0.35">
      <c r="B13" s="4">
        <v>0</v>
      </c>
      <c r="C13">
        <v>3</v>
      </c>
      <c r="D13" t="str">
        <f t="shared" si="0"/>
        <v>Funfetti Fields</v>
      </c>
      <c r="E13" s="4">
        <f t="shared" si="1"/>
        <v>43.26</v>
      </c>
      <c r="F13" s="4">
        <f t="shared" si="2"/>
        <v>-101.4</v>
      </c>
      <c r="G13">
        <v>1</v>
      </c>
      <c r="H13" t="str">
        <f t="shared" si="3"/>
        <v>Cinnamon Swamp</v>
      </c>
      <c r="I13" s="4">
        <f t="shared" si="4"/>
        <v>37.5</v>
      </c>
      <c r="J13" s="4">
        <f t="shared" si="5"/>
        <v>-102.5</v>
      </c>
      <c r="K13" t="s">
        <v>5</v>
      </c>
      <c r="L13" s="4">
        <f t="shared" si="9"/>
        <v>1</v>
      </c>
      <c r="M13" s="4">
        <f t="shared" si="6"/>
        <v>138.90435558325737</v>
      </c>
      <c r="N13" s="4">
        <v>102</v>
      </c>
      <c r="O13" s="4">
        <f t="shared" si="10"/>
        <v>1</v>
      </c>
      <c r="P13" s="4">
        <v>13</v>
      </c>
    </row>
    <row r="14" spans="2:28" x14ac:dyDescent="0.35">
      <c r="B14" s="4">
        <v>0</v>
      </c>
      <c r="C14">
        <v>3</v>
      </c>
      <c r="D14" t="str">
        <f t="shared" si="0"/>
        <v>Funfetti Fields</v>
      </c>
      <c r="E14" s="4">
        <f t="shared" si="1"/>
        <v>43.26</v>
      </c>
      <c r="F14" s="4">
        <f t="shared" si="2"/>
        <v>-101.4</v>
      </c>
      <c r="G14">
        <v>4</v>
      </c>
      <c r="H14" t="str">
        <f t="shared" si="3"/>
        <v>Jolly Rancher Range</v>
      </c>
      <c r="I14" s="4">
        <f t="shared" si="4"/>
        <v>36.4</v>
      </c>
      <c r="J14" s="4">
        <f t="shared" si="5"/>
        <v>-91.86</v>
      </c>
      <c r="K14" t="s">
        <v>3</v>
      </c>
      <c r="L14" s="4">
        <f t="shared" si="9"/>
        <v>1</v>
      </c>
      <c r="M14" s="4">
        <f t="shared" si="6"/>
        <v>138.12983602393803</v>
      </c>
      <c r="N14" s="4">
        <v>105</v>
      </c>
      <c r="O14" s="4">
        <f t="shared" si="10"/>
        <v>1</v>
      </c>
      <c r="P14" s="4">
        <v>16</v>
      </c>
    </row>
    <row r="15" spans="2:28" x14ac:dyDescent="0.35">
      <c r="B15" s="4">
        <v>0</v>
      </c>
      <c r="C15">
        <v>4</v>
      </c>
      <c r="D15" t="str">
        <f t="shared" si="0"/>
        <v>Jolly Rancher Range</v>
      </c>
      <c r="E15" s="4">
        <f t="shared" si="1"/>
        <v>36.4</v>
      </c>
      <c r="F15" s="4">
        <f t="shared" si="2"/>
        <v>-91.86</v>
      </c>
      <c r="G15">
        <v>7</v>
      </c>
      <c r="H15" t="str">
        <f t="shared" si="3"/>
        <v>Sugar Swirl Spires</v>
      </c>
      <c r="I15" s="4">
        <f t="shared" si="4"/>
        <v>36.67</v>
      </c>
      <c r="J15" s="4">
        <f t="shared" si="5"/>
        <v>-88.05</v>
      </c>
      <c r="K15" t="s">
        <v>3</v>
      </c>
      <c r="L15" s="4">
        <f t="shared" si="9"/>
        <v>1</v>
      </c>
      <c r="M15" s="4">
        <f t="shared" si="6"/>
        <v>128.58645729624874</v>
      </c>
      <c r="N15" s="4">
        <v>27</v>
      </c>
      <c r="O15" s="4">
        <f t="shared" si="10"/>
        <v>0</v>
      </c>
      <c r="P15" s="4">
        <v>16</v>
      </c>
    </row>
    <row r="16" spans="2:28" x14ac:dyDescent="0.35">
      <c r="B16" s="4">
        <v>0</v>
      </c>
      <c r="C16">
        <v>5</v>
      </c>
      <c r="D16" t="str">
        <f t="shared" si="0"/>
        <v>Rainbow Ribbon Roads</v>
      </c>
      <c r="E16" s="4">
        <f t="shared" si="1"/>
        <v>44.43</v>
      </c>
      <c r="F16" s="4">
        <f t="shared" si="2"/>
        <v>-85.51</v>
      </c>
      <c r="G16">
        <v>1</v>
      </c>
      <c r="H16" t="str">
        <f t="shared" si="3"/>
        <v>Cinnamon Swamp</v>
      </c>
      <c r="I16" s="4">
        <f t="shared" si="4"/>
        <v>37.5</v>
      </c>
      <c r="J16" s="4">
        <f t="shared" si="5"/>
        <v>-102.5</v>
      </c>
      <c r="K16" t="s">
        <v>3</v>
      </c>
      <c r="L16" s="4">
        <f t="shared" si="9"/>
        <v>1</v>
      </c>
      <c r="M16" s="4">
        <f t="shared" si="6"/>
        <v>124.17777659468703</v>
      </c>
      <c r="N16" s="4">
        <v>84</v>
      </c>
      <c r="O16" s="4">
        <f t="shared" si="10"/>
        <v>1</v>
      </c>
      <c r="P16" s="4">
        <v>10</v>
      </c>
    </row>
    <row r="17" spans="2:29" x14ac:dyDescent="0.35">
      <c r="B17" s="4">
        <v>2785</v>
      </c>
      <c r="C17">
        <v>5</v>
      </c>
      <c r="D17" t="str">
        <f t="shared" si="0"/>
        <v>Rainbow Ribbon Roads</v>
      </c>
      <c r="E17" s="4">
        <f t="shared" si="1"/>
        <v>44.43</v>
      </c>
      <c r="F17" s="4">
        <f t="shared" si="2"/>
        <v>-85.51</v>
      </c>
      <c r="G17">
        <v>2</v>
      </c>
      <c r="H17" t="str">
        <f t="shared" si="3"/>
        <v>Coconut Cream Cove</v>
      </c>
      <c r="I17" s="4">
        <f t="shared" si="4"/>
        <v>33.020000000000003</v>
      </c>
      <c r="J17" s="4">
        <f t="shared" si="5"/>
        <v>-103.15</v>
      </c>
      <c r="K17" t="s">
        <v>5</v>
      </c>
      <c r="L17" s="4">
        <f t="shared" si="9"/>
        <v>1</v>
      </c>
      <c r="M17" s="4">
        <f t="shared" si="6"/>
        <v>119.83543090421963</v>
      </c>
      <c r="N17" s="4">
        <v>35</v>
      </c>
      <c r="O17" s="4">
        <f t="shared" si="10"/>
        <v>0</v>
      </c>
      <c r="P17" s="4">
        <v>13</v>
      </c>
    </row>
    <row r="18" spans="2:29" x14ac:dyDescent="0.35">
      <c r="B18" s="4">
        <v>0</v>
      </c>
      <c r="C18">
        <v>5</v>
      </c>
      <c r="D18" t="str">
        <f t="shared" si="0"/>
        <v>Rainbow Ribbon Roads</v>
      </c>
      <c r="E18" s="4">
        <f t="shared" si="1"/>
        <v>44.43</v>
      </c>
      <c r="F18" s="4">
        <f t="shared" si="2"/>
        <v>-85.51</v>
      </c>
      <c r="G18">
        <v>7</v>
      </c>
      <c r="H18" t="str">
        <f t="shared" si="3"/>
        <v>Sugar Swirl Spires</v>
      </c>
      <c r="I18" s="4">
        <f t="shared" si="4"/>
        <v>36.67</v>
      </c>
      <c r="J18" s="4">
        <f t="shared" si="5"/>
        <v>-88.05</v>
      </c>
      <c r="K18" t="s">
        <v>3</v>
      </c>
      <c r="L18" s="4">
        <f t="shared" si="9"/>
        <v>1</v>
      </c>
      <c r="M18" s="4">
        <f t="shared" si="6"/>
        <v>122.20639917778448</v>
      </c>
      <c r="N18" s="4">
        <v>89</v>
      </c>
      <c r="O18" s="4">
        <f t="shared" si="10"/>
        <v>1</v>
      </c>
      <c r="P18" s="4">
        <v>19</v>
      </c>
      <c r="X18" t="s">
        <v>24</v>
      </c>
      <c r="Y18" t="s">
        <v>23</v>
      </c>
      <c r="Z18" t="s">
        <v>22</v>
      </c>
      <c r="AA18" t="s">
        <v>21</v>
      </c>
      <c r="AB18" t="s">
        <v>20</v>
      </c>
      <c r="AC18" t="s">
        <v>19</v>
      </c>
    </row>
    <row r="19" spans="2:29" x14ac:dyDescent="0.35">
      <c r="B19" s="4">
        <v>0</v>
      </c>
      <c r="C19">
        <v>6</v>
      </c>
      <c r="D19" t="str">
        <f t="shared" si="0"/>
        <v>Soda Pop Springs</v>
      </c>
      <c r="E19" s="4">
        <f t="shared" si="1"/>
        <v>43.51</v>
      </c>
      <c r="F19" s="4">
        <f t="shared" si="2"/>
        <v>-92.69</v>
      </c>
      <c r="G19">
        <v>1</v>
      </c>
      <c r="H19" t="str">
        <f t="shared" si="3"/>
        <v>Cinnamon Swamp</v>
      </c>
      <c r="I19" s="4">
        <f t="shared" si="4"/>
        <v>37.5</v>
      </c>
      <c r="J19" s="4">
        <f t="shared" si="5"/>
        <v>-102.5</v>
      </c>
      <c r="K19" t="s">
        <v>1</v>
      </c>
      <c r="L19" s="4">
        <f t="shared" si="9"/>
        <v>1</v>
      </c>
      <c r="M19" s="4">
        <f t="shared" si="6"/>
        <v>130.55907551756025</v>
      </c>
      <c r="N19" s="4">
        <v>94</v>
      </c>
      <c r="O19" s="4">
        <f t="shared" si="10"/>
        <v>1</v>
      </c>
      <c r="P19" s="4">
        <v>13</v>
      </c>
      <c r="X19">
        <v>1</v>
      </c>
      <c r="Y19" t="s">
        <v>18</v>
      </c>
      <c r="Z19">
        <v>37.5</v>
      </c>
      <c r="AA19">
        <v>-102.5</v>
      </c>
      <c r="AB19">
        <v>8606</v>
      </c>
    </row>
    <row r="20" spans="2:29" x14ac:dyDescent="0.35">
      <c r="B20" s="4">
        <v>0</v>
      </c>
      <c r="C20">
        <v>6</v>
      </c>
      <c r="D20" t="str">
        <f t="shared" si="0"/>
        <v>Soda Pop Springs</v>
      </c>
      <c r="E20" s="4">
        <f t="shared" si="1"/>
        <v>43.51</v>
      </c>
      <c r="F20" s="4">
        <f t="shared" si="2"/>
        <v>-92.69</v>
      </c>
      <c r="G20">
        <v>2</v>
      </c>
      <c r="H20" t="str">
        <f t="shared" si="3"/>
        <v>Coconut Cream Cove</v>
      </c>
      <c r="I20" s="4">
        <f t="shared" si="4"/>
        <v>33.020000000000003</v>
      </c>
      <c r="J20" s="4">
        <f t="shared" si="5"/>
        <v>-103.15</v>
      </c>
      <c r="K20" t="s">
        <v>5</v>
      </c>
      <c r="L20" s="4">
        <f t="shared" si="9"/>
        <v>1</v>
      </c>
      <c r="M20" s="4">
        <f t="shared" si="6"/>
        <v>126.14442397506123</v>
      </c>
      <c r="N20" s="4">
        <v>78</v>
      </c>
      <c r="O20" s="4">
        <f t="shared" si="10"/>
        <v>1</v>
      </c>
      <c r="P20" s="4">
        <v>11</v>
      </c>
      <c r="X20">
        <v>2</v>
      </c>
      <c r="Y20" t="s">
        <v>17</v>
      </c>
      <c r="Z20">
        <v>33.020000000000003</v>
      </c>
      <c r="AA20">
        <v>-103.15</v>
      </c>
      <c r="AC20">
        <v>1487</v>
      </c>
    </row>
    <row r="21" spans="2:29" x14ac:dyDescent="0.35">
      <c r="B21" s="4">
        <v>0</v>
      </c>
      <c r="C21">
        <v>6</v>
      </c>
      <c r="D21" t="str">
        <f t="shared" si="0"/>
        <v>Soda Pop Springs</v>
      </c>
      <c r="E21" s="4">
        <f t="shared" si="1"/>
        <v>43.51</v>
      </c>
      <c r="F21" s="4">
        <f t="shared" si="2"/>
        <v>-92.69</v>
      </c>
      <c r="G21">
        <v>3</v>
      </c>
      <c r="H21" t="str">
        <f t="shared" si="3"/>
        <v>Funfetti Fields</v>
      </c>
      <c r="I21" s="4">
        <f t="shared" si="4"/>
        <v>43.26</v>
      </c>
      <c r="J21" s="4">
        <f t="shared" si="5"/>
        <v>-101.4</v>
      </c>
      <c r="K21" t="s">
        <v>0</v>
      </c>
      <c r="L21" s="4">
        <f t="shared" si="9"/>
        <v>1</v>
      </c>
      <c r="M21" s="4">
        <f t="shared" si="6"/>
        <v>136.22872898181203</v>
      </c>
      <c r="N21" s="4">
        <v>87</v>
      </c>
      <c r="O21" s="4">
        <f t="shared" si="10"/>
        <v>1</v>
      </c>
      <c r="P21" s="4">
        <v>7</v>
      </c>
      <c r="X21">
        <v>3</v>
      </c>
      <c r="Y21" t="s">
        <v>16</v>
      </c>
      <c r="Z21">
        <v>43.26</v>
      </c>
      <c r="AA21">
        <v>-101.4</v>
      </c>
      <c r="AC21">
        <v>1890</v>
      </c>
    </row>
    <row r="22" spans="2:29" x14ac:dyDescent="0.35">
      <c r="B22" s="4">
        <v>0</v>
      </c>
      <c r="C22">
        <v>6</v>
      </c>
      <c r="D22" t="str">
        <f t="shared" si="0"/>
        <v>Soda Pop Springs</v>
      </c>
      <c r="E22" s="4">
        <f t="shared" si="1"/>
        <v>43.51</v>
      </c>
      <c r="F22" s="4">
        <f t="shared" si="2"/>
        <v>-92.69</v>
      </c>
      <c r="G22">
        <v>4</v>
      </c>
      <c r="H22" t="str">
        <f t="shared" si="3"/>
        <v>Jolly Rancher Range</v>
      </c>
      <c r="I22" s="4">
        <f t="shared" si="4"/>
        <v>36.4</v>
      </c>
      <c r="J22" s="4">
        <f t="shared" si="5"/>
        <v>-91.86</v>
      </c>
      <c r="K22" t="s">
        <v>4</v>
      </c>
      <c r="L22" s="4">
        <f t="shared" si="9"/>
        <v>0</v>
      </c>
      <c r="M22" s="4">
        <f t="shared" si="6"/>
        <v>129.09266826586241</v>
      </c>
      <c r="N22" s="4">
        <v>87</v>
      </c>
      <c r="O22" s="4">
        <f t="shared" si="10"/>
        <v>1</v>
      </c>
      <c r="P22" s="4">
        <v>23</v>
      </c>
      <c r="X22">
        <v>4</v>
      </c>
      <c r="Y22" t="s">
        <v>15</v>
      </c>
      <c r="Z22">
        <v>36.4</v>
      </c>
      <c r="AA22">
        <v>-91.86</v>
      </c>
      <c r="AC22">
        <v>1298</v>
      </c>
    </row>
    <row r="23" spans="2:29" x14ac:dyDescent="0.35">
      <c r="B23" s="4">
        <v>4211</v>
      </c>
      <c r="C23">
        <v>6</v>
      </c>
      <c r="D23" t="str">
        <f t="shared" si="0"/>
        <v>Soda Pop Springs</v>
      </c>
      <c r="E23" s="4">
        <f t="shared" si="1"/>
        <v>43.51</v>
      </c>
      <c r="F23" s="4">
        <f t="shared" si="2"/>
        <v>-92.69</v>
      </c>
      <c r="G23">
        <v>5</v>
      </c>
      <c r="H23" t="str">
        <f t="shared" si="3"/>
        <v>Rainbow Ribbon Roads</v>
      </c>
      <c r="I23" s="4">
        <f t="shared" si="4"/>
        <v>44.43</v>
      </c>
      <c r="J23" s="4">
        <f t="shared" si="5"/>
        <v>-85.51</v>
      </c>
      <c r="K23" t="s">
        <v>3</v>
      </c>
      <c r="L23" s="4">
        <f t="shared" si="9"/>
        <v>1</v>
      </c>
      <c r="M23" s="4">
        <f t="shared" si="6"/>
        <v>137.3078541089329</v>
      </c>
      <c r="N23" s="4">
        <v>32</v>
      </c>
      <c r="O23" s="4">
        <f t="shared" si="10"/>
        <v>0</v>
      </c>
      <c r="P23" s="4">
        <v>6</v>
      </c>
      <c r="X23">
        <v>5</v>
      </c>
      <c r="Y23" t="s">
        <v>14</v>
      </c>
      <c r="Z23">
        <v>44.43</v>
      </c>
      <c r="AA23">
        <v>-85.51</v>
      </c>
      <c r="AC23">
        <v>1426</v>
      </c>
    </row>
    <row r="24" spans="2:29" x14ac:dyDescent="0.35">
      <c r="B24" s="4">
        <v>0</v>
      </c>
      <c r="C24">
        <v>6</v>
      </c>
      <c r="D24" t="str">
        <f t="shared" si="0"/>
        <v>Soda Pop Springs</v>
      </c>
      <c r="E24" s="4">
        <f t="shared" si="1"/>
        <v>43.51</v>
      </c>
      <c r="F24" s="4">
        <f t="shared" si="2"/>
        <v>-92.69</v>
      </c>
      <c r="G24">
        <v>7</v>
      </c>
      <c r="H24" t="str">
        <f t="shared" si="3"/>
        <v>Sugar Swirl Spires</v>
      </c>
      <c r="I24" s="4">
        <f t="shared" si="4"/>
        <v>36.67</v>
      </c>
      <c r="J24" s="4">
        <f t="shared" si="5"/>
        <v>-88.05</v>
      </c>
      <c r="K24" t="s">
        <v>0</v>
      </c>
      <c r="L24" s="4">
        <f t="shared" si="9"/>
        <v>1</v>
      </c>
      <c r="M24" s="4">
        <f t="shared" si="6"/>
        <v>129.44318908308776</v>
      </c>
      <c r="N24" s="4">
        <v>88</v>
      </c>
      <c r="O24" s="4">
        <f t="shared" si="10"/>
        <v>1</v>
      </c>
      <c r="P24" s="4">
        <v>24</v>
      </c>
      <c r="X24">
        <v>6</v>
      </c>
      <c r="Y24" t="s">
        <v>13</v>
      </c>
      <c r="Z24">
        <v>43.51</v>
      </c>
      <c r="AA24">
        <v>-92.69</v>
      </c>
      <c r="AC24">
        <v>1266</v>
      </c>
    </row>
    <row r="25" spans="2:29" x14ac:dyDescent="0.35">
      <c r="B25" s="4">
        <v>0</v>
      </c>
      <c r="C25">
        <v>7</v>
      </c>
      <c r="D25" t="str">
        <f t="shared" si="0"/>
        <v>Sugar Swirl Spires</v>
      </c>
      <c r="E25" s="4">
        <f t="shared" si="1"/>
        <v>36.67</v>
      </c>
      <c r="F25" s="4">
        <f t="shared" si="2"/>
        <v>-88.05</v>
      </c>
      <c r="G25">
        <v>1</v>
      </c>
      <c r="H25" t="str">
        <f t="shared" si="3"/>
        <v>Cinnamon Swamp</v>
      </c>
      <c r="I25" s="4">
        <f t="shared" si="4"/>
        <v>37.5</v>
      </c>
      <c r="J25" s="4">
        <f t="shared" si="5"/>
        <v>-102.5</v>
      </c>
      <c r="K25" t="s">
        <v>2</v>
      </c>
      <c r="L25" s="4">
        <f t="shared" si="9"/>
        <v>0</v>
      </c>
      <c r="M25" s="4">
        <f t="shared" si="6"/>
        <v>126.37881547158131</v>
      </c>
      <c r="N25" s="4">
        <v>40</v>
      </c>
      <c r="O25" s="4">
        <f t="shared" si="10"/>
        <v>0</v>
      </c>
      <c r="P25" s="4">
        <v>18</v>
      </c>
      <c r="X25">
        <v>7</v>
      </c>
      <c r="Y25" t="s">
        <v>12</v>
      </c>
      <c r="Z25">
        <v>36.67</v>
      </c>
      <c r="AA25">
        <v>-88.05</v>
      </c>
      <c r="AC25">
        <v>1239</v>
      </c>
    </row>
    <row r="26" spans="2:29" x14ac:dyDescent="0.35">
      <c r="B26" s="4">
        <v>0</v>
      </c>
      <c r="C26">
        <v>7</v>
      </c>
      <c r="D26" t="str">
        <f t="shared" si="0"/>
        <v>Sugar Swirl Spires</v>
      </c>
      <c r="E26" s="4">
        <f t="shared" si="1"/>
        <v>36.67</v>
      </c>
      <c r="F26" s="4">
        <f t="shared" si="2"/>
        <v>-88.05</v>
      </c>
      <c r="G26">
        <v>2</v>
      </c>
      <c r="H26" t="str">
        <f t="shared" si="3"/>
        <v>Coconut Cream Cove</v>
      </c>
      <c r="I26" s="4">
        <f t="shared" si="4"/>
        <v>33.020000000000003</v>
      </c>
      <c r="J26" s="4">
        <f t="shared" si="5"/>
        <v>-103.15</v>
      </c>
      <c r="K26" t="s">
        <v>1</v>
      </c>
      <c r="L26" s="4">
        <f t="shared" si="9"/>
        <v>1</v>
      </c>
      <c r="M26" s="4">
        <f t="shared" si="6"/>
        <v>122.00801162218815</v>
      </c>
      <c r="N26" s="4">
        <v>87</v>
      </c>
      <c r="O26" s="4">
        <f t="shared" si="10"/>
        <v>1</v>
      </c>
      <c r="P26" s="4">
        <v>6</v>
      </c>
    </row>
    <row r="27" spans="2:29" x14ac:dyDescent="0.35">
      <c r="B27" s="4">
        <v>1890</v>
      </c>
      <c r="C27">
        <v>7</v>
      </c>
      <c r="D27" t="str">
        <f t="shared" si="0"/>
        <v>Sugar Swirl Spires</v>
      </c>
      <c r="E27" s="4">
        <f t="shared" si="1"/>
        <v>36.67</v>
      </c>
      <c r="F27" s="4">
        <f t="shared" si="2"/>
        <v>-88.05</v>
      </c>
      <c r="G27">
        <v>3</v>
      </c>
      <c r="H27" t="str">
        <f t="shared" si="3"/>
        <v>Funfetti Fields</v>
      </c>
      <c r="I27" s="4">
        <f t="shared" si="4"/>
        <v>43.26</v>
      </c>
      <c r="J27" s="4">
        <f t="shared" si="5"/>
        <v>-101.4</v>
      </c>
      <c r="K27" t="s">
        <v>0</v>
      </c>
      <c r="L27" s="4">
        <f t="shared" si="9"/>
        <v>1</v>
      </c>
      <c r="M27" s="4">
        <f t="shared" si="6"/>
        <v>131.98688798513282</v>
      </c>
      <c r="N27" s="4">
        <v>35</v>
      </c>
      <c r="O27" s="4">
        <f t="shared" si="10"/>
        <v>0</v>
      </c>
      <c r="P27" s="4">
        <v>5</v>
      </c>
    </row>
  </sheetData>
  <mergeCells count="2">
    <mergeCell ref="D2:F2"/>
    <mergeCell ref="G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B4B7D-E53D-4674-8D93-F5A286E91077}">
  <dimension ref="B1:AA27"/>
  <sheetViews>
    <sheetView topLeftCell="B1" zoomScale="80" zoomScaleNormal="80" workbookViewId="0">
      <selection activeCell="Q2" sqref="Q2"/>
    </sheetView>
  </sheetViews>
  <sheetFormatPr defaultRowHeight="14.5" x14ac:dyDescent="0.35"/>
  <cols>
    <col min="1" max="1" width="14.7265625" bestFit="1" customWidth="1"/>
    <col min="2" max="2" width="14.90625" bestFit="1" customWidth="1"/>
    <col min="3" max="3" width="1.81640625" bestFit="1" customWidth="1"/>
    <col min="4" max="4" width="20.1796875" bestFit="1" customWidth="1"/>
    <col min="5" max="5" width="6.08984375" bestFit="1" customWidth="1"/>
    <col min="6" max="6" width="7.81640625" bestFit="1" customWidth="1"/>
    <col min="7" max="7" width="2" bestFit="1" customWidth="1"/>
    <col min="8" max="8" width="20.36328125" bestFit="1" customWidth="1"/>
    <col min="9" max="9" width="6.08984375" bestFit="1" customWidth="1"/>
    <col min="10" max="10" width="5.1796875" bestFit="1" customWidth="1"/>
    <col min="11" max="11" width="24.1796875" bestFit="1" customWidth="1"/>
    <col min="12" max="12" width="10.1796875" bestFit="1" customWidth="1"/>
    <col min="13" max="13" width="11.453125" customWidth="1"/>
    <col min="14" max="14" width="17.81640625" customWidth="1"/>
    <col min="15" max="15" width="16.1796875" bestFit="1" customWidth="1"/>
    <col min="16" max="17" width="16.54296875" bestFit="1" customWidth="1"/>
    <col min="18" max="18" width="12.08984375" bestFit="1" customWidth="1"/>
    <col min="19" max="19" width="9" customWidth="1"/>
    <col min="20" max="20" width="20.1796875" bestFit="1" customWidth="1"/>
    <col min="21" max="21" width="1.81640625" bestFit="1" customWidth="1"/>
    <col min="22" max="22" width="20.1796875" bestFit="1" customWidth="1"/>
    <col min="23" max="23" width="9.1796875" customWidth="1"/>
    <col min="24" max="24" width="14.36328125" bestFit="1" customWidth="1"/>
    <col min="26" max="26" width="14.36328125" bestFit="1" customWidth="1"/>
  </cols>
  <sheetData>
    <row r="1" spans="2:26" ht="15" thickBot="1" x14ac:dyDescent="0.4"/>
    <row r="2" spans="2:26" ht="15" thickBot="1" x14ac:dyDescent="0.4">
      <c r="C2" s="29"/>
      <c r="D2" s="52" t="s">
        <v>28</v>
      </c>
      <c r="E2" s="52"/>
      <c r="F2" s="52"/>
      <c r="G2" s="53" t="s">
        <v>29</v>
      </c>
      <c r="H2" s="53"/>
      <c r="I2" s="53"/>
      <c r="J2" s="54"/>
      <c r="K2" s="2"/>
      <c r="L2" s="2"/>
      <c r="M2" s="2"/>
      <c r="P2" s="3" t="s">
        <v>35</v>
      </c>
      <c r="Q2" s="31">
        <f>SUMPRODUCT(L4:L27,B4:B27)</f>
        <v>6042</v>
      </c>
    </row>
    <row r="3" spans="2:26" ht="15" thickBot="1" x14ac:dyDescent="0.4">
      <c r="B3" s="28" t="s">
        <v>31</v>
      </c>
      <c r="C3" s="27"/>
      <c r="D3" s="23" t="s">
        <v>37</v>
      </c>
      <c r="E3" s="23" t="s">
        <v>39</v>
      </c>
      <c r="F3" s="23" t="s">
        <v>38</v>
      </c>
      <c r="G3" s="24"/>
      <c r="H3" s="24" t="s">
        <v>37</v>
      </c>
      <c r="I3" s="24" t="s">
        <v>39</v>
      </c>
      <c r="J3" s="24" t="s">
        <v>38</v>
      </c>
      <c r="K3" s="25" t="s">
        <v>40</v>
      </c>
      <c r="L3" s="25" t="s">
        <v>41</v>
      </c>
      <c r="M3" s="25" t="s">
        <v>36</v>
      </c>
      <c r="N3" s="26" t="s">
        <v>30</v>
      </c>
      <c r="U3" s="15"/>
      <c r="V3" s="16" t="s">
        <v>26</v>
      </c>
      <c r="W3" s="13" t="s">
        <v>27</v>
      </c>
      <c r="X3" s="13" t="s">
        <v>32</v>
      </c>
      <c r="Y3" s="13" t="s">
        <v>33</v>
      </c>
      <c r="Z3" s="14" t="s">
        <v>34</v>
      </c>
    </row>
    <row r="4" spans="2:26" x14ac:dyDescent="0.35">
      <c r="B4" s="4">
        <v>1890</v>
      </c>
      <c r="C4">
        <v>1</v>
      </c>
      <c r="D4" t="str">
        <f t="shared" ref="D4:D27" si="0">_xlfn.XLOOKUP(C4,$V$19:$V$25,$W$19:$W$25)</f>
        <v>Cinnamon Swamp</v>
      </c>
      <c r="E4" s="4">
        <f t="shared" ref="E4:E27" si="1">_xlfn.XLOOKUP(C4,$V$19:$V$25,$X$19:$X$25)</f>
        <v>37.5</v>
      </c>
      <c r="F4" s="4">
        <f t="shared" ref="F4:F27" si="2">_xlfn.XLOOKUP(C4,$V$19:$V$25,$Y$19:$Y$25)</f>
        <v>-102.5</v>
      </c>
      <c r="G4">
        <v>3</v>
      </c>
      <c r="H4" t="str">
        <f t="shared" ref="H4:H27" si="3">_xlfn.XLOOKUP(G4,$V$19:$V$25,$W$19:$W$25)</f>
        <v>Funfetti Fields</v>
      </c>
      <c r="I4" s="4">
        <f t="shared" ref="I4:I27" si="4">_xlfn.XLOOKUP(G4,$V$19:$V$25,$X$19:$X$25)</f>
        <v>43.26</v>
      </c>
      <c r="J4" s="4">
        <f t="shared" ref="J4:J27" si="5">_xlfn.XLOOKUP(G4,$V$19:$V$25,$Y$19:$Y$25)</f>
        <v>-101.4</v>
      </c>
      <c r="K4" t="s">
        <v>3</v>
      </c>
      <c r="L4" s="4">
        <f>IF(OR(K4="Electric/Hybrid Trucks",K4="Electrified Rail",K4="Wind-powered Ships",K4="Slow Steaming Cargo Ships"),0,1)</f>
        <v>1</v>
      </c>
      <c r="M4" s="4">
        <f t="shared" ref="M4:M27" si="6">SQRT((I4-F4)^2+(J4-F4)^2)</f>
        <v>145.76415059952154</v>
      </c>
      <c r="N4" s="4">
        <v>22</v>
      </c>
      <c r="U4" s="5">
        <v>1</v>
      </c>
      <c r="V4" s="1" t="str">
        <f t="shared" ref="V4:V10" si="7">_xlfn.XLOOKUP(U4,$V$19:$V$25,$W$19:$W$25)</f>
        <v>Cinnamon Swamp</v>
      </c>
      <c r="W4" s="4">
        <f t="shared" ref="W4:W10" si="8">SUMIF($G$4:$G$27,U4,$B$4:$B$27)</f>
        <v>0</v>
      </c>
      <c r="X4" s="4" cm="1">
        <f t="array" ref="X4:X10">SUMIF(C4:C27,U4:U10,B4:B27)</f>
        <v>8606</v>
      </c>
      <c r="Y4" s="4">
        <f>W4-X4</f>
        <v>-8606</v>
      </c>
      <c r="Z4" s="6">
        <v>-8606</v>
      </c>
    </row>
    <row r="5" spans="2:26" x14ac:dyDescent="0.35">
      <c r="B5" s="4">
        <v>5477</v>
      </c>
      <c r="C5">
        <v>1</v>
      </c>
      <c r="D5" t="str">
        <f t="shared" si="0"/>
        <v>Cinnamon Swamp</v>
      </c>
      <c r="E5" s="4">
        <f t="shared" si="1"/>
        <v>37.5</v>
      </c>
      <c r="F5" s="4">
        <f t="shared" si="2"/>
        <v>-102.5</v>
      </c>
      <c r="G5">
        <v>6</v>
      </c>
      <c r="H5" t="str">
        <f t="shared" si="3"/>
        <v>Soda Pop Springs</v>
      </c>
      <c r="I5" s="4">
        <f t="shared" si="4"/>
        <v>43.51</v>
      </c>
      <c r="J5" s="4">
        <f t="shared" si="5"/>
        <v>-92.69</v>
      </c>
      <c r="K5" t="s">
        <v>6</v>
      </c>
      <c r="L5" s="4">
        <f t="shared" ref="L5:L27" si="9">IF(OR(K5="Electric/Hybrid Trucks",K5="Electrified Rail",K5="Wind-powered Ships",K5="Slow Steaming Cargo Ships"),0,1)</f>
        <v>0</v>
      </c>
      <c r="M5" s="4">
        <f t="shared" si="6"/>
        <v>146.33918203953442</v>
      </c>
      <c r="N5" s="4">
        <v>8</v>
      </c>
      <c r="U5" s="5">
        <v>2</v>
      </c>
      <c r="V5" s="1" t="str">
        <f t="shared" si="7"/>
        <v>Coconut Cream Cove</v>
      </c>
      <c r="W5" s="4">
        <f t="shared" si="8"/>
        <v>1487</v>
      </c>
      <c r="X5" s="4">
        <v>0</v>
      </c>
      <c r="Y5" s="4">
        <f t="shared" ref="Y5:Y10" si="10">W5-X5</f>
        <v>1487</v>
      </c>
      <c r="Z5" s="6">
        <v>1487</v>
      </c>
    </row>
    <row r="6" spans="2:26" x14ac:dyDescent="0.35">
      <c r="B6" s="4">
        <v>1239</v>
      </c>
      <c r="C6">
        <v>1</v>
      </c>
      <c r="D6" t="str">
        <f t="shared" si="0"/>
        <v>Cinnamon Swamp</v>
      </c>
      <c r="E6" s="4">
        <f t="shared" si="1"/>
        <v>37.5</v>
      </c>
      <c r="F6" s="4">
        <f t="shared" si="2"/>
        <v>-102.5</v>
      </c>
      <c r="G6">
        <v>7</v>
      </c>
      <c r="H6" t="str">
        <f t="shared" si="3"/>
        <v>Sugar Swirl Spires</v>
      </c>
      <c r="I6" s="4">
        <f t="shared" si="4"/>
        <v>36.67</v>
      </c>
      <c r="J6" s="4">
        <f t="shared" si="5"/>
        <v>-88.05</v>
      </c>
      <c r="K6" t="s">
        <v>0</v>
      </c>
      <c r="L6" s="4">
        <f t="shared" si="9"/>
        <v>1</v>
      </c>
      <c r="M6" s="4">
        <f t="shared" si="6"/>
        <v>139.91815965056145</v>
      </c>
      <c r="N6" s="4">
        <v>12</v>
      </c>
      <c r="U6" s="5">
        <v>3</v>
      </c>
      <c r="V6" s="1" t="str">
        <f t="shared" si="7"/>
        <v>Funfetti Fields</v>
      </c>
      <c r="W6" s="4">
        <f t="shared" si="8"/>
        <v>1890</v>
      </c>
      <c r="X6" s="4">
        <v>0</v>
      </c>
      <c r="Y6" s="4">
        <f t="shared" si="10"/>
        <v>1890</v>
      </c>
      <c r="Z6" s="6">
        <v>1890</v>
      </c>
    </row>
    <row r="7" spans="2:26" x14ac:dyDescent="0.35">
      <c r="B7" s="4">
        <v>0</v>
      </c>
      <c r="C7">
        <v>2</v>
      </c>
      <c r="D7" t="str">
        <f t="shared" si="0"/>
        <v>Coconut Cream Cove</v>
      </c>
      <c r="E7" s="4">
        <f t="shared" si="1"/>
        <v>33.020000000000003</v>
      </c>
      <c r="F7" s="4">
        <f t="shared" si="2"/>
        <v>-103.15</v>
      </c>
      <c r="G7">
        <v>1</v>
      </c>
      <c r="H7" t="str">
        <f t="shared" si="3"/>
        <v>Cinnamon Swamp</v>
      </c>
      <c r="I7" s="4">
        <f t="shared" si="4"/>
        <v>37.5</v>
      </c>
      <c r="J7" s="4">
        <f t="shared" si="5"/>
        <v>-102.5</v>
      </c>
      <c r="K7" t="s">
        <v>4</v>
      </c>
      <c r="L7" s="4">
        <f t="shared" si="9"/>
        <v>0</v>
      </c>
      <c r="M7" s="4">
        <f t="shared" si="6"/>
        <v>140.65150194718862</v>
      </c>
      <c r="N7" s="4">
        <v>9</v>
      </c>
      <c r="U7" s="5">
        <v>4</v>
      </c>
      <c r="V7" s="1" t="str">
        <f t="shared" si="7"/>
        <v>Jolly Rancher Range</v>
      </c>
      <c r="W7" s="4">
        <f t="shared" si="8"/>
        <v>1298</v>
      </c>
      <c r="X7" s="4">
        <v>0</v>
      </c>
      <c r="Y7" s="4">
        <f t="shared" si="10"/>
        <v>1298</v>
      </c>
      <c r="Z7" s="6">
        <v>1298</v>
      </c>
    </row>
    <row r="8" spans="2:26" x14ac:dyDescent="0.35">
      <c r="B8" s="4">
        <v>0</v>
      </c>
      <c r="C8">
        <v>2</v>
      </c>
      <c r="D8" t="str">
        <f t="shared" si="0"/>
        <v>Coconut Cream Cove</v>
      </c>
      <c r="E8" s="4">
        <f t="shared" si="1"/>
        <v>33.020000000000003</v>
      </c>
      <c r="F8" s="4">
        <f t="shared" si="2"/>
        <v>-103.15</v>
      </c>
      <c r="G8">
        <v>3</v>
      </c>
      <c r="H8" t="str">
        <f t="shared" si="3"/>
        <v>Funfetti Fields</v>
      </c>
      <c r="I8" s="4">
        <f t="shared" si="4"/>
        <v>43.26</v>
      </c>
      <c r="J8" s="4">
        <f t="shared" si="5"/>
        <v>-101.4</v>
      </c>
      <c r="K8" t="s">
        <v>1</v>
      </c>
      <c r="L8" s="4">
        <f t="shared" si="9"/>
        <v>1</v>
      </c>
      <c r="M8" s="4">
        <f t="shared" si="6"/>
        <v>146.4204582700109</v>
      </c>
      <c r="N8" s="4">
        <v>11</v>
      </c>
      <c r="U8" s="5">
        <v>5</v>
      </c>
      <c r="V8" s="1" t="str">
        <f t="shared" si="7"/>
        <v>Rainbow Ribbon Roads</v>
      </c>
      <c r="W8" s="4">
        <f t="shared" si="8"/>
        <v>1426</v>
      </c>
      <c r="X8" s="4">
        <v>0</v>
      </c>
      <c r="Y8" s="4">
        <f t="shared" si="10"/>
        <v>1426</v>
      </c>
      <c r="Z8" s="6">
        <v>1426</v>
      </c>
    </row>
    <row r="9" spans="2:26" x14ac:dyDescent="0.35">
      <c r="B9" s="4">
        <v>0</v>
      </c>
      <c r="C9">
        <v>2</v>
      </c>
      <c r="D9" t="str">
        <f t="shared" si="0"/>
        <v>Coconut Cream Cove</v>
      </c>
      <c r="E9" s="4">
        <f t="shared" si="1"/>
        <v>33.020000000000003</v>
      </c>
      <c r="F9" s="4">
        <f t="shared" si="2"/>
        <v>-103.15</v>
      </c>
      <c r="G9">
        <v>4</v>
      </c>
      <c r="H9" t="str">
        <f t="shared" si="3"/>
        <v>Jolly Rancher Range</v>
      </c>
      <c r="I9" s="4">
        <f t="shared" si="4"/>
        <v>36.4</v>
      </c>
      <c r="J9" s="4">
        <f t="shared" si="5"/>
        <v>-91.86</v>
      </c>
      <c r="K9" t="s">
        <v>5</v>
      </c>
      <c r="L9" s="4">
        <f t="shared" si="9"/>
        <v>1</v>
      </c>
      <c r="M9" s="4">
        <f t="shared" si="6"/>
        <v>140.00595201633394</v>
      </c>
      <c r="N9" s="4">
        <v>13</v>
      </c>
      <c r="U9" s="5">
        <v>6</v>
      </c>
      <c r="V9" s="1" t="str">
        <f t="shared" si="7"/>
        <v>Soda Pop Springs</v>
      </c>
      <c r="W9" s="4">
        <f t="shared" si="8"/>
        <v>5477</v>
      </c>
      <c r="X9" s="4">
        <v>4211</v>
      </c>
      <c r="Y9" s="4">
        <f t="shared" si="10"/>
        <v>1266</v>
      </c>
      <c r="Z9" s="6">
        <v>1266</v>
      </c>
    </row>
    <row r="10" spans="2:26" ht="15" thickBot="1" x14ac:dyDescent="0.4">
      <c r="B10" s="4">
        <v>0</v>
      </c>
      <c r="C10">
        <v>2</v>
      </c>
      <c r="D10" t="str">
        <f t="shared" si="0"/>
        <v>Coconut Cream Cove</v>
      </c>
      <c r="E10" s="4">
        <f t="shared" si="1"/>
        <v>33.020000000000003</v>
      </c>
      <c r="F10" s="4">
        <f t="shared" si="2"/>
        <v>-103.15</v>
      </c>
      <c r="G10">
        <v>5</v>
      </c>
      <c r="H10" t="str">
        <f t="shared" si="3"/>
        <v>Rainbow Ribbon Roads</v>
      </c>
      <c r="I10" s="4">
        <f t="shared" si="4"/>
        <v>44.43</v>
      </c>
      <c r="J10" s="4">
        <f t="shared" si="5"/>
        <v>-85.51</v>
      </c>
      <c r="K10" t="s">
        <v>5</v>
      </c>
      <c r="L10" s="4">
        <f t="shared" si="9"/>
        <v>1</v>
      </c>
      <c r="M10" s="4">
        <f t="shared" si="6"/>
        <v>148.63050158026113</v>
      </c>
      <c r="N10" s="4">
        <v>5</v>
      </c>
      <c r="U10" s="7">
        <v>7</v>
      </c>
      <c r="V10" s="12" t="str">
        <f t="shared" si="7"/>
        <v>Sugar Swirl Spires</v>
      </c>
      <c r="W10" s="9">
        <f t="shared" si="8"/>
        <v>1239</v>
      </c>
      <c r="X10" s="9">
        <v>0</v>
      </c>
      <c r="Y10" s="9">
        <f t="shared" si="10"/>
        <v>1239</v>
      </c>
      <c r="Z10" s="10">
        <v>1239</v>
      </c>
    </row>
    <row r="11" spans="2:26" x14ac:dyDescent="0.35">
      <c r="B11" s="4">
        <v>0</v>
      </c>
      <c r="C11">
        <v>2</v>
      </c>
      <c r="D11" t="str">
        <f t="shared" si="0"/>
        <v>Coconut Cream Cove</v>
      </c>
      <c r="E11" s="4">
        <f t="shared" si="1"/>
        <v>33.020000000000003</v>
      </c>
      <c r="F11" s="4">
        <f t="shared" si="2"/>
        <v>-103.15</v>
      </c>
      <c r="G11">
        <v>6</v>
      </c>
      <c r="H11" t="str">
        <f t="shared" si="3"/>
        <v>Soda Pop Springs</v>
      </c>
      <c r="I11" s="4">
        <f t="shared" si="4"/>
        <v>43.51</v>
      </c>
      <c r="J11" s="4">
        <f t="shared" si="5"/>
        <v>-92.69</v>
      </c>
      <c r="K11" t="s">
        <v>3</v>
      </c>
      <c r="L11" s="4">
        <f t="shared" si="9"/>
        <v>1</v>
      </c>
      <c r="M11" s="4">
        <f t="shared" si="6"/>
        <v>147.03253789552841</v>
      </c>
      <c r="N11" s="4">
        <v>24</v>
      </c>
    </row>
    <row r="12" spans="2:26" x14ac:dyDescent="0.35">
      <c r="B12" s="4">
        <v>0</v>
      </c>
      <c r="C12">
        <v>2</v>
      </c>
      <c r="D12" t="str">
        <f t="shared" si="0"/>
        <v>Coconut Cream Cove</v>
      </c>
      <c r="E12" s="4">
        <f t="shared" si="1"/>
        <v>33.020000000000003</v>
      </c>
      <c r="F12" s="4">
        <f t="shared" si="2"/>
        <v>-103.15</v>
      </c>
      <c r="G12">
        <v>7</v>
      </c>
      <c r="H12" t="str">
        <f t="shared" si="3"/>
        <v>Sugar Swirl Spires</v>
      </c>
      <c r="I12" s="4">
        <f t="shared" si="4"/>
        <v>36.67</v>
      </c>
      <c r="J12" s="4">
        <f t="shared" si="5"/>
        <v>-88.05</v>
      </c>
      <c r="K12" t="s">
        <v>0</v>
      </c>
      <c r="L12" s="4">
        <f t="shared" si="9"/>
        <v>1</v>
      </c>
      <c r="M12" s="4">
        <f t="shared" si="6"/>
        <v>140.63300608320935</v>
      </c>
      <c r="N12" s="4">
        <v>18</v>
      </c>
    </row>
    <row r="13" spans="2:26" x14ac:dyDescent="0.35">
      <c r="B13" s="4">
        <v>0</v>
      </c>
      <c r="C13">
        <v>3</v>
      </c>
      <c r="D13" t="str">
        <f t="shared" si="0"/>
        <v>Funfetti Fields</v>
      </c>
      <c r="E13" s="4">
        <f t="shared" si="1"/>
        <v>43.26</v>
      </c>
      <c r="F13" s="4">
        <f t="shared" si="2"/>
        <v>-101.4</v>
      </c>
      <c r="G13">
        <v>1</v>
      </c>
      <c r="H13" t="str">
        <f t="shared" si="3"/>
        <v>Cinnamon Swamp</v>
      </c>
      <c r="I13" s="4">
        <f t="shared" si="4"/>
        <v>37.5</v>
      </c>
      <c r="J13" s="4">
        <f t="shared" si="5"/>
        <v>-102.5</v>
      </c>
      <c r="K13" t="s">
        <v>5</v>
      </c>
      <c r="L13" s="4">
        <f t="shared" si="9"/>
        <v>1</v>
      </c>
      <c r="M13" s="4">
        <f t="shared" si="6"/>
        <v>138.90435558325737</v>
      </c>
      <c r="N13" s="4">
        <v>13</v>
      </c>
    </row>
    <row r="14" spans="2:26" x14ac:dyDescent="0.35">
      <c r="B14" s="4">
        <v>0</v>
      </c>
      <c r="C14">
        <v>3</v>
      </c>
      <c r="D14" t="str">
        <f t="shared" si="0"/>
        <v>Funfetti Fields</v>
      </c>
      <c r="E14" s="4">
        <f t="shared" si="1"/>
        <v>43.26</v>
      </c>
      <c r="F14" s="4">
        <f t="shared" si="2"/>
        <v>-101.4</v>
      </c>
      <c r="G14">
        <v>4</v>
      </c>
      <c r="H14" t="str">
        <f t="shared" si="3"/>
        <v>Jolly Rancher Range</v>
      </c>
      <c r="I14" s="4">
        <f t="shared" si="4"/>
        <v>36.4</v>
      </c>
      <c r="J14" s="4">
        <f t="shared" si="5"/>
        <v>-91.86</v>
      </c>
      <c r="K14" t="s">
        <v>3</v>
      </c>
      <c r="L14" s="4">
        <f t="shared" si="9"/>
        <v>1</v>
      </c>
      <c r="M14" s="4">
        <f t="shared" si="6"/>
        <v>138.12983602393803</v>
      </c>
      <c r="N14" s="4">
        <v>16</v>
      </c>
    </row>
    <row r="15" spans="2:26" x14ac:dyDescent="0.35">
      <c r="B15" s="4">
        <v>0</v>
      </c>
      <c r="C15">
        <v>4</v>
      </c>
      <c r="D15" t="str">
        <f t="shared" si="0"/>
        <v>Jolly Rancher Range</v>
      </c>
      <c r="E15" s="4">
        <f t="shared" si="1"/>
        <v>36.4</v>
      </c>
      <c r="F15" s="4">
        <f t="shared" si="2"/>
        <v>-91.86</v>
      </c>
      <c r="G15">
        <v>7</v>
      </c>
      <c r="H15" t="str">
        <f t="shared" si="3"/>
        <v>Sugar Swirl Spires</v>
      </c>
      <c r="I15" s="4">
        <f t="shared" si="4"/>
        <v>36.67</v>
      </c>
      <c r="J15" s="4">
        <f t="shared" si="5"/>
        <v>-88.05</v>
      </c>
      <c r="K15" t="s">
        <v>3</v>
      </c>
      <c r="L15" s="4">
        <f t="shared" si="9"/>
        <v>1</v>
      </c>
      <c r="M15" s="4">
        <f t="shared" si="6"/>
        <v>128.58645729624874</v>
      </c>
      <c r="N15" s="4">
        <v>16</v>
      </c>
    </row>
    <row r="16" spans="2:26" x14ac:dyDescent="0.35">
      <c r="B16" s="4">
        <v>0</v>
      </c>
      <c r="C16">
        <v>5</v>
      </c>
      <c r="D16" t="str">
        <f t="shared" si="0"/>
        <v>Rainbow Ribbon Roads</v>
      </c>
      <c r="E16" s="4">
        <f t="shared" si="1"/>
        <v>44.43</v>
      </c>
      <c r="F16" s="4">
        <f t="shared" si="2"/>
        <v>-85.51</v>
      </c>
      <c r="G16">
        <v>1</v>
      </c>
      <c r="H16" t="str">
        <f t="shared" si="3"/>
        <v>Cinnamon Swamp</v>
      </c>
      <c r="I16" s="4">
        <f t="shared" si="4"/>
        <v>37.5</v>
      </c>
      <c r="J16" s="4">
        <f t="shared" si="5"/>
        <v>-102.5</v>
      </c>
      <c r="K16" t="s">
        <v>3</v>
      </c>
      <c r="L16" s="4">
        <f t="shared" si="9"/>
        <v>1</v>
      </c>
      <c r="M16" s="4">
        <f t="shared" si="6"/>
        <v>124.17777659468703</v>
      </c>
      <c r="N16" s="4">
        <v>10</v>
      </c>
    </row>
    <row r="17" spans="2:27" x14ac:dyDescent="0.35">
      <c r="B17" s="4">
        <v>0</v>
      </c>
      <c r="C17">
        <v>5</v>
      </c>
      <c r="D17" t="str">
        <f t="shared" si="0"/>
        <v>Rainbow Ribbon Roads</v>
      </c>
      <c r="E17" s="4">
        <f t="shared" si="1"/>
        <v>44.43</v>
      </c>
      <c r="F17" s="4">
        <f t="shared" si="2"/>
        <v>-85.51</v>
      </c>
      <c r="G17">
        <v>2</v>
      </c>
      <c r="H17" t="str">
        <f t="shared" si="3"/>
        <v>Coconut Cream Cove</v>
      </c>
      <c r="I17" s="4">
        <f t="shared" si="4"/>
        <v>33.020000000000003</v>
      </c>
      <c r="J17" s="4">
        <f t="shared" si="5"/>
        <v>-103.15</v>
      </c>
      <c r="K17" t="s">
        <v>5</v>
      </c>
      <c r="L17" s="4">
        <f t="shared" si="9"/>
        <v>1</v>
      </c>
      <c r="M17" s="4">
        <f t="shared" si="6"/>
        <v>119.83543090421963</v>
      </c>
      <c r="N17" s="4">
        <v>13</v>
      </c>
    </row>
    <row r="18" spans="2:27" x14ac:dyDescent="0.35">
      <c r="B18" s="4">
        <v>0</v>
      </c>
      <c r="C18">
        <v>5</v>
      </c>
      <c r="D18" t="str">
        <f t="shared" si="0"/>
        <v>Rainbow Ribbon Roads</v>
      </c>
      <c r="E18" s="4">
        <f t="shared" si="1"/>
        <v>44.43</v>
      </c>
      <c r="F18" s="4">
        <f t="shared" si="2"/>
        <v>-85.51</v>
      </c>
      <c r="G18">
        <v>7</v>
      </c>
      <c r="H18" t="str">
        <f t="shared" si="3"/>
        <v>Sugar Swirl Spires</v>
      </c>
      <c r="I18" s="4">
        <f t="shared" si="4"/>
        <v>36.67</v>
      </c>
      <c r="J18" s="4">
        <f t="shared" si="5"/>
        <v>-88.05</v>
      </c>
      <c r="K18" t="s">
        <v>3</v>
      </c>
      <c r="L18" s="4">
        <f t="shared" si="9"/>
        <v>1</v>
      </c>
      <c r="M18" s="4">
        <f t="shared" si="6"/>
        <v>122.20639917778448</v>
      </c>
      <c r="N18" s="4">
        <v>19</v>
      </c>
      <c r="V18" t="s">
        <v>24</v>
      </c>
      <c r="W18" t="s">
        <v>23</v>
      </c>
      <c r="X18" t="s">
        <v>22</v>
      </c>
      <c r="Y18" t="s">
        <v>21</v>
      </c>
      <c r="Z18" t="s">
        <v>20</v>
      </c>
      <c r="AA18" t="s">
        <v>19</v>
      </c>
    </row>
    <row r="19" spans="2:27" x14ac:dyDescent="0.35">
      <c r="B19" s="4">
        <v>0</v>
      </c>
      <c r="C19">
        <v>6</v>
      </c>
      <c r="D19" t="str">
        <f t="shared" si="0"/>
        <v>Soda Pop Springs</v>
      </c>
      <c r="E19" s="4">
        <f t="shared" si="1"/>
        <v>43.51</v>
      </c>
      <c r="F19" s="4">
        <f t="shared" si="2"/>
        <v>-92.69</v>
      </c>
      <c r="G19">
        <v>1</v>
      </c>
      <c r="H19" t="str">
        <f t="shared" si="3"/>
        <v>Cinnamon Swamp</v>
      </c>
      <c r="I19" s="4">
        <f t="shared" si="4"/>
        <v>37.5</v>
      </c>
      <c r="J19" s="4">
        <f t="shared" si="5"/>
        <v>-102.5</v>
      </c>
      <c r="K19" t="s">
        <v>1</v>
      </c>
      <c r="L19" s="4">
        <f t="shared" si="9"/>
        <v>1</v>
      </c>
      <c r="M19" s="4">
        <f t="shared" si="6"/>
        <v>130.55907551756025</v>
      </c>
      <c r="N19" s="4">
        <v>13</v>
      </c>
      <c r="V19">
        <v>1</v>
      </c>
      <c r="W19" t="s">
        <v>18</v>
      </c>
      <c r="X19">
        <v>37.5</v>
      </c>
      <c r="Y19">
        <v>-102.5</v>
      </c>
      <c r="Z19">
        <v>8606</v>
      </c>
    </row>
    <row r="20" spans="2:27" x14ac:dyDescent="0.35">
      <c r="B20" s="4">
        <v>1487</v>
      </c>
      <c r="C20">
        <v>6</v>
      </c>
      <c r="D20" t="str">
        <f t="shared" si="0"/>
        <v>Soda Pop Springs</v>
      </c>
      <c r="E20" s="4">
        <f t="shared" si="1"/>
        <v>43.51</v>
      </c>
      <c r="F20" s="4">
        <f t="shared" si="2"/>
        <v>-92.69</v>
      </c>
      <c r="G20">
        <v>2</v>
      </c>
      <c r="H20" t="str">
        <f t="shared" si="3"/>
        <v>Coconut Cream Cove</v>
      </c>
      <c r="I20" s="4">
        <f t="shared" si="4"/>
        <v>33.020000000000003</v>
      </c>
      <c r="J20" s="4">
        <f t="shared" si="5"/>
        <v>-103.15</v>
      </c>
      <c r="K20" t="s">
        <v>5</v>
      </c>
      <c r="L20" s="4">
        <f t="shared" si="9"/>
        <v>1</v>
      </c>
      <c r="M20" s="4">
        <f t="shared" si="6"/>
        <v>126.14442397506123</v>
      </c>
      <c r="N20" s="4">
        <v>11</v>
      </c>
      <c r="V20">
        <v>2</v>
      </c>
      <c r="W20" t="s">
        <v>17</v>
      </c>
      <c r="X20">
        <v>33.020000000000003</v>
      </c>
      <c r="Y20">
        <v>-103.15</v>
      </c>
      <c r="AA20">
        <v>1487</v>
      </c>
    </row>
    <row r="21" spans="2:27" x14ac:dyDescent="0.35">
      <c r="B21" s="4">
        <v>0</v>
      </c>
      <c r="C21">
        <v>6</v>
      </c>
      <c r="D21" t="str">
        <f t="shared" si="0"/>
        <v>Soda Pop Springs</v>
      </c>
      <c r="E21" s="4">
        <f t="shared" si="1"/>
        <v>43.51</v>
      </c>
      <c r="F21" s="4">
        <f t="shared" si="2"/>
        <v>-92.69</v>
      </c>
      <c r="G21">
        <v>3</v>
      </c>
      <c r="H21" t="str">
        <f t="shared" si="3"/>
        <v>Funfetti Fields</v>
      </c>
      <c r="I21" s="4">
        <f t="shared" si="4"/>
        <v>43.26</v>
      </c>
      <c r="J21" s="4">
        <f t="shared" si="5"/>
        <v>-101.4</v>
      </c>
      <c r="K21" t="s">
        <v>0</v>
      </c>
      <c r="L21" s="4">
        <f t="shared" si="9"/>
        <v>1</v>
      </c>
      <c r="M21" s="4">
        <f t="shared" si="6"/>
        <v>136.22872898181203</v>
      </c>
      <c r="N21" s="4">
        <v>7</v>
      </c>
      <c r="V21">
        <v>3</v>
      </c>
      <c r="W21" t="s">
        <v>16</v>
      </c>
      <c r="X21">
        <v>43.26</v>
      </c>
      <c r="Y21">
        <v>-101.4</v>
      </c>
      <c r="AA21">
        <v>1890</v>
      </c>
    </row>
    <row r="22" spans="2:27" x14ac:dyDescent="0.35">
      <c r="B22" s="4">
        <v>1298</v>
      </c>
      <c r="C22">
        <v>6</v>
      </c>
      <c r="D22" t="str">
        <f t="shared" si="0"/>
        <v>Soda Pop Springs</v>
      </c>
      <c r="E22" s="4">
        <f t="shared" si="1"/>
        <v>43.51</v>
      </c>
      <c r="F22" s="4">
        <f t="shared" si="2"/>
        <v>-92.69</v>
      </c>
      <c r="G22">
        <v>4</v>
      </c>
      <c r="H22" t="str">
        <f t="shared" si="3"/>
        <v>Jolly Rancher Range</v>
      </c>
      <c r="I22" s="4">
        <f t="shared" si="4"/>
        <v>36.4</v>
      </c>
      <c r="J22" s="4">
        <f t="shared" si="5"/>
        <v>-91.86</v>
      </c>
      <c r="K22" t="s">
        <v>4</v>
      </c>
      <c r="L22" s="4">
        <f t="shared" si="9"/>
        <v>0</v>
      </c>
      <c r="M22" s="4">
        <f t="shared" si="6"/>
        <v>129.09266826586241</v>
      </c>
      <c r="N22" s="4">
        <v>23</v>
      </c>
      <c r="V22">
        <v>4</v>
      </c>
      <c r="W22" t="s">
        <v>15</v>
      </c>
      <c r="X22">
        <v>36.4</v>
      </c>
      <c r="Y22">
        <v>-91.86</v>
      </c>
      <c r="AA22">
        <v>1298</v>
      </c>
    </row>
    <row r="23" spans="2:27" x14ac:dyDescent="0.35">
      <c r="B23" s="4">
        <v>1426</v>
      </c>
      <c r="C23">
        <v>6</v>
      </c>
      <c r="D23" t="str">
        <f t="shared" si="0"/>
        <v>Soda Pop Springs</v>
      </c>
      <c r="E23" s="4">
        <f t="shared" si="1"/>
        <v>43.51</v>
      </c>
      <c r="F23" s="4">
        <f t="shared" si="2"/>
        <v>-92.69</v>
      </c>
      <c r="G23">
        <v>5</v>
      </c>
      <c r="H23" t="str">
        <f t="shared" si="3"/>
        <v>Rainbow Ribbon Roads</v>
      </c>
      <c r="I23" s="4">
        <f t="shared" si="4"/>
        <v>44.43</v>
      </c>
      <c r="J23" s="4">
        <f t="shared" si="5"/>
        <v>-85.51</v>
      </c>
      <c r="K23" t="s">
        <v>3</v>
      </c>
      <c r="L23" s="4">
        <f t="shared" si="9"/>
        <v>1</v>
      </c>
      <c r="M23" s="4">
        <f t="shared" si="6"/>
        <v>137.3078541089329</v>
      </c>
      <c r="N23" s="4">
        <v>6</v>
      </c>
      <c r="V23">
        <v>5</v>
      </c>
      <c r="W23" t="s">
        <v>14</v>
      </c>
      <c r="X23">
        <v>44.43</v>
      </c>
      <c r="Y23">
        <v>-85.51</v>
      </c>
      <c r="AA23">
        <v>1426</v>
      </c>
    </row>
    <row r="24" spans="2:27" x14ac:dyDescent="0.35">
      <c r="B24" s="4">
        <v>0</v>
      </c>
      <c r="C24">
        <v>6</v>
      </c>
      <c r="D24" t="str">
        <f t="shared" si="0"/>
        <v>Soda Pop Springs</v>
      </c>
      <c r="E24" s="4">
        <f t="shared" si="1"/>
        <v>43.51</v>
      </c>
      <c r="F24" s="4">
        <f t="shared" si="2"/>
        <v>-92.69</v>
      </c>
      <c r="G24">
        <v>7</v>
      </c>
      <c r="H24" t="str">
        <f t="shared" si="3"/>
        <v>Sugar Swirl Spires</v>
      </c>
      <c r="I24" s="4">
        <f t="shared" si="4"/>
        <v>36.67</v>
      </c>
      <c r="J24" s="4">
        <f t="shared" si="5"/>
        <v>-88.05</v>
      </c>
      <c r="K24" t="s">
        <v>0</v>
      </c>
      <c r="L24" s="4">
        <f t="shared" si="9"/>
        <v>1</v>
      </c>
      <c r="M24" s="4">
        <f t="shared" si="6"/>
        <v>129.44318908308776</v>
      </c>
      <c r="N24" s="4">
        <v>24</v>
      </c>
      <c r="V24">
        <v>6</v>
      </c>
      <c r="W24" t="s">
        <v>13</v>
      </c>
      <c r="X24">
        <v>43.51</v>
      </c>
      <c r="Y24">
        <v>-92.69</v>
      </c>
      <c r="AA24">
        <v>1266</v>
      </c>
    </row>
    <row r="25" spans="2:27" x14ac:dyDescent="0.35">
      <c r="B25" s="4">
        <v>0</v>
      </c>
      <c r="C25">
        <v>7</v>
      </c>
      <c r="D25" t="str">
        <f t="shared" si="0"/>
        <v>Sugar Swirl Spires</v>
      </c>
      <c r="E25" s="4">
        <f t="shared" si="1"/>
        <v>36.67</v>
      </c>
      <c r="F25" s="4">
        <f t="shared" si="2"/>
        <v>-88.05</v>
      </c>
      <c r="G25">
        <v>1</v>
      </c>
      <c r="H25" t="str">
        <f t="shared" si="3"/>
        <v>Cinnamon Swamp</v>
      </c>
      <c r="I25" s="4">
        <f t="shared" si="4"/>
        <v>37.5</v>
      </c>
      <c r="J25" s="4">
        <f t="shared" si="5"/>
        <v>-102.5</v>
      </c>
      <c r="K25" t="s">
        <v>2</v>
      </c>
      <c r="L25" s="4">
        <f t="shared" si="9"/>
        <v>0</v>
      </c>
      <c r="M25" s="4">
        <f t="shared" si="6"/>
        <v>126.37881547158131</v>
      </c>
      <c r="N25" s="4">
        <v>18</v>
      </c>
      <c r="V25">
        <v>7</v>
      </c>
      <c r="W25" t="s">
        <v>12</v>
      </c>
      <c r="X25">
        <v>36.67</v>
      </c>
      <c r="Y25">
        <v>-88.05</v>
      </c>
      <c r="AA25">
        <v>1239</v>
      </c>
    </row>
    <row r="26" spans="2:27" x14ac:dyDescent="0.35">
      <c r="B26" s="4">
        <v>0</v>
      </c>
      <c r="C26">
        <v>7</v>
      </c>
      <c r="D26" t="str">
        <f t="shared" si="0"/>
        <v>Sugar Swirl Spires</v>
      </c>
      <c r="E26" s="4">
        <f t="shared" si="1"/>
        <v>36.67</v>
      </c>
      <c r="F26" s="4">
        <f t="shared" si="2"/>
        <v>-88.05</v>
      </c>
      <c r="G26">
        <v>2</v>
      </c>
      <c r="H26" t="str">
        <f t="shared" si="3"/>
        <v>Coconut Cream Cove</v>
      </c>
      <c r="I26" s="4">
        <f t="shared" si="4"/>
        <v>33.020000000000003</v>
      </c>
      <c r="J26" s="4">
        <f t="shared" si="5"/>
        <v>-103.15</v>
      </c>
      <c r="K26" t="s">
        <v>1</v>
      </c>
      <c r="L26" s="4">
        <f t="shared" si="9"/>
        <v>1</v>
      </c>
      <c r="M26" s="4">
        <f t="shared" si="6"/>
        <v>122.00801162218815</v>
      </c>
      <c r="N26" s="4">
        <v>6</v>
      </c>
    </row>
    <row r="27" spans="2:27" x14ac:dyDescent="0.35">
      <c r="B27" s="4">
        <v>0</v>
      </c>
      <c r="C27">
        <v>7</v>
      </c>
      <c r="D27" t="str">
        <f t="shared" si="0"/>
        <v>Sugar Swirl Spires</v>
      </c>
      <c r="E27" s="4">
        <f t="shared" si="1"/>
        <v>36.67</v>
      </c>
      <c r="F27" s="4">
        <f t="shared" si="2"/>
        <v>-88.05</v>
      </c>
      <c r="G27">
        <v>3</v>
      </c>
      <c r="H27" t="str">
        <f t="shared" si="3"/>
        <v>Funfetti Fields</v>
      </c>
      <c r="I27" s="4">
        <f t="shared" si="4"/>
        <v>43.26</v>
      </c>
      <c r="J27" s="4">
        <f t="shared" si="5"/>
        <v>-101.4</v>
      </c>
      <c r="K27" t="s">
        <v>0</v>
      </c>
      <c r="L27" s="4">
        <f t="shared" si="9"/>
        <v>1</v>
      </c>
      <c r="M27" s="4">
        <f t="shared" si="6"/>
        <v>131.98688798513282</v>
      </c>
      <c r="N27" s="4">
        <v>5</v>
      </c>
    </row>
  </sheetData>
  <mergeCells count="2">
    <mergeCell ref="D2:F2"/>
    <mergeCell ref="G2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2F755-4B12-4319-93AC-E37A66EACB10}">
  <dimension ref="B2:Y27"/>
  <sheetViews>
    <sheetView zoomScale="80" zoomScaleNormal="80" workbookViewId="0">
      <selection activeCell="O2" sqref="O2"/>
    </sheetView>
  </sheetViews>
  <sheetFormatPr defaultRowHeight="14.5" x14ac:dyDescent="0.35"/>
  <cols>
    <col min="1" max="1" width="14.7265625" bestFit="1" customWidth="1"/>
    <col min="2" max="2" width="14.90625" bestFit="1" customWidth="1"/>
    <col min="3" max="3" width="1.81640625" bestFit="1" customWidth="1"/>
    <col min="4" max="4" width="20.1796875" bestFit="1" customWidth="1"/>
    <col min="5" max="5" width="6.08984375" bestFit="1" customWidth="1"/>
    <col min="6" max="6" width="7.81640625" bestFit="1" customWidth="1"/>
    <col min="7" max="7" width="2" bestFit="1" customWidth="1"/>
    <col min="8" max="8" width="20.36328125" bestFit="1" customWidth="1"/>
    <col min="9" max="9" width="6.08984375" bestFit="1" customWidth="1"/>
    <col min="10" max="10" width="5.1796875" bestFit="1" customWidth="1"/>
    <col min="11" max="11" width="11.453125" customWidth="1"/>
    <col min="12" max="12" width="17.81640625" customWidth="1"/>
    <col min="13" max="13" width="16.1796875" bestFit="1" customWidth="1"/>
    <col min="14" max="15" width="16.54296875" bestFit="1" customWidth="1"/>
    <col min="16" max="16" width="12.08984375" bestFit="1" customWidth="1"/>
    <col min="17" max="17" width="9" customWidth="1"/>
    <col min="18" max="18" width="20.1796875" bestFit="1" customWidth="1"/>
    <col min="19" max="19" width="1.81640625" bestFit="1" customWidth="1"/>
    <col min="20" max="20" width="20.1796875" bestFit="1" customWidth="1"/>
    <col min="21" max="21" width="9.1796875" customWidth="1"/>
    <col min="22" max="22" width="14.36328125" bestFit="1" customWidth="1"/>
    <col min="24" max="24" width="14.36328125" bestFit="1" customWidth="1"/>
  </cols>
  <sheetData>
    <row r="2" spans="2:24" ht="15" thickBot="1" x14ac:dyDescent="0.4">
      <c r="B2" s="21"/>
      <c r="C2" s="17"/>
      <c r="D2" s="55" t="s">
        <v>28</v>
      </c>
      <c r="E2" s="55"/>
      <c r="F2" s="55"/>
      <c r="G2" s="56" t="s">
        <v>29</v>
      </c>
      <c r="H2" s="56"/>
      <c r="I2" s="56"/>
      <c r="J2" s="56"/>
      <c r="K2" s="20"/>
      <c r="L2" s="21"/>
      <c r="N2" s="3" t="s">
        <v>35</v>
      </c>
      <c r="O2" s="22">
        <f>SUMPRODUCT(B4:B27,K4:K27)</f>
        <v>1785593.6808288898</v>
      </c>
    </row>
    <row r="3" spans="2:24" ht="15" thickBot="1" x14ac:dyDescent="0.4">
      <c r="B3" s="20" t="s">
        <v>31</v>
      </c>
      <c r="C3" s="18"/>
      <c r="D3" s="18" t="s">
        <v>37</v>
      </c>
      <c r="E3" s="18" t="s">
        <v>39</v>
      </c>
      <c r="F3" s="18" t="s">
        <v>38</v>
      </c>
      <c r="G3" s="19"/>
      <c r="H3" s="19" t="s">
        <v>37</v>
      </c>
      <c r="I3" s="19" t="s">
        <v>39</v>
      </c>
      <c r="J3" s="19" t="s">
        <v>38</v>
      </c>
      <c r="K3" s="20" t="s">
        <v>36</v>
      </c>
      <c r="L3" s="20" t="s">
        <v>30</v>
      </c>
      <c r="S3" s="15"/>
      <c r="T3" s="16" t="s">
        <v>26</v>
      </c>
      <c r="U3" s="13" t="s">
        <v>27</v>
      </c>
      <c r="V3" s="13" t="s">
        <v>32</v>
      </c>
      <c r="W3" s="13" t="s">
        <v>33</v>
      </c>
      <c r="X3" s="14" t="s">
        <v>34</v>
      </c>
    </row>
    <row r="4" spans="2:24" x14ac:dyDescent="0.35">
      <c r="B4" s="4">
        <v>1890</v>
      </c>
      <c r="C4">
        <v>1</v>
      </c>
      <c r="D4" t="str">
        <f t="shared" ref="D4:D27" si="0">_xlfn.XLOOKUP(C4,$T$19:$T$25,$U$19:$U$25)</f>
        <v>Cinnamon Swamp</v>
      </c>
      <c r="E4" s="4">
        <f t="shared" ref="E4:E27" si="1">_xlfn.XLOOKUP(C4,$T$19:$T$25,$V$19:$V$25)</f>
        <v>37.5</v>
      </c>
      <c r="F4" s="4">
        <f t="shared" ref="F4:F27" si="2">_xlfn.XLOOKUP(C4,$T$19:$T$25,$W$19:$W$25)</f>
        <v>-102.5</v>
      </c>
      <c r="G4">
        <v>3</v>
      </c>
      <c r="H4" t="str">
        <f t="shared" ref="H4:H27" si="3">_xlfn.XLOOKUP(G4,$T$19:$T$25,$U$19:$U$25)</f>
        <v>Funfetti Fields</v>
      </c>
      <c r="I4" s="4">
        <f t="shared" ref="I4:I27" si="4">_xlfn.XLOOKUP(G4,$T$19:$T$25,$V$19:$V$25)</f>
        <v>43.26</v>
      </c>
      <c r="J4" s="4">
        <f t="shared" ref="J4:J27" si="5">_xlfn.XLOOKUP(G4,$T$19:$T$25,$W$19:$W$25)</f>
        <v>-101.4</v>
      </c>
      <c r="K4" s="4">
        <f t="shared" ref="K4:K27" si="6">SQRT((I4-F4)^2+(J4-F4)^2)</f>
        <v>145.76415059952154</v>
      </c>
      <c r="L4" s="4">
        <v>22</v>
      </c>
      <c r="S4" s="5">
        <v>1</v>
      </c>
      <c r="T4" s="1" t="str">
        <f t="shared" ref="T4:T10" si="7">_xlfn.XLOOKUP(S4,$T$19:$T$25,$U$19:$U$25)</f>
        <v>Cinnamon Swamp</v>
      </c>
      <c r="U4" s="4">
        <f t="shared" ref="U4:U10" si="8">SUMIF($G$4:$G$27,S4,$B$4:$B$27)</f>
        <v>0</v>
      </c>
      <c r="V4" s="4" cm="1">
        <f t="array" ref="V4:V10">SUMIF(C4:C27,S4:S10,B4:B27)</f>
        <v>8606</v>
      </c>
      <c r="W4" s="4">
        <f>U4-V4</f>
        <v>-8606</v>
      </c>
      <c r="X4" s="6">
        <v>-8606</v>
      </c>
    </row>
    <row r="5" spans="2:24" x14ac:dyDescent="0.35">
      <c r="B5" s="4">
        <v>3990</v>
      </c>
      <c r="C5">
        <v>1</v>
      </c>
      <c r="D5" t="str">
        <f t="shared" si="0"/>
        <v>Cinnamon Swamp</v>
      </c>
      <c r="E5" s="4">
        <f t="shared" si="1"/>
        <v>37.5</v>
      </c>
      <c r="F5" s="4">
        <f t="shared" si="2"/>
        <v>-102.5</v>
      </c>
      <c r="G5">
        <v>6</v>
      </c>
      <c r="H5" t="str">
        <f t="shared" si="3"/>
        <v>Soda Pop Springs</v>
      </c>
      <c r="I5" s="4">
        <f t="shared" si="4"/>
        <v>43.51</v>
      </c>
      <c r="J5" s="4">
        <f t="shared" si="5"/>
        <v>-92.69</v>
      </c>
      <c r="K5" s="4">
        <f t="shared" si="6"/>
        <v>146.33918203953442</v>
      </c>
      <c r="L5" s="4">
        <v>8</v>
      </c>
      <c r="S5" s="5">
        <v>2</v>
      </c>
      <c r="T5" s="1" t="str">
        <f t="shared" si="7"/>
        <v>Coconut Cream Cove</v>
      </c>
      <c r="U5" s="4">
        <f t="shared" si="8"/>
        <v>1487</v>
      </c>
      <c r="V5" s="4">
        <v>0</v>
      </c>
      <c r="W5" s="4">
        <f t="shared" ref="W5:W10" si="9">U5-V5</f>
        <v>1487</v>
      </c>
      <c r="X5" s="6">
        <v>1487</v>
      </c>
    </row>
    <row r="6" spans="2:24" x14ac:dyDescent="0.35">
      <c r="B6" s="4">
        <v>2726</v>
      </c>
      <c r="C6">
        <v>1</v>
      </c>
      <c r="D6" t="str">
        <f t="shared" si="0"/>
        <v>Cinnamon Swamp</v>
      </c>
      <c r="E6" s="4">
        <f t="shared" si="1"/>
        <v>37.5</v>
      </c>
      <c r="F6" s="4">
        <f t="shared" si="2"/>
        <v>-102.5</v>
      </c>
      <c r="G6">
        <v>7</v>
      </c>
      <c r="H6" t="str">
        <f t="shared" si="3"/>
        <v>Sugar Swirl Spires</v>
      </c>
      <c r="I6" s="4">
        <f t="shared" si="4"/>
        <v>36.67</v>
      </c>
      <c r="J6" s="4">
        <f t="shared" si="5"/>
        <v>-88.05</v>
      </c>
      <c r="K6" s="4">
        <f t="shared" si="6"/>
        <v>139.91815965056145</v>
      </c>
      <c r="L6" s="4">
        <v>12</v>
      </c>
      <c r="S6" s="5">
        <v>3</v>
      </c>
      <c r="T6" s="1" t="str">
        <f t="shared" si="7"/>
        <v>Funfetti Fields</v>
      </c>
      <c r="U6" s="4">
        <f t="shared" si="8"/>
        <v>1890</v>
      </c>
      <c r="V6" s="4">
        <v>0</v>
      </c>
      <c r="W6" s="4">
        <f t="shared" si="9"/>
        <v>1890</v>
      </c>
      <c r="X6" s="6">
        <v>1890</v>
      </c>
    </row>
    <row r="7" spans="2:24" x14ac:dyDescent="0.35">
      <c r="B7" s="4">
        <v>0</v>
      </c>
      <c r="C7">
        <v>2</v>
      </c>
      <c r="D7" t="str">
        <f t="shared" si="0"/>
        <v>Coconut Cream Cove</v>
      </c>
      <c r="E7" s="4">
        <f t="shared" si="1"/>
        <v>33.020000000000003</v>
      </c>
      <c r="F7" s="4">
        <f t="shared" si="2"/>
        <v>-103.15</v>
      </c>
      <c r="G7">
        <v>1</v>
      </c>
      <c r="H7" t="str">
        <f t="shared" si="3"/>
        <v>Cinnamon Swamp</v>
      </c>
      <c r="I7" s="4">
        <f t="shared" si="4"/>
        <v>37.5</v>
      </c>
      <c r="J7" s="4">
        <f t="shared" si="5"/>
        <v>-102.5</v>
      </c>
      <c r="K7" s="4">
        <f t="shared" si="6"/>
        <v>140.65150194718862</v>
      </c>
      <c r="L7" s="4">
        <v>9</v>
      </c>
      <c r="S7" s="5">
        <v>4</v>
      </c>
      <c r="T7" s="1" t="str">
        <f t="shared" si="7"/>
        <v>Jolly Rancher Range</v>
      </c>
      <c r="U7" s="4">
        <f t="shared" si="8"/>
        <v>1298</v>
      </c>
      <c r="V7" s="4">
        <v>0</v>
      </c>
      <c r="W7" s="4">
        <f t="shared" si="9"/>
        <v>1298</v>
      </c>
      <c r="X7" s="6">
        <v>1298</v>
      </c>
    </row>
    <row r="8" spans="2:24" x14ac:dyDescent="0.35">
      <c r="B8" s="4">
        <v>0</v>
      </c>
      <c r="C8">
        <v>2</v>
      </c>
      <c r="D8" t="str">
        <f t="shared" si="0"/>
        <v>Coconut Cream Cove</v>
      </c>
      <c r="E8" s="4">
        <f t="shared" si="1"/>
        <v>33.020000000000003</v>
      </c>
      <c r="F8" s="4">
        <f t="shared" si="2"/>
        <v>-103.15</v>
      </c>
      <c r="G8">
        <v>3</v>
      </c>
      <c r="H8" t="str">
        <f t="shared" si="3"/>
        <v>Funfetti Fields</v>
      </c>
      <c r="I8" s="4">
        <f t="shared" si="4"/>
        <v>43.26</v>
      </c>
      <c r="J8" s="4">
        <f t="shared" si="5"/>
        <v>-101.4</v>
      </c>
      <c r="K8" s="4">
        <f t="shared" si="6"/>
        <v>146.4204582700109</v>
      </c>
      <c r="L8" s="4">
        <v>11</v>
      </c>
      <c r="S8" s="5">
        <v>5</v>
      </c>
      <c r="T8" s="1" t="str">
        <f t="shared" si="7"/>
        <v>Rainbow Ribbon Roads</v>
      </c>
      <c r="U8" s="4">
        <f t="shared" si="8"/>
        <v>1426</v>
      </c>
      <c r="V8" s="4">
        <v>0</v>
      </c>
      <c r="W8" s="4">
        <f t="shared" si="9"/>
        <v>1426</v>
      </c>
      <c r="X8" s="6">
        <v>1426</v>
      </c>
    </row>
    <row r="9" spans="2:24" x14ac:dyDescent="0.35">
      <c r="B9" s="4">
        <v>0</v>
      </c>
      <c r="C9">
        <v>2</v>
      </c>
      <c r="D9" t="str">
        <f t="shared" si="0"/>
        <v>Coconut Cream Cove</v>
      </c>
      <c r="E9" s="4">
        <f t="shared" si="1"/>
        <v>33.020000000000003</v>
      </c>
      <c r="F9" s="4">
        <f t="shared" si="2"/>
        <v>-103.15</v>
      </c>
      <c r="G9">
        <v>4</v>
      </c>
      <c r="H9" t="str">
        <f t="shared" si="3"/>
        <v>Jolly Rancher Range</v>
      </c>
      <c r="I9" s="4">
        <f t="shared" si="4"/>
        <v>36.4</v>
      </c>
      <c r="J9" s="4">
        <f t="shared" si="5"/>
        <v>-91.86</v>
      </c>
      <c r="K9" s="4">
        <f t="shared" si="6"/>
        <v>140.00595201633394</v>
      </c>
      <c r="L9" s="4">
        <v>13</v>
      </c>
      <c r="S9" s="5">
        <v>6</v>
      </c>
      <c r="T9" s="1" t="str">
        <f t="shared" si="7"/>
        <v>Soda Pop Springs</v>
      </c>
      <c r="U9" s="4">
        <f t="shared" si="8"/>
        <v>3990</v>
      </c>
      <c r="V9" s="4">
        <v>2724</v>
      </c>
      <c r="W9" s="4">
        <f t="shared" si="9"/>
        <v>1266</v>
      </c>
      <c r="X9" s="6">
        <v>1266</v>
      </c>
    </row>
    <row r="10" spans="2:24" ht="15" thickBot="1" x14ac:dyDescent="0.4">
      <c r="B10" s="4">
        <v>0</v>
      </c>
      <c r="C10">
        <v>2</v>
      </c>
      <c r="D10" t="str">
        <f t="shared" si="0"/>
        <v>Coconut Cream Cove</v>
      </c>
      <c r="E10" s="4">
        <f t="shared" si="1"/>
        <v>33.020000000000003</v>
      </c>
      <c r="F10" s="4">
        <f t="shared" si="2"/>
        <v>-103.15</v>
      </c>
      <c r="G10">
        <v>5</v>
      </c>
      <c r="H10" t="str">
        <f t="shared" si="3"/>
        <v>Rainbow Ribbon Roads</v>
      </c>
      <c r="I10" s="4">
        <f t="shared" si="4"/>
        <v>44.43</v>
      </c>
      <c r="J10" s="4">
        <f t="shared" si="5"/>
        <v>-85.51</v>
      </c>
      <c r="K10" s="4">
        <f t="shared" si="6"/>
        <v>148.63050158026113</v>
      </c>
      <c r="L10" s="4">
        <v>5</v>
      </c>
      <c r="S10" s="7">
        <v>7</v>
      </c>
      <c r="T10" s="12" t="str">
        <f t="shared" si="7"/>
        <v>Sugar Swirl Spires</v>
      </c>
      <c r="U10" s="9">
        <f t="shared" si="8"/>
        <v>2726</v>
      </c>
      <c r="V10" s="9">
        <v>1487</v>
      </c>
      <c r="W10" s="9">
        <f t="shared" si="9"/>
        <v>1239</v>
      </c>
      <c r="X10" s="10">
        <v>1239</v>
      </c>
    </row>
    <row r="11" spans="2:24" x14ac:dyDescent="0.35">
      <c r="B11" s="4">
        <v>0</v>
      </c>
      <c r="C11">
        <v>2</v>
      </c>
      <c r="D11" t="str">
        <f t="shared" si="0"/>
        <v>Coconut Cream Cove</v>
      </c>
      <c r="E11" s="4">
        <f t="shared" si="1"/>
        <v>33.020000000000003</v>
      </c>
      <c r="F11" s="4">
        <f t="shared" si="2"/>
        <v>-103.15</v>
      </c>
      <c r="G11">
        <v>6</v>
      </c>
      <c r="H11" t="str">
        <f t="shared" si="3"/>
        <v>Soda Pop Springs</v>
      </c>
      <c r="I11" s="4">
        <f t="shared" si="4"/>
        <v>43.51</v>
      </c>
      <c r="J11" s="4">
        <f t="shared" si="5"/>
        <v>-92.69</v>
      </c>
      <c r="K11" s="4">
        <f t="shared" si="6"/>
        <v>147.03253789552841</v>
      </c>
      <c r="L11" s="4">
        <v>24</v>
      </c>
    </row>
    <row r="12" spans="2:24" x14ac:dyDescent="0.35">
      <c r="B12" s="4">
        <v>0</v>
      </c>
      <c r="C12">
        <v>2</v>
      </c>
      <c r="D12" t="str">
        <f t="shared" si="0"/>
        <v>Coconut Cream Cove</v>
      </c>
      <c r="E12" s="4">
        <f t="shared" si="1"/>
        <v>33.020000000000003</v>
      </c>
      <c r="F12" s="4">
        <f t="shared" si="2"/>
        <v>-103.15</v>
      </c>
      <c r="G12">
        <v>7</v>
      </c>
      <c r="H12" t="str">
        <f t="shared" si="3"/>
        <v>Sugar Swirl Spires</v>
      </c>
      <c r="I12" s="4">
        <f t="shared" si="4"/>
        <v>36.67</v>
      </c>
      <c r="J12" s="4">
        <f t="shared" si="5"/>
        <v>-88.05</v>
      </c>
      <c r="K12" s="4">
        <f t="shared" si="6"/>
        <v>140.63300608320935</v>
      </c>
      <c r="L12" s="4">
        <v>18</v>
      </c>
    </row>
    <row r="13" spans="2:24" x14ac:dyDescent="0.35">
      <c r="B13" s="4">
        <v>0</v>
      </c>
      <c r="C13">
        <v>3</v>
      </c>
      <c r="D13" t="str">
        <f t="shared" si="0"/>
        <v>Funfetti Fields</v>
      </c>
      <c r="E13" s="4">
        <f t="shared" si="1"/>
        <v>43.26</v>
      </c>
      <c r="F13" s="4">
        <f t="shared" si="2"/>
        <v>-101.4</v>
      </c>
      <c r="G13">
        <v>1</v>
      </c>
      <c r="H13" t="str">
        <f t="shared" si="3"/>
        <v>Cinnamon Swamp</v>
      </c>
      <c r="I13" s="4">
        <f t="shared" si="4"/>
        <v>37.5</v>
      </c>
      <c r="J13" s="4">
        <f t="shared" si="5"/>
        <v>-102.5</v>
      </c>
      <c r="K13" s="4">
        <f t="shared" si="6"/>
        <v>138.90435558325737</v>
      </c>
      <c r="L13" s="4">
        <v>13</v>
      </c>
    </row>
    <row r="14" spans="2:24" x14ac:dyDescent="0.35">
      <c r="B14" s="4">
        <v>0</v>
      </c>
      <c r="C14">
        <v>3</v>
      </c>
      <c r="D14" t="str">
        <f t="shared" si="0"/>
        <v>Funfetti Fields</v>
      </c>
      <c r="E14" s="4">
        <f t="shared" si="1"/>
        <v>43.26</v>
      </c>
      <c r="F14" s="4">
        <f t="shared" si="2"/>
        <v>-101.4</v>
      </c>
      <c r="G14">
        <v>4</v>
      </c>
      <c r="H14" t="str">
        <f t="shared" si="3"/>
        <v>Jolly Rancher Range</v>
      </c>
      <c r="I14" s="4">
        <f t="shared" si="4"/>
        <v>36.4</v>
      </c>
      <c r="J14" s="4">
        <f t="shared" si="5"/>
        <v>-91.86</v>
      </c>
      <c r="K14" s="4">
        <f t="shared" si="6"/>
        <v>138.12983602393803</v>
      </c>
      <c r="L14" s="4">
        <v>16</v>
      </c>
    </row>
    <row r="15" spans="2:24" x14ac:dyDescent="0.35">
      <c r="B15" s="4">
        <v>0</v>
      </c>
      <c r="C15">
        <v>4</v>
      </c>
      <c r="D15" t="str">
        <f t="shared" si="0"/>
        <v>Jolly Rancher Range</v>
      </c>
      <c r="E15" s="4">
        <f t="shared" si="1"/>
        <v>36.4</v>
      </c>
      <c r="F15" s="4">
        <f t="shared" si="2"/>
        <v>-91.86</v>
      </c>
      <c r="G15">
        <v>7</v>
      </c>
      <c r="H15" t="str">
        <f t="shared" si="3"/>
        <v>Sugar Swirl Spires</v>
      </c>
      <c r="I15" s="4">
        <f t="shared" si="4"/>
        <v>36.67</v>
      </c>
      <c r="J15" s="4">
        <f t="shared" si="5"/>
        <v>-88.05</v>
      </c>
      <c r="K15" s="4">
        <f t="shared" si="6"/>
        <v>128.58645729624874</v>
      </c>
      <c r="L15" s="4">
        <v>16</v>
      </c>
    </row>
    <row r="16" spans="2:24" x14ac:dyDescent="0.35">
      <c r="B16" s="4">
        <v>0</v>
      </c>
      <c r="C16">
        <v>5</v>
      </c>
      <c r="D16" t="str">
        <f t="shared" si="0"/>
        <v>Rainbow Ribbon Roads</v>
      </c>
      <c r="E16" s="4">
        <f t="shared" si="1"/>
        <v>44.43</v>
      </c>
      <c r="F16" s="4">
        <f t="shared" si="2"/>
        <v>-85.51</v>
      </c>
      <c r="G16">
        <v>1</v>
      </c>
      <c r="H16" t="str">
        <f t="shared" si="3"/>
        <v>Cinnamon Swamp</v>
      </c>
      <c r="I16" s="4">
        <f t="shared" si="4"/>
        <v>37.5</v>
      </c>
      <c r="J16" s="4">
        <f t="shared" si="5"/>
        <v>-102.5</v>
      </c>
      <c r="K16" s="4">
        <f t="shared" si="6"/>
        <v>124.17777659468703</v>
      </c>
      <c r="L16" s="4">
        <v>10</v>
      </c>
    </row>
    <row r="17" spans="2:25" x14ac:dyDescent="0.35">
      <c r="B17" s="4">
        <v>0</v>
      </c>
      <c r="C17">
        <v>5</v>
      </c>
      <c r="D17" t="str">
        <f t="shared" si="0"/>
        <v>Rainbow Ribbon Roads</v>
      </c>
      <c r="E17" s="4">
        <f t="shared" si="1"/>
        <v>44.43</v>
      </c>
      <c r="F17" s="4">
        <f t="shared" si="2"/>
        <v>-85.51</v>
      </c>
      <c r="G17">
        <v>2</v>
      </c>
      <c r="H17" t="str">
        <f t="shared" si="3"/>
        <v>Coconut Cream Cove</v>
      </c>
      <c r="I17" s="4">
        <f t="shared" si="4"/>
        <v>33.020000000000003</v>
      </c>
      <c r="J17" s="4">
        <f t="shared" si="5"/>
        <v>-103.15</v>
      </c>
      <c r="K17" s="4">
        <f t="shared" si="6"/>
        <v>119.83543090421963</v>
      </c>
      <c r="L17" s="4">
        <v>13</v>
      </c>
    </row>
    <row r="18" spans="2:25" x14ac:dyDescent="0.35">
      <c r="B18" s="4">
        <v>0</v>
      </c>
      <c r="C18">
        <v>5</v>
      </c>
      <c r="D18" t="str">
        <f t="shared" si="0"/>
        <v>Rainbow Ribbon Roads</v>
      </c>
      <c r="E18" s="4">
        <f t="shared" si="1"/>
        <v>44.43</v>
      </c>
      <c r="F18" s="4">
        <f t="shared" si="2"/>
        <v>-85.51</v>
      </c>
      <c r="G18">
        <v>7</v>
      </c>
      <c r="H18" t="str">
        <f t="shared" si="3"/>
        <v>Sugar Swirl Spires</v>
      </c>
      <c r="I18" s="4">
        <f t="shared" si="4"/>
        <v>36.67</v>
      </c>
      <c r="J18" s="4">
        <f t="shared" si="5"/>
        <v>-88.05</v>
      </c>
      <c r="K18" s="4">
        <f t="shared" si="6"/>
        <v>122.20639917778448</v>
      </c>
      <c r="L18" s="4">
        <v>19</v>
      </c>
      <c r="T18" t="s">
        <v>24</v>
      </c>
      <c r="U18" t="s">
        <v>23</v>
      </c>
      <c r="V18" t="s">
        <v>22</v>
      </c>
      <c r="W18" t="s">
        <v>21</v>
      </c>
      <c r="X18" t="s">
        <v>20</v>
      </c>
      <c r="Y18" t="s">
        <v>19</v>
      </c>
    </row>
    <row r="19" spans="2:25" x14ac:dyDescent="0.35">
      <c r="B19" s="4">
        <v>0</v>
      </c>
      <c r="C19">
        <v>6</v>
      </c>
      <c r="D19" t="str">
        <f t="shared" si="0"/>
        <v>Soda Pop Springs</v>
      </c>
      <c r="E19" s="4">
        <f t="shared" si="1"/>
        <v>43.51</v>
      </c>
      <c r="F19" s="4">
        <f t="shared" si="2"/>
        <v>-92.69</v>
      </c>
      <c r="G19">
        <v>1</v>
      </c>
      <c r="H19" t="str">
        <f t="shared" si="3"/>
        <v>Cinnamon Swamp</v>
      </c>
      <c r="I19" s="4">
        <f t="shared" si="4"/>
        <v>37.5</v>
      </c>
      <c r="J19" s="4">
        <f t="shared" si="5"/>
        <v>-102.5</v>
      </c>
      <c r="K19" s="4">
        <f t="shared" si="6"/>
        <v>130.55907551756025</v>
      </c>
      <c r="L19" s="4">
        <v>13</v>
      </c>
      <c r="T19">
        <v>1</v>
      </c>
      <c r="U19" t="s">
        <v>18</v>
      </c>
      <c r="V19">
        <v>37.5</v>
      </c>
      <c r="W19">
        <v>-102.5</v>
      </c>
      <c r="X19">
        <v>8606</v>
      </c>
    </row>
    <row r="20" spans="2:25" x14ac:dyDescent="0.35">
      <c r="B20" s="4">
        <v>0</v>
      </c>
      <c r="C20">
        <v>6</v>
      </c>
      <c r="D20" t="str">
        <f t="shared" si="0"/>
        <v>Soda Pop Springs</v>
      </c>
      <c r="E20" s="4">
        <f t="shared" si="1"/>
        <v>43.51</v>
      </c>
      <c r="F20" s="4">
        <f t="shared" si="2"/>
        <v>-92.69</v>
      </c>
      <c r="G20">
        <v>2</v>
      </c>
      <c r="H20" t="str">
        <f t="shared" si="3"/>
        <v>Coconut Cream Cove</v>
      </c>
      <c r="I20" s="4">
        <f t="shared" si="4"/>
        <v>33.020000000000003</v>
      </c>
      <c r="J20" s="4">
        <f t="shared" si="5"/>
        <v>-103.15</v>
      </c>
      <c r="K20" s="4">
        <f t="shared" si="6"/>
        <v>126.14442397506123</v>
      </c>
      <c r="L20" s="4">
        <v>11</v>
      </c>
      <c r="T20">
        <v>2</v>
      </c>
      <c r="U20" t="s">
        <v>17</v>
      </c>
      <c r="V20">
        <v>33.020000000000003</v>
      </c>
      <c r="W20">
        <v>-103.15</v>
      </c>
      <c r="Y20">
        <v>1487</v>
      </c>
    </row>
    <row r="21" spans="2:25" x14ac:dyDescent="0.35">
      <c r="B21" s="4">
        <v>0</v>
      </c>
      <c r="C21">
        <v>6</v>
      </c>
      <c r="D21" t="str">
        <f t="shared" si="0"/>
        <v>Soda Pop Springs</v>
      </c>
      <c r="E21" s="4">
        <f t="shared" si="1"/>
        <v>43.51</v>
      </c>
      <c r="F21" s="4">
        <f t="shared" si="2"/>
        <v>-92.69</v>
      </c>
      <c r="G21">
        <v>3</v>
      </c>
      <c r="H21" t="str">
        <f t="shared" si="3"/>
        <v>Funfetti Fields</v>
      </c>
      <c r="I21" s="4">
        <f t="shared" si="4"/>
        <v>43.26</v>
      </c>
      <c r="J21" s="4">
        <f t="shared" si="5"/>
        <v>-101.4</v>
      </c>
      <c r="K21" s="4">
        <f t="shared" si="6"/>
        <v>136.22872898181203</v>
      </c>
      <c r="L21" s="4">
        <v>7</v>
      </c>
      <c r="T21">
        <v>3</v>
      </c>
      <c r="U21" t="s">
        <v>16</v>
      </c>
      <c r="V21">
        <v>43.26</v>
      </c>
      <c r="W21">
        <v>-101.4</v>
      </c>
      <c r="Y21">
        <v>1890</v>
      </c>
    </row>
    <row r="22" spans="2:25" x14ac:dyDescent="0.35">
      <c r="B22" s="4">
        <v>1298</v>
      </c>
      <c r="C22">
        <v>6</v>
      </c>
      <c r="D22" t="str">
        <f t="shared" si="0"/>
        <v>Soda Pop Springs</v>
      </c>
      <c r="E22" s="4">
        <f t="shared" si="1"/>
        <v>43.51</v>
      </c>
      <c r="F22" s="4">
        <f t="shared" si="2"/>
        <v>-92.69</v>
      </c>
      <c r="G22">
        <v>4</v>
      </c>
      <c r="H22" t="str">
        <f t="shared" si="3"/>
        <v>Jolly Rancher Range</v>
      </c>
      <c r="I22" s="4">
        <f t="shared" si="4"/>
        <v>36.4</v>
      </c>
      <c r="J22" s="4">
        <f t="shared" si="5"/>
        <v>-91.86</v>
      </c>
      <c r="K22" s="4">
        <f t="shared" si="6"/>
        <v>129.09266826586241</v>
      </c>
      <c r="L22" s="4">
        <v>23</v>
      </c>
      <c r="T22">
        <v>4</v>
      </c>
      <c r="U22" t="s">
        <v>15</v>
      </c>
      <c r="V22">
        <v>36.4</v>
      </c>
      <c r="W22">
        <v>-91.86</v>
      </c>
      <c r="Y22">
        <v>1298</v>
      </c>
    </row>
    <row r="23" spans="2:25" x14ac:dyDescent="0.35">
      <c r="B23" s="4">
        <v>1426</v>
      </c>
      <c r="C23">
        <v>6</v>
      </c>
      <c r="D23" t="str">
        <f t="shared" si="0"/>
        <v>Soda Pop Springs</v>
      </c>
      <c r="E23" s="4">
        <f t="shared" si="1"/>
        <v>43.51</v>
      </c>
      <c r="F23" s="4">
        <f t="shared" si="2"/>
        <v>-92.69</v>
      </c>
      <c r="G23">
        <v>5</v>
      </c>
      <c r="H23" t="str">
        <f t="shared" si="3"/>
        <v>Rainbow Ribbon Roads</v>
      </c>
      <c r="I23" s="4">
        <f t="shared" si="4"/>
        <v>44.43</v>
      </c>
      <c r="J23" s="4">
        <f t="shared" si="5"/>
        <v>-85.51</v>
      </c>
      <c r="K23" s="4">
        <f t="shared" si="6"/>
        <v>137.3078541089329</v>
      </c>
      <c r="L23" s="4">
        <v>6</v>
      </c>
      <c r="T23">
        <v>5</v>
      </c>
      <c r="U23" t="s">
        <v>14</v>
      </c>
      <c r="V23">
        <v>44.43</v>
      </c>
      <c r="W23">
        <v>-85.51</v>
      </c>
      <c r="Y23">
        <v>1426</v>
      </c>
    </row>
    <row r="24" spans="2:25" x14ac:dyDescent="0.35">
      <c r="B24" s="4">
        <v>0</v>
      </c>
      <c r="C24">
        <v>6</v>
      </c>
      <c r="D24" t="str">
        <f t="shared" si="0"/>
        <v>Soda Pop Springs</v>
      </c>
      <c r="E24" s="4">
        <f t="shared" si="1"/>
        <v>43.51</v>
      </c>
      <c r="F24" s="4">
        <f t="shared" si="2"/>
        <v>-92.69</v>
      </c>
      <c r="G24">
        <v>7</v>
      </c>
      <c r="H24" t="str">
        <f t="shared" si="3"/>
        <v>Sugar Swirl Spires</v>
      </c>
      <c r="I24" s="4">
        <f t="shared" si="4"/>
        <v>36.67</v>
      </c>
      <c r="J24" s="4">
        <f t="shared" si="5"/>
        <v>-88.05</v>
      </c>
      <c r="K24" s="4">
        <f t="shared" si="6"/>
        <v>129.44318908308776</v>
      </c>
      <c r="L24" s="4">
        <v>24</v>
      </c>
      <c r="T24">
        <v>6</v>
      </c>
      <c r="U24" t="s">
        <v>13</v>
      </c>
      <c r="V24">
        <v>43.51</v>
      </c>
      <c r="W24">
        <v>-92.69</v>
      </c>
      <c r="Y24">
        <v>1266</v>
      </c>
    </row>
    <row r="25" spans="2:25" x14ac:dyDescent="0.35">
      <c r="B25" s="4">
        <v>0</v>
      </c>
      <c r="C25">
        <v>7</v>
      </c>
      <c r="D25" t="str">
        <f t="shared" si="0"/>
        <v>Sugar Swirl Spires</v>
      </c>
      <c r="E25" s="4">
        <f t="shared" si="1"/>
        <v>36.67</v>
      </c>
      <c r="F25" s="4">
        <f t="shared" si="2"/>
        <v>-88.05</v>
      </c>
      <c r="G25">
        <v>1</v>
      </c>
      <c r="H25" t="str">
        <f t="shared" si="3"/>
        <v>Cinnamon Swamp</v>
      </c>
      <c r="I25" s="4">
        <f t="shared" si="4"/>
        <v>37.5</v>
      </c>
      <c r="J25" s="4">
        <f t="shared" si="5"/>
        <v>-102.5</v>
      </c>
      <c r="K25" s="4">
        <f t="shared" si="6"/>
        <v>126.37881547158131</v>
      </c>
      <c r="L25" s="4">
        <v>18</v>
      </c>
      <c r="T25">
        <v>7</v>
      </c>
      <c r="U25" t="s">
        <v>12</v>
      </c>
      <c r="V25">
        <v>36.67</v>
      </c>
      <c r="W25">
        <v>-88.05</v>
      </c>
      <c r="Y25">
        <v>1239</v>
      </c>
    </row>
    <row r="26" spans="2:25" x14ac:dyDescent="0.35">
      <c r="B26" s="4">
        <v>1487</v>
      </c>
      <c r="C26">
        <v>7</v>
      </c>
      <c r="D26" t="str">
        <f t="shared" si="0"/>
        <v>Sugar Swirl Spires</v>
      </c>
      <c r="E26" s="4">
        <f t="shared" si="1"/>
        <v>36.67</v>
      </c>
      <c r="F26" s="4">
        <f t="shared" si="2"/>
        <v>-88.05</v>
      </c>
      <c r="G26">
        <v>2</v>
      </c>
      <c r="H26" t="str">
        <f t="shared" si="3"/>
        <v>Coconut Cream Cove</v>
      </c>
      <c r="I26" s="4">
        <f t="shared" si="4"/>
        <v>33.020000000000003</v>
      </c>
      <c r="J26" s="4">
        <f t="shared" si="5"/>
        <v>-103.15</v>
      </c>
      <c r="K26" s="4">
        <f t="shared" si="6"/>
        <v>122.00801162218815</v>
      </c>
      <c r="L26" s="4">
        <v>6</v>
      </c>
    </row>
    <row r="27" spans="2:25" x14ac:dyDescent="0.35">
      <c r="B27" s="4">
        <v>0</v>
      </c>
      <c r="C27">
        <v>7</v>
      </c>
      <c r="D27" t="str">
        <f t="shared" si="0"/>
        <v>Sugar Swirl Spires</v>
      </c>
      <c r="E27" s="4">
        <f t="shared" si="1"/>
        <v>36.67</v>
      </c>
      <c r="F27" s="4">
        <f t="shared" si="2"/>
        <v>-88.05</v>
      </c>
      <c r="G27">
        <v>3</v>
      </c>
      <c r="H27" t="str">
        <f t="shared" si="3"/>
        <v>Funfetti Fields</v>
      </c>
      <c r="I27" s="4">
        <f t="shared" si="4"/>
        <v>43.26</v>
      </c>
      <c r="J27" s="4">
        <f t="shared" si="5"/>
        <v>-101.4</v>
      </c>
      <c r="K27" s="4">
        <f t="shared" si="6"/>
        <v>131.98688798513282</v>
      </c>
      <c r="L27" s="4">
        <v>5</v>
      </c>
    </row>
  </sheetData>
  <mergeCells count="2">
    <mergeCell ref="D2:F2"/>
    <mergeCell ref="G2:J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30"/>
  <sheetViews>
    <sheetView topLeftCell="I1" zoomScale="80" zoomScaleNormal="80" workbookViewId="0">
      <selection activeCell="A30" sqref="A30"/>
    </sheetView>
  </sheetViews>
  <sheetFormatPr defaultRowHeight="14.5" x14ac:dyDescent="0.35"/>
  <cols>
    <col min="1" max="1" width="14.7265625" bestFit="1" customWidth="1"/>
    <col min="2" max="2" width="14.90625" bestFit="1" customWidth="1"/>
    <col min="3" max="3" width="1.81640625" bestFit="1" customWidth="1"/>
    <col min="4" max="4" width="20.1796875" bestFit="1" customWidth="1"/>
    <col min="5" max="5" width="6.08984375" bestFit="1" customWidth="1"/>
    <col min="6" max="6" width="7.81640625" bestFit="1" customWidth="1"/>
    <col min="7" max="7" width="2" bestFit="1" customWidth="1"/>
    <col min="8" max="8" width="20.36328125" bestFit="1" customWidth="1"/>
    <col min="9" max="9" width="6.08984375" bestFit="1" customWidth="1"/>
    <col min="10" max="10" width="5.1796875" bestFit="1" customWidth="1"/>
    <col min="11" max="11" width="11.453125" customWidth="1"/>
    <col min="12" max="12" width="17.81640625" customWidth="1"/>
    <col min="13" max="13" width="16.1796875" bestFit="1" customWidth="1"/>
    <col min="14" max="15" width="16.54296875" bestFit="1" customWidth="1"/>
    <col min="16" max="16" width="12.08984375" bestFit="1" customWidth="1"/>
    <col min="17" max="17" width="9" customWidth="1"/>
    <col min="18" max="18" width="20.1796875" bestFit="1" customWidth="1"/>
    <col min="19" max="19" width="1.81640625" bestFit="1" customWidth="1"/>
    <col min="20" max="20" width="20.1796875" bestFit="1" customWidth="1"/>
    <col min="21" max="21" width="9.1796875" customWidth="1"/>
    <col min="22" max="22" width="14.36328125" bestFit="1" customWidth="1"/>
    <col min="24" max="24" width="14.36328125" bestFit="1" customWidth="1"/>
  </cols>
  <sheetData>
    <row r="2" spans="2:24" ht="15" thickBot="1" x14ac:dyDescent="0.4">
      <c r="B2" s="21"/>
      <c r="C2" s="17"/>
      <c r="D2" s="55" t="s">
        <v>28</v>
      </c>
      <c r="E2" s="55"/>
      <c r="F2" s="55"/>
      <c r="G2" s="56" t="s">
        <v>29</v>
      </c>
      <c r="H2" s="56"/>
      <c r="I2" s="56"/>
      <c r="J2" s="56"/>
      <c r="K2" s="20"/>
      <c r="L2" s="21"/>
      <c r="N2" s="3" t="s">
        <v>35</v>
      </c>
      <c r="O2" s="22">
        <f>SUMPRODUCT(B4:B27,L4:L27)</f>
        <v>140314</v>
      </c>
    </row>
    <row r="3" spans="2:24" ht="15" thickBot="1" x14ac:dyDescent="0.4">
      <c r="B3" s="20" t="s">
        <v>31</v>
      </c>
      <c r="C3" s="18"/>
      <c r="D3" s="18" t="s">
        <v>37</v>
      </c>
      <c r="E3" s="18" t="s">
        <v>39</v>
      </c>
      <c r="F3" s="18" t="s">
        <v>38</v>
      </c>
      <c r="G3" s="19"/>
      <c r="H3" s="19" t="s">
        <v>37</v>
      </c>
      <c r="I3" s="19" t="s">
        <v>39</v>
      </c>
      <c r="J3" s="19" t="s">
        <v>38</v>
      </c>
      <c r="K3" s="20" t="s">
        <v>36</v>
      </c>
      <c r="L3" s="20" t="s">
        <v>30</v>
      </c>
      <c r="S3" s="15"/>
      <c r="T3" s="16" t="s">
        <v>26</v>
      </c>
      <c r="U3" s="13" t="s">
        <v>27</v>
      </c>
      <c r="V3" s="13" t="s">
        <v>32</v>
      </c>
      <c r="W3" s="13" t="s">
        <v>33</v>
      </c>
      <c r="X3" s="14" t="s">
        <v>34</v>
      </c>
    </row>
    <row r="4" spans="2:24" x14ac:dyDescent="0.35">
      <c r="B4" s="4">
        <v>0</v>
      </c>
      <c r="C4">
        <v>1</v>
      </c>
      <c r="D4" t="str">
        <f t="shared" ref="D4:D27" si="0">_xlfn.XLOOKUP(C4,$T$19:$T$25,$U$19:$U$25)</f>
        <v>Cinnamon Swamp</v>
      </c>
      <c r="E4" s="4">
        <f t="shared" ref="E4:E27" si="1">_xlfn.XLOOKUP(C4,$T$19:$T$25,$V$19:$V$25)</f>
        <v>37.5</v>
      </c>
      <c r="F4" s="4">
        <f t="shared" ref="F4:F27" si="2">_xlfn.XLOOKUP(C4,$T$19:$T$25,$W$19:$W$25)</f>
        <v>-102.5</v>
      </c>
      <c r="G4">
        <v>3</v>
      </c>
      <c r="H4" t="str">
        <f t="shared" ref="H4:H27" si="3">_xlfn.XLOOKUP(G4,$T$19:$T$25,$U$19:$U$25)</f>
        <v>Funfetti Fields</v>
      </c>
      <c r="I4" s="4">
        <f t="shared" ref="I4:I27" si="4">_xlfn.XLOOKUP(G4,$T$19:$T$25,$V$19:$V$25)</f>
        <v>43.26</v>
      </c>
      <c r="J4" s="4">
        <f t="shared" ref="J4:J27" si="5">_xlfn.XLOOKUP(G4,$T$19:$T$25,$W$19:$W$25)</f>
        <v>-101.4</v>
      </c>
      <c r="K4" s="4">
        <f>SQRT((I4-F4)^2+(J4-F4)^2)</f>
        <v>145.76415059952154</v>
      </c>
      <c r="L4" s="4">
        <v>22</v>
      </c>
      <c r="S4" s="5">
        <v>1</v>
      </c>
      <c r="T4" s="1" t="str">
        <f t="shared" ref="T4:T10" si="6">_xlfn.XLOOKUP(S4,$T$19:$T$25,$U$19:$U$25)</f>
        <v>Cinnamon Swamp</v>
      </c>
      <c r="U4" s="4">
        <f t="shared" ref="U4:U10" si="7">SUMIF($G$4:$G$27,S4,$B$4:$B$27)</f>
        <v>0</v>
      </c>
      <c r="V4" s="4" cm="1">
        <f t="array" ref="V4:V10">SUMIF(C4:C27,S4:S10,B4:B27)</f>
        <v>8606</v>
      </c>
      <c r="W4" s="4">
        <f>U4-V4</f>
        <v>-8606</v>
      </c>
      <c r="X4" s="6">
        <v>-8606</v>
      </c>
    </row>
    <row r="5" spans="2:24" x14ac:dyDescent="0.35">
      <c r="B5" s="4">
        <v>5880</v>
      </c>
      <c r="C5">
        <v>1</v>
      </c>
      <c r="D5" t="str">
        <f t="shared" si="0"/>
        <v>Cinnamon Swamp</v>
      </c>
      <c r="E5" s="4">
        <f t="shared" si="1"/>
        <v>37.5</v>
      </c>
      <c r="F5" s="4">
        <f t="shared" si="2"/>
        <v>-102.5</v>
      </c>
      <c r="G5">
        <v>6</v>
      </c>
      <c r="H5" t="str">
        <f t="shared" si="3"/>
        <v>Soda Pop Springs</v>
      </c>
      <c r="I5" s="4">
        <f t="shared" si="4"/>
        <v>43.51</v>
      </c>
      <c r="J5" s="4">
        <f t="shared" si="5"/>
        <v>-92.69</v>
      </c>
      <c r="K5" s="4">
        <f t="shared" ref="K5:K27" si="8">SQRT((I5-F5)^2+(J5-F5)^2)</f>
        <v>146.33918203953442</v>
      </c>
      <c r="L5" s="4">
        <v>8</v>
      </c>
      <c r="S5" s="5">
        <v>2</v>
      </c>
      <c r="T5" s="1" t="str">
        <f t="shared" si="6"/>
        <v>Coconut Cream Cove</v>
      </c>
      <c r="U5" s="4">
        <f t="shared" si="7"/>
        <v>1487</v>
      </c>
      <c r="V5" s="4">
        <v>0</v>
      </c>
      <c r="W5" s="4">
        <f t="shared" ref="W5:W10" si="9">U5-V5</f>
        <v>1487</v>
      </c>
      <c r="X5" s="6">
        <v>1487</v>
      </c>
    </row>
    <row r="6" spans="2:24" x14ac:dyDescent="0.35">
      <c r="B6" s="4">
        <v>2726</v>
      </c>
      <c r="C6">
        <v>1</v>
      </c>
      <c r="D6" t="str">
        <f t="shared" si="0"/>
        <v>Cinnamon Swamp</v>
      </c>
      <c r="E6" s="4">
        <f t="shared" si="1"/>
        <v>37.5</v>
      </c>
      <c r="F6" s="4">
        <f t="shared" si="2"/>
        <v>-102.5</v>
      </c>
      <c r="G6">
        <v>7</v>
      </c>
      <c r="H6" t="str">
        <f t="shared" si="3"/>
        <v>Sugar Swirl Spires</v>
      </c>
      <c r="I6" s="4">
        <f t="shared" si="4"/>
        <v>36.67</v>
      </c>
      <c r="J6" s="4">
        <f t="shared" si="5"/>
        <v>-88.05</v>
      </c>
      <c r="K6" s="4">
        <f>SQRT((I6-F6)^2+(J6-F6)^2)</f>
        <v>139.91815965056145</v>
      </c>
      <c r="L6" s="4">
        <v>12</v>
      </c>
      <c r="S6" s="5">
        <v>3</v>
      </c>
      <c r="T6" s="1" t="str">
        <f t="shared" si="6"/>
        <v>Funfetti Fields</v>
      </c>
      <c r="U6" s="4">
        <f t="shared" si="7"/>
        <v>3188</v>
      </c>
      <c r="V6" s="4">
        <v>1298</v>
      </c>
      <c r="W6" s="4">
        <f t="shared" si="9"/>
        <v>1890</v>
      </c>
      <c r="X6" s="6">
        <v>1890</v>
      </c>
    </row>
    <row r="7" spans="2:24" x14ac:dyDescent="0.35">
      <c r="B7" s="4">
        <v>0</v>
      </c>
      <c r="C7">
        <v>2</v>
      </c>
      <c r="D7" t="str">
        <f t="shared" si="0"/>
        <v>Coconut Cream Cove</v>
      </c>
      <c r="E7" s="4">
        <f t="shared" si="1"/>
        <v>33.020000000000003</v>
      </c>
      <c r="F7" s="4">
        <f t="shared" si="2"/>
        <v>-103.15</v>
      </c>
      <c r="G7">
        <v>1</v>
      </c>
      <c r="H7" t="str">
        <f t="shared" si="3"/>
        <v>Cinnamon Swamp</v>
      </c>
      <c r="I7" s="4">
        <f t="shared" si="4"/>
        <v>37.5</v>
      </c>
      <c r="J7" s="4">
        <f t="shared" si="5"/>
        <v>-102.5</v>
      </c>
      <c r="K7" s="4">
        <f t="shared" si="8"/>
        <v>140.65150194718862</v>
      </c>
      <c r="L7" s="4">
        <v>9</v>
      </c>
      <c r="S7" s="5">
        <v>4</v>
      </c>
      <c r="T7" s="1" t="str">
        <f t="shared" si="6"/>
        <v>Jolly Rancher Range</v>
      </c>
      <c r="U7" s="4">
        <f t="shared" si="7"/>
        <v>1298</v>
      </c>
      <c r="V7" s="4">
        <v>0</v>
      </c>
      <c r="W7" s="4">
        <f t="shared" si="9"/>
        <v>1298</v>
      </c>
      <c r="X7" s="6">
        <v>1298</v>
      </c>
    </row>
    <row r="8" spans="2:24" x14ac:dyDescent="0.35">
      <c r="B8" s="4">
        <v>0</v>
      </c>
      <c r="C8">
        <v>2</v>
      </c>
      <c r="D8" t="str">
        <f t="shared" si="0"/>
        <v>Coconut Cream Cove</v>
      </c>
      <c r="E8" s="4">
        <f t="shared" si="1"/>
        <v>33.020000000000003</v>
      </c>
      <c r="F8" s="4">
        <f t="shared" si="2"/>
        <v>-103.15</v>
      </c>
      <c r="G8">
        <v>3</v>
      </c>
      <c r="H8" t="str">
        <f t="shared" si="3"/>
        <v>Funfetti Fields</v>
      </c>
      <c r="I8" s="4">
        <f t="shared" si="4"/>
        <v>43.26</v>
      </c>
      <c r="J8" s="4">
        <f t="shared" si="5"/>
        <v>-101.4</v>
      </c>
      <c r="K8" s="4">
        <f t="shared" si="8"/>
        <v>146.4204582700109</v>
      </c>
      <c r="L8" s="4">
        <v>11</v>
      </c>
      <c r="S8" s="5">
        <v>5</v>
      </c>
      <c r="T8" s="1" t="str">
        <f t="shared" si="6"/>
        <v>Rainbow Ribbon Roads</v>
      </c>
      <c r="U8" s="4">
        <f t="shared" si="7"/>
        <v>1426</v>
      </c>
      <c r="V8" s="4">
        <v>0</v>
      </c>
      <c r="W8" s="4">
        <f t="shared" si="9"/>
        <v>1426</v>
      </c>
      <c r="X8" s="6">
        <v>1426</v>
      </c>
    </row>
    <row r="9" spans="2:24" x14ac:dyDescent="0.35">
      <c r="B9" s="4">
        <v>0</v>
      </c>
      <c r="C9">
        <v>2</v>
      </c>
      <c r="D9" t="str">
        <f t="shared" si="0"/>
        <v>Coconut Cream Cove</v>
      </c>
      <c r="E9" s="4">
        <f t="shared" si="1"/>
        <v>33.020000000000003</v>
      </c>
      <c r="F9" s="4">
        <f t="shared" si="2"/>
        <v>-103.15</v>
      </c>
      <c r="G9">
        <v>4</v>
      </c>
      <c r="H9" t="str">
        <f t="shared" si="3"/>
        <v>Jolly Rancher Range</v>
      </c>
      <c r="I9" s="4">
        <f t="shared" si="4"/>
        <v>36.4</v>
      </c>
      <c r="J9" s="4">
        <f t="shared" si="5"/>
        <v>-91.86</v>
      </c>
      <c r="K9" s="4">
        <f t="shared" si="8"/>
        <v>140.00595201633394</v>
      </c>
      <c r="L9" s="4">
        <v>13</v>
      </c>
      <c r="S9" s="5">
        <v>6</v>
      </c>
      <c r="T9" s="1" t="str">
        <f t="shared" si="6"/>
        <v>Soda Pop Springs</v>
      </c>
      <c r="U9" s="4">
        <f t="shared" si="7"/>
        <v>5880</v>
      </c>
      <c r="V9" s="4">
        <v>4614</v>
      </c>
      <c r="W9" s="4">
        <f t="shared" si="9"/>
        <v>1266</v>
      </c>
      <c r="X9" s="6">
        <v>1266</v>
      </c>
    </row>
    <row r="10" spans="2:24" ht="15" thickBot="1" x14ac:dyDescent="0.4">
      <c r="B10" s="4">
        <v>0</v>
      </c>
      <c r="C10">
        <v>2</v>
      </c>
      <c r="D10" t="str">
        <f t="shared" si="0"/>
        <v>Coconut Cream Cove</v>
      </c>
      <c r="E10" s="4">
        <f t="shared" si="1"/>
        <v>33.020000000000003</v>
      </c>
      <c r="F10" s="4">
        <f t="shared" si="2"/>
        <v>-103.15</v>
      </c>
      <c r="G10">
        <v>5</v>
      </c>
      <c r="H10" t="str">
        <f t="shared" si="3"/>
        <v>Rainbow Ribbon Roads</v>
      </c>
      <c r="I10" s="4">
        <f t="shared" si="4"/>
        <v>44.43</v>
      </c>
      <c r="J10" s="4">
        <f t="shared" si="5"/>
        <v>-85.51</v>
      </c>
      <c r="K10" s="4">
        <f t="shared" si="8"/>
        <v>148.63050158026113</v>
      </c>
      <c r="L10" s="4">
        <v>5</v>
      </c>
      <c r="S10" s="7">
        <v>7</v>
      </c>
      <c r="T10" s="12" t="str">
        <f t="shared" si="6"/>
        <v>Sugar Swirl Spires</v>
      </c>
      <c r="U10" s="9">
        <f t="shared" si="7"/>
        <v>2726</v>
      </c>
      <c r="V10" s="9">
        <v>1487</v>
      </c>
      <c r="W10" s="9">
        <f t="shared" si="9"/>
        <v>1239</v>
      </c>
      <c r="X10" s="10">
        <v>1239</v>
      </c>
    </row>
    <row r="11" spans="2:24" x14ac:dyDescent="0.35">
      <c r="B11" s="4">
        <v>0</v>
      </c>
      <c r="C11">
        <v>2</v>
      </c>
      <c r="D11" t="str">
        <f t="shared" si="0"/>
        <v>Coconut Cream Cove</v>
      </c>
      <c r="E11" s="4">
        <f t="shared" si="1"/>
        <v>33.020000000000003</v>
      </c>
      <c r="F11" s="4">
        <f t="shared" si="2"/>
        <v>-103.15</v>
      </c>
      <c r="G11">
        <v>6</v>
      </c>
      <c r="H11" t="str">
        <f t="shared" si="3"/>
        <v>Soda Pop Springs</v>
      </c>
      <c r="I11" s="4">
        <f t="shared" si="4"/>
        <v>43.51</v>
      </c>
      <c r="J11" s="4">
        <f t="shared" si="5"/>
        <v>-92.69</v>
      </c>
      <c r="K11" s="4">
        <f t="shared" si="8"/>
        <v>147.03253789552841</v>
      </c>
      <c r="L11" s="4">
        <v>24</v>
      </c>
    </row>
    <row r="12" spans="2:24" x14ac:dyDescent="0.35">
      <c r="B12" s="4">
        <v>0</v>
      </c>
      <c r="C12">
        <v>2</v>
      </c>
      <c r="D12" t="str">
        <f t="shared" si="0"/>
        <v>Coconut Cream Cove</v>
      </c>
      <c r="E12" s="4">
        <f t="shared" si="1"/>
        <v>33.020000000000003</v>
      </c>
      <c r="F12" s="4">
        <f t="shared" si="2"/>
        <v>-103.15</v>
      </c>
      <c r="G12">
        <v>7</v>
      </c>
      <c r="H12" t="str">
        <f t="shared" si="3"/>
        <v>Sugar Swirl Spires</v>
      </c>
      <c r="I12" s="4">
        <f t="shared" si="4"/>
        <v>36.67</v>
      </c>
      <c r="J12" s="4">
        <f t="shared" si="5"/>
        <v>-88.05</v>
      </c>
      <c r="K12" s="4">
        <f t="shared" si="8"/>
        <v>140.63300608320935</v>
      </c>
      <c r="L12" s="4">
        <v>18</v>
      </c>
    </row>
    <row r="13" spans="2:24" x14ac:dyDescent="0.35">
      <c r="B13" s="4">
        <v>0</v>
      </c>
      <c r="C13">
        <v>3</v>
      </c>
      <c r="D13" t="str">
        <f t="shared" si="0"/>
        <v>Funfetti Fields</v>
      </c>
      <c r="E13" s="4">
        <f t="shared" si="1"/>
        <v>43.26</v>
      </c>
      <c r="F13" s="4">
        <f t="shared" si="2"/>
        <v>-101.4</v>
      </c>
      <c r="G13">
        <v>1</v>
      </c>
      <c r="H13" t="str">
        <f t="shared" si="3"/>
        <v>Cinnamon Swamp</v>
      </c>
      <c r="I13" s="4">
        <f t="shared" si="4"/>
        <v>37.5</v>
      </c>
      <c r="J13" s="4">
        <f t="shared" si="5"/>
        <v>-102.5</v>
      </c>
      <c r="K13" s="4">
        <f t="shared" si="8"/>
        <v>138.90435558325737</v>
      </c>
      <c r="L13" s="4">
        <v>13</v>
      </c>
    </row>
    <row r="14" spans="2:24" x14ac:dyDescent="0.35">
      <c r="B14" s="4">
        <v>1298</v>
      </c>
      <c r="C14">
        <v>3</v>
      </c>
      <c r="D14" t="str">
        <f t="shared" si="0"/>
        <v>Funfetti Fields</v>
      </c>
      <c r="E14" s="4">
        <f t="shared" si="1"/>
        <v>43.26</v>
      </c>
      <c r="F14" s="4">
        <f t="shared" si="2"/>
        <v>-101.4</v>
      </c>
      <c r="G14">
        <v>4</v>
      </c>
      <c r="H14" t="str">
        <f t="shared" si="3"/>
        <v>Jolly Rancher Range</v>
      </c>
      <c r="I14" s="4">
        <f t="shared" si="4"/>
        <v>36.4</v>
      </c>
      <c r="J14" s="4">
        <f t="shared" si="5"/>
        <v>-91.86</v>
      </c>
      <c r="K14" s="4">
        <f t="shared" si="8"/>
        <v>138.12983602393803</v>
      </c>
      <c r="L14" s="4">
        <v>16</v>
      </c>
    </row>
    <row r="15" spans="2:24" x14ac:dyDescent="0.35">
      <c r="B15" s="4">
        <v>0</v>
      </c>
      <c r="C15">
        <v>4</v>
      </c>
      <c r="D15" t="str">
        <f t="shared" si="0"/>
        <v>Jolly Rancher Range</v>
      </c>
      <c r="E15" s="4">
        <f t="shared" si="1"/>
        <v>36.4</v>
      </c>
      <c r="F15" s="4">
        <f t="shared" si="2"/>
        <v>-91.86</v>
      </c>
      <c r="G15">
        <v>7</v>
      </c>
      <c r="H15" t="str">
        <f t="shared" si="3"/>
        <v>Sugar Swirl Spires</v>
      </c>
      <c r="I15" s="4">
        <f t="shared" si="4"/>
        <v>36.67</v>
      </c>
      <c r="J15" s="4">
        <f t="shared" si="5"/>
        <v>-88.05</v>
      </c>
      <c r="K15" s="4">
        <f t="shared" si="8"/>
        <v>128.58645729624874</v>
      </c>
      <c r="L15" s="4">
        <v>16</v>
      </c>
    </row>
    <row r="16" spans="2:24" x14ac:dyDescent="0.35">
      <c r="B16" s="4">
        <v>0</v>
      </c>
      <c r="C16">
        <v>5</v>
      </c>
      <c r="D16" t="str">
        <f t="shared" si="0"/>
        <v>Rainbow Ribbon Roads</v>
      </c>
      <c r="E16" s="4">
        <f t="shared" si="1"/>
        <v>44.43</v>
      </c>
      <c r="F16" s="4">
        <f t="shared" si="2"/>
        <v>-85.51</v>
      </c>
      <c r="G16">
        <v>1</v>
      </c>
      <c r="H16" t="str">
        <f t="shared" si="3"/>
        <v>Cinnamon Swamp</v>
      </c>
      <c r="I16" s="4">
        <f t="shared" si="4"/>
        <v>37.5</v>
      </c>
      <c r="J16" s="4">
        <f t="shared" si="5"/>
        <v>-102.5</v>
      </c>
      <c r="K16" s="4">
        <f t="shared" si="8"/>
        <v>124.17777659468703</v>
      </c>
      <c r="L16" s="4">
        <v>10</v>
      </c>
    </row>
    <row r="17" spans="1:25" x14ac:dyDescent="0.35">
      <c r="B17" s="4">
        <v>0</v>
      </c>
      <c r="C17">
        <v>5</v>
      </c>
      <c r="D17" t="str">
        <f t="shared" si="0"/>
        <v>Rainbow Ribbon Roads</v>
      </c>
      <c r="E17" s="4">
        <f t="shared" si="1"/>
        <v>44.43</v>
      </c>
      <c r="F17" s="4">
        <f t="shared" si="2"/>
        <v>-85.51</v>
      </c>
      <c r="G17">
        <v>2</v>
      </c>
      <c r="H17" t="str">
        <f t="shared" si="3"/>
        <v>Coconut Cream Cove</v>
      </c>
      <c r="I17" s="4">
        <f t="shared" si="4"/>
        <v>33.020000000000003</v>
      </c>
      <c r="J17" s="4">
        <f t="shared" si="5"/>
        <v>-103.15</v>
      </c>
      <c r="K17" s="4">
        <f t="shared" si="8"/>
        <v>119.83543090421963</v>
      </c>
      <c r="L17" s="4">
        <v>13</v>
      </c>
    </row>
    <row r="18" spans="1:25" x14ac:dyDescent="0.35">
      <c r="B18" s="4">
        <v>0</v>
      </c>
      <c r="C18">
        <v>5</v>
      </c>
      <c r="D18" t="str">
        <f t="shared" si="0"/>
        <v>Rainbow Ribbon Roads</v>
      </c>
      <c r="E18" s="4">
        <f t="shared" si="1"/>
        <v>44.43</v>
      </c>
      <c r="F18" s="4">
        <f t="shared" si="2"/>
        <v>-85.51</v>
      </c>
      <c r="G18">
        <v>7</v>
      </c>
      <c r="H18" t="str">
        <f t="shared" si="3"/>
        <v>Sugar Swirl Spires</v>
      </c>
      <c r="I18" s="4">
        <f t="shared" si="4"/>
        <v>36.67</v>
      </c>
      <c r="J18" s="4">
        <f t="shared" si="5"/>
        <v>-88.05</v>
      </c>
      <c r="K18" s="4">
        <f t="shared" si="8"/>
        <v>122.20639917778448</v>
      </c>
      <c r="L18" s="4">
        <v>19</v>
      </c>
      <c r="T18" t="s">
        <v>24</v>
      </c>
      <c r="U18" t="s">
        <v>23</v>
      </c>
      <c r="V18" t="s">
        <v>22</v>
      </c>
      <c r="W18" t="s">
        <v>21</v>
      </c>
      <c r="X18" t="s">
        <v>20</v>
      </c>
      <c r="Y18" t="s">
        <v>19</v>
      </c>
    </row>
    <row r="19" spans="1:25" x14ac:dyDescent="0.35">
      <c r="B19" s="4">
        <v>0</v>
      </c>
      <c r="C19">
        <v>6</v>
      </c>
      <c r="D19" t="str">
        <f t="shared" si="0"/>
        <v>Soda Pop Springs</v>
      </c>
      <c r="E19" s="4">
        <f t="shared" si="1"/>
        <v>43.51</v>
      </c>
      <c r="F19" s="4">
        <f t="shared" si="2"/>
        <v>-92.69</v>
      </c>
      <c r="G19">
        <v>1</v>
      </c>
      <c r="H19" t="str">
        <f t="shared" si="3"/>
        <v>Cinnamon Swamp</v>
      </c>
      <c r="I19" s="4">
        <f t="shared" si="4"/>
        <v>37.5</v>
      </c>
      <c r="J19" s="4">
        <f t="shared" si="5"/>
        <v>-102.5</v>
      </c>
      <c r="K19" s="4">
        <f t="shared" si="8"/>
        <v>130.55907551756025</v>
      </c>
      <c r="L19" s="4">
        <v>13</v>
      </c>
      <c r="T19">
        <v>1</v>
      </c>
      <c r="U19" t="s">
        <v>18</v>
      </c>
      <c r="V19">
        <v>37.5</v>
      </c>
      <c r="W19">
        <v>-102.5</v>
      </c>
      <c r="X19">
        <v>8606</v>
      </c>
    </row>
    <row r="20" spans="1:25" x14ac:dyDescent="0.35">
      <c r="B20" s="4">
        <v>0</v>
      </c>
      <c r="C20">
        <v>6</v>
      </c>
      <c r="D20" t="str">
        <f t="shared" si="0"/>
        <v>Soda Pop Springs</v>
      </c>
      <c r="E20" s="4">
        <f t="shared" si="1"/>
        <v>43.51</v>
      </c>
      <c r="F20" s="4">
        <f t="shared" si="2"/>
        <v>-92.69</v>
      </c>
      <c r="G20">
        <v>2</v>
      </c>
      <c r="H20" t="str">
        <f t="shared" si="3"/>
        <v>Coconut Cream Cove</v>
      </c>
      <c r="I20" s="4">
        <f t="shared" si="4"/>
        <v>33.020000000000003</v>
      </c>
      <c r="J20" s="4">
        <f t="shared" si="5"/>
        <v>-103.15</v>
      </c>
      <c r="K20" s="4">
        <f t="shared" si="8"/>
        <v>126.14442397506123</v>
      </c>
      <c r="L20" s="4">
        <v>11</v>
      </c>
      <c r="T20">
        <v>2</v>
      </c>
      <c r="U20" t="s">
        <v>17</v>
      </c>
      <c r="V20">
        <v>33.020000000000003</v>
      </c>
      <c r="W20">
        <v>-103.15</v>
      </c>
      <c r="Y20">
        <v>1487</v>
      </c>
    </row>
    <row r="21" spans="1:25" x14ac:dyDescent="0.35">
      <c r="B21" s="4">
        <v>3188</v>
      </c>
      <c r="C21">
        <v>6</v>
      </c>
      <c r="D21" t="str">
        <f t="shared" si="0"/>
        <v>Soda Pop Springs</v>
      </c>
      <c r="E21" s="4">
        <f t="shared" si="1"/>
        <v>43.51</v>
      </c>
      <c r="F21" s="4">
        <f t="shared" si="2"/>
        <v>-92.69</v>
      </c>
      <c r="G21">
        <v>3</v>
      </c>
      <c r="H21" t="str">
        <f t="shared" si="3"/>
        <v>Funfetti Fields</v>
      </c>
      <c r="I21" s="4">
        <f t="shared" si="4"/>
        <v>43.26</v>
      </c>
      <c r="J21" s="4">
        <f t="shared" si="5"/>
        <v>-101.4</v>
      </c>
      <c r="K21" s="4">
        <f t="shared" si="8"/>
        <v>136.22872898181203</v>
      </c>
      <c r="L21" s="4">
        <v>7</v>
      </c>
      <c r="T21">
        <v>3</v>
      </c>
      <c r="U21" t="s">
        <v>16</v>
      </c>
      <c r="V21">
        <v>43.26</v>
      </c>
      <c r="W21">
        <v>-101.4</v>
      </c>
      <c r="Y21">
        <v>1890</v>
      </c>
    </row>
    <row r="22" spans="1:25" x14ac:dyDescent="0.35">
      <c r="B22" s="4">
        <v>0</v>
      </c>
      <c r="C22">
        <v>6</v>
      </c>
      <c r="D22" t="str">
        <f t="shared" si="0"/>
        <v>Soda Pop Springs</v>
      </c>
      <c r="E22" s="4">
        <f t="shared" si="1"/>
        <v>43.51</v>
      </c>
      <c r="F22" s="4">
        <f t="shared" si="2"/>
        <v>-92.69</v>
      </c>
      <c r="G22">
        <v>4</v>
      </c>
      <c r="H22" t="str">
        <f t="shared" si="3"/>
        <v>Jolly Rancher Range</v>
      </c>
      <c r="I22" s="4">
        <f t="shared" si="4"/>
        <v>36.4</v>
      </c>
      <c r="J22" s="4">
        <f t="shared" si="5"/>
        <v>-91.86</v>
      </c>
      <c r="K22" s="4">
        <f t="shared" si="8"/>
        <v>129.09266826586241</v>
      </c>
      <c r="L22" s="4">
        <v>23</v>
      </c>
      <c r="T22">
        <v>4</v>
      </c>
      <c r="U22" t="s">
        <v>15</v>
      </c>
      <c r="V22">
        <v>36.4</v>
      </c>
      <c r="W22">
        <v>-91.86</v>
      </c>
      <c r="Y22">
        <v>1298</v>
      </c>
    </row>
    <row r="23" spans="1:25" x14ac:dyDescent="0.35">
      <c r="B23" s="4">
        <v>1426</v>
      </c>
      <c r="C23">
        <v>6</v>
      </c>
      <c r="D23" t="str">
        <f t="shared" si="0"/>
        <v>Soda Pop Springs</v>
      </c>
      <c r="E23" s="4">
        <f t="shared" si="1"/>
        <v>43.51</v>
      </c>
      <c r="F23" s="4">
        <f t="shared" si="2"/>
        <v>-92.69</v>
      </c>
      <c r="G23">
        <v>5</v>
      </c>
      <c r="H23" t="str">
        <f t="shared" si="3"/>
        <v>Rainbow Ribbon Roads</v>
      </c>
      <c r="I23" s="4">
        <f t="shared" si="4"/>
        <v>44.43</v>
      </c>
      <c r="J23" s="4">
        <f t="shared" si="5"/>
        <v>-85.51</v>
      </c>
      <c r="K23" s="4">
        <f t="shared" si="8"/>
        <v>137.3078541089329</v>
      </c>
      <c r="L23" s="4">
        <v>6</v>
      </c>
      <c r="T23">
        <v>5</v>
      </c>
      <c r="U23" t="s">
        <v>14</v>
      </c>
      <c r="V23">
        <v>44.43</v>
      </c>
      <c r="W23">
        <v>-85.51</v>
      </c>
      <c r="Y23">
        <v>1426</v>
      </c>
    </row>
    <row r="24" spans="1:25" x14ac:dyDescent="0.35">
      <c r="B24" s="4">
        <v>0</v>
      </c>
      <c r="C24">
        <v>6</v>
      </c>
      <c r="D24" t="str">
        <f t="shared" si="0"/>
        <v>Soda Pop Springs</v>
      </c>
      <c r="E24" s="4">
        <f t="shared" si="1"/>
        <v>43.51</v>
      </c>
      <c r="F24" s="4">
        <f t="shared" si="2"/>
        <v>-92.69</v>
      </c>
      <c r="G24">
        <v>7</v>
      </c>
      <c r="H24" t="str">
        <f t="shared" si="3"/>
        <v>Sugar Swirl Spires</v>
      </c>
      <c r="I24" s="4">
        <f t="shared" si="4"/>
        <v>36.67</v>
      </c>
      <c r="J24" s="4">
        <f t="shared" si="5"/>
        <v>-88.05</v>
      </c>
      <c r="K24" s="4">
        <f t="shared" si="8"/>
        <v>129.44318908308776</v>
      </c>
      <c r="L24" s="4">
        <v>24</v>
      </c>
      <c r="T24">
        <v>6</v>
      </c>
      <c r="U24" t="s">
        <v>13</v>
      </c>
      <c r="V24">
        <v>43.51</v>
      </c>
      <c r="W24">
        <v>-92.69</v>
      </c>
      <c r="Y24">
        <v>1266</v>
      </c>
    </row>
    <row r="25" spans="1:25" x14ac:dyDescent="0.35">
      <c r="B25" s="4">
        <v>0</v>
      </c>
      <c r="C25">
        <v>7</v>
      </c>
      <c r="D25" t="str">
        <f t="shared" si="0"/>
        <v>Sugar Swirl Spires</v>
      </c>
      <c r="E25" s="4">
        <f t="shared" si="1"/>
        <v>36.67</v>
      </c>
      <c r="F25" s="4">
        <f t="shared" si="2"/>
        <v>-88.05</v>
      </c>
      <c r="G25">
        <v>1</v>
      </c>
      <c r="H25" t="str">
        <f t="shared" si="3"/>
        <v>Cinnamon Swamp</v>
      </c>
      <c r="I25" s="4">
        <f t="shared" si="4"/>
        <v>37.5</v>
      </c>
      <c r="J25" s="4">
        <f t="shared" si="5"/>
        <v>-102.5</v>
      </c>
      <c r="K25" s="4">
        <f t="shared" si="8"/>
        <v>126.37881547158131</v>
      </c>
      <c r="L25" s="4">
        <v>18</v>
      </c>
      <c r="T25">
        <v>7</v>
      </c>
      <c r="U25" t="s">
        <v>12</v>
      </c>
      <c r="V25">
        <v>36.67</v>
      </c>
      <c r="W25">
        <v>-88.05</v>
      </c>
      <c r="Y25">
        <v>1239</v>
      </c>
    </row>
    <row r="26" spans="1:25" x14ac:dyDescent="0.35">
      <c r="B26" s="4">
        <v>1487</v>
      </c>
      <c r="C26">
        <v>7</v>
      </c>
      <c r="D26" t="str">
        <f t="shared" si="0"/>
        <v>Sugar Swirl Spires</v>
      </c>
      <c r="E26" s="4">
        <f t="shared" si="1"/>
        <v>36.67</v>
      </c>
      <c r="F26" s="4">
        <f t="shared" si="2"/>
        <v>-88.05</v>
      </c>
      <c r="G26">
        <v>2</v>
      </c>
      <c r="H26" t="str">
        <f t="shared" si="3"/>
        <v>Coconut Cream Cove</v>
      </c>
      <c r="I26" s="4">
        <f t="shared" si="4"/>
        <v>33.020000000000003</v>
      </c>
      <c r="J26" s="4">
        <f t="shared" si="5"/>
        <v>-103.15</v>
      </c>
      <c r="K26" s="4">
        <f t="shared" si="8"/>
        <v>122.00801162218815</v>
      </c>
      <c r="L26" s="4">
        <v>6</v>
      </c>
    </row>
    <row r="27" spans="1:25" x14ac:dyDescent="0.35">
      <c r="B27" s="4">
        <v>0</v>
      </c>
      <c r="C27">
        <v>7</v>
      </c>
      <c r="D27" t="str">
        <f t="shared" si="0"/>
        <v>Sugar Swirl Spires</v>
      </c>
      <c r="E27" s="4">
        <f t="shared" si="1"/>
        <v>36.67</v>
      </c>
      <c r="F27" s="4">
        <f t="shared" si="2"/>
        <v>-88.05</v>
      </c>
      <c r="G27">
        <v>3</v>
      </c>
      <c r="H27" t="str">
        <f t="shared" si="3"/>
        <v>Funfetti Fields</v>
      </c>
      <c r="I27" s="4">
        <f t="shared" si="4"/>
        <v>43.26</v>
      </c>
      <c r="J27" s="4">
        <f t="shared" si="5"/>
        <v>-101.4</v>
      </c>
      <c r="K27" s="4">
        <f t="shared" si="8"/>
        <v>131.98688798513282</v>
      </c>
      <c r="L27" s="4">
        <v>5</v>
      </c>
    </row>
    <row r="30" spans="1:25" x14ac:dyDescent="0.35">
      <c r="A30">
        <f>SUM(B4:B27)</f>
        <v>16005</v>
      </c>
    </row>
  </sheetData>
  <mergeCells count="2">
    <mergeCell ref="D2:F2"/>
    <mergeCell ref="G2:J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DA5C5-F0EF-4EF9-8B3B-FE4A33A28195}">
  <dimension ref="A1:E25"/>
  <sheetViews>
    <sheetView zoomScale="80" zoomScaleNormal="80" workbookViewId="0">
      <selection activeCell="E2" sqref="E2:E25"/>
    </sheetView>
  </sheetViews>
  <sheetFormatPr defaultRowHeight="14.5" x14ac:dyDescent="0.35"/>
  <cols>
    <col min="3" max="3" width="20.08984375" bestFit="1" customWidth="1"/>
    <col min="4" max="4" width="24.1796875" bestFit="1" customWidth="1"/>
    <col min="5" max="5" width="14.7265625" bestFit="1" customWidth="1"/>
  </cols>
  <sheetData>
    <row r="1" spans="1:5" x14ac:dyDescent="0.35">
      <c r="A1" t="s">
        <v>11</v>
      </c>
      <c r="B1" t="s">
        <v>10</v>
      </c>
      <c r="C1" t="s">
        <v>9</v>
      </c>
      <c r="D1" t="s">
        <v>8</v>
      </c>
      <c r="E1" t="s">
        <v>7</v>
      </c>
    </row>
    <row r="2" spans="1:5" x14ac:dyDescent="0.35">
      <c r="A2">
        <v>1</v>
      </c>
      <c r="B2">
        <v>3</v>
      </c>
      <c r="C2">
        <v>22</v>
      </c>
      <c r="D2" t="s">
        <v>3</v>
      </c>
      <c r="E2">
        <v>81</v>
      </c>
    </row>
    <row r="3" spans="1:5" x14ac:dyDescent="0.35">
      <c r="A3">
        <v>1</v>
      </c>
      <c r="B3">
        <v>6</v>
      </c>
      <c r="C3">
        <v>8</v>
      </c>
      <c r="D3" t="s">
        <v>6</v>
      </c>
      <c r="E3">
        <v>28</v>
      </c>
    </row>
    <row r="4" spans="1:5" x14ac:dyDescent="0.35">
      <c r="A4">
        <v>1</v>
      </c>
      <c r="B4">
        <v>7</v>
      </c>
      <c r="C4">
        <v>12</v>
      </c>
      <c r="D4" t="s">
        <v>0</v>
      </c>
      <c r="E4">
        <v>35</v>
      </c>
    </row>
    <row r="5" spans="1:5" x14ac:dyDescent="0.35">
      <c r="A5">
        <v>2</v>
      </c>
      <c r="B5">
        <v>1</v>
      </c>
      <c r="C5">
        <v>9</v>
      </c>
      <c r="D5" t="s">
        <v>4</v>
      </c>
      <c r="E5">
        <v>74</v>
      </c>
    </row>
    <row r="6" spans="1:5" x14ac:dyDescent="0.35">
      <c r="A6">
        <v>2</v>
      </c>
      <c r="B6">
        <v>3</v>
      </c>
      <c r="C6">
        <v>11</v>
      </c>
      <c r="D6" t="s">
        <v>1</v>
      </c>
      <c r="E6">
        <v>88</v>
      </c>
    </row>
    <row r="7" spans="1:5" x14ac:dyDescent="0.35">
      <c r="A7">
        <v>2</v>
      </c>
      <c r="B7">
        <v>4</v>
      </c>
      <c r="C7">
        <v>13</v>
      </c>
      <c r="D7" t="s">
        <v>5</v>
      </c>
      <c r="E7">
        <v>94</v>
      </c>
    </row>
    <row r="8" spans="1:5" x14ac:dyDescent="0.35">
      <c r="A8">
        <v>2</v>
      </c>
      <c r="B8">
        <v>5</v>
      </c>
      <c r="C8">
        <v>5</v>
      </c>
      <c r="D8" t="s">
        <v>5</v>
      </c>
      <c r="E8">
        <v>94</v>
      </c>
    </row>
    <row r="9" spans="1:5" x14ac:dyDescent="0.35">
      <c r="A9">
        <v>2</v>
      </c>
      <c r="B9">
        <v>6</v>
      </c>
      <c r="C9">
        <v>24</v>
      </c>
      <c r="D9" t="s">
        <v>3</v>
      </c>
      <c r="E9">
        <v>72</v>
      </c>
    </row>
    <row r="10" spans="1:5" x14ac:dyDescent="0.35">
      <c r="A10">
        <v>2</v>
      </c>
      <c r="B10">
        <v>7</v>
      </c>
      <c r="C10">
        <v>18</v>
      </c>
      <c r="D10" t="s">
        <v>0</v>
      </c>
      <c r="E10">
        <v>98</v>
      </c>
    </row>
    <row r="11" spans="1:5" x14ac:dyDescent="0.35">
      <c r="A11">
        <v>3</v>
      </c>
      <c r="B11">
        <v>1</v>
      </c>
      <c r="C11">
        <v>13</v>
      </c>
      <c r="D11" t="s">
        <v>5</v>
      </c>
      <c r="E11">
        <v>102</v>
      </c>
    </row>
    <row r="12" spans="1:5" x14ac:dyDescent="0.35">
      <c r="A12">
        <v>3</v>
      </c>
      <c r="B12">
        <v>4</v>
      </c>
      <c r="C12">
        <v>16</v>
      </c>
      <c r="D12" t="s">
        <v>3</v>
      </c>
      <c r="E12">
        <v>105</v>
      </c>
    </row>
    <row r="13" spans="1:5" x14ac:dyDescent="0.35">
      <c r="A13">
        <v>4</v>
      </c>
      <c r="B13">
        <v>7</v>
      </c>
      <c r="C13">
        <v>16</v>
      </c>
      <c r="D13" t="s">
        <v>3</v>
      </c>
      <c r="E13">
        <v>27</v>
      </c>
    </row>
    <row r="14" spans="1:5" x14ac:dyDescent="0.35">
      <c r="A14">
        <v>5</v>
      </c>
      <c r="B14">
        <v>1</v>
      </c>
      <c r="C14">
        <v>10</v>
      </c>
      <c r="D14" t="s">
        <v>3</v>
      </c>
      <c r="E14">
        <v>84</v>
      </c>
    </row>
    <row r="15" spans="1:5" x14ac:dyDescent="0.35">
      <c r="A15">
        <v>5</v>
      </c>
      <c r="B15">
        <v>2</v>
      </c>
      <c r="C15">
        <v>13</v>
      </c>
      <c r="D15" t="s">
        <v>5</v>
      </c>
      <c r="E15">
        <v>35</v>
      </c>
    </row>
    <row r="16" spans="1:5" x14ac:dyDescent="0.35">
      <c r="A16">
        <v>5</v>
      </c>
      <c r="B16">
        <v>7</v>
      </c>
      <c r="C16">
        <v>19</v>
      </c>
      <c r="D16" t="s">
        <v>3</v>
      </c>
      <c r="E16">
        <v>89</v>
      </c>
    </row>
    <row r="17" spans="1:5" x14ac:dyDescent="0.35">
      <c r="A17">
        <v>6</v>
      </c>
      <c r="B17">
        <v>1</v>
      </c>
      <c r="C17">
        <v>13</v>
      </c>
      <c r="D17" t="s">
        <v>1</v>
      </c>
      <c r="E17">
        <v>94</v>
      </c>
    </row>
    <row r="18" spans="1:5" x14ac:dyDescent="0.35">
      <c r="A18">
        <v>6</v>
      </c>
      <c r="B18">
        <v>2</v>
      </c>
      <c r="C18">
        <v>11</v>
      </c>
      <c r="D18" t="s">
        <v>5</v>
      </c>
      <c r="E18">
        <v>78</v>
      </c>
    </row>
    <row r="19" spans="1:5" x14ac:dyDescent="0.35">
      <c r="A19">
        <v>6</v>
      </c>
      <c r="B19">
        <v>3</v>
      </c>
      <c r="C19">
        <v>7</v>
      </c>
      <c r="D19" t="s">
        <v>0</v>
      </c>
      <c r="E19">
        <v>87</v>
      </c>
    </row>
    <row r="20" spans="1:5" x14ac:dyDescent="0.35">
      <c r="A20">
        <v>6</v>
      </c>
      <c r="B20">
        <v>4</v>
      </c>
      <c r="C20">
        <v>23</v>
      </c>
      <c r="D20" t="s">
        <v>4</v>
      </c>
      <c r="E20">
        <v>87</v>
      </c>
    </row>
    <row r="21" spans="1:5" x14ac:dyDescent="0.35">
      <c r="A21">
        <v>6</v>
      </c>
      <c r="B21">
        <v>5</v>
      </c>
      <c r="C21">
        <v>6</v>
      </c>
      <c r="D21" t="s">
        <v>3</v>
      </c>
      <c r="E21">
        <v>32</v>
      </c>
    </row>
    <row r="22" spans="1:5" x14ac:dyDescent="0.35">
      <c r="A22">
        <v>6</v>
      </c>
      <c r="B22">
        <v>7</v>
      </c>
      <c r="C22">
        <v>24</v>
      </c>
      <c r="D22" t="s">
        <v>0</v>
      </c>
      <c r="E22">
        <v>88</v>
      </c>
    </row>
    <row r="23" spans="1:5" x14ac:dyDescent="0.35">
      <c r="A23">
        <v>7</v>
      </c>
      <c r="B23">
        <v>1</v>
      </c>
      <c r="C23">
        <v>18</v>
      </c>
      <c r="D23" t="s">
        <v>2</v>
      </c>
      <c r="E23">
        <v>40</v>
      </c>
    </row>
    <row r="24" spans="1:5" x14ac:dyDescent="0.35">
      <c r="A24">
        <v>7</v>
      </c>
      <c r="B24">
        <v>2</v>
      </c>
      <c r="C24">
        <v>6</v>
      </c>
      <c r="D24" t="s">
        <v>1</v>
      </c>
      <c r="E24">
        <v>87</v>
      </c>
    </row>
    <row r="25" spans="1:5" x14ac:dyDescent="0.35">
      <c r="A25">
        <v>7</v>
      </c>
      <c r="B25">
        <v>3</v>
      </c>
      <c r="C25">
        <v>5</v>
      </c>
      <c r="D25" t="s">
        <v>0</v>
      </c>
      <c r="E25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8B0FA-FDAC-4635-A227-092BFFFF00C0}">
  <dimension ref="A1:F8"/>
  <sheetViews>
    <sheetView workbookViewId="0">
      <selection activeCell="E20" sqref="E20"/>
    </sheetView>
  </sheetViews>
  <sheetFormatPr defaultRowHeight="14.5" x14ac:dyDescent="0.35"/>
  <cols>
    <col min="2" max="2" width="20.1796875" bestFit="1" customWidth="1"/>
  </cols>
  <sheetData>
    <row r="1" spans="1:6" x14ac:dyDescent="0.35">
      <c r="A1" t="s">
        <v>24</v>
      </c>
      <c r="B1" t="s">
        <v>23</v>
      </c>
      <c r="C1" t="s">
        <v>22</v>
      </c>
      <c r="D1" t="s">
        <v>21</v>
      </c>
      <c r="E1" t="s">
        <v>20</v>
      </c>
      <c r="F1" t="s">
        <v>19</v>
      </c>
    </row>
    <row r="2" spans="1:6" x14ac:dyDescent="0.35">
      <c r="A2">
        <v>1</v>
      </c>
      <c r="B2" t="s">
        <v>18</v>
      </c>
      <c r="C2">
        <v>37.5</v>
      </c>
      <c r="D2">
        <v>-102.5</v>
      </c>
      <c r="E2">
        <v>8606</v>
      </c>
    </row>
    <row r="3" spans="1:6" x14ac:dyDescent="0.35">
      <c r="A3">
        <v>2</v>
      </c>
      <c r="B3" t="s">
        <v>17</v>
      </c>
      <c r="C3">
        <v>33.020000000000003</v>
      </c>
      <c r="D3">
        <v>-103.15</v>
      </c>
      <c r="F3">
        <v>1487</v>
      </c>
    </row>
    <row r="4" spans="1:6" x14ac:dyDescent="0.35">
      <c r="A4">
        <v>3</v>
      </c>
      <c r="B4" t="s">
        <v>16</v>
      </c>
      <c r="C4">
        <v>43.26</v>
      </c>
      <c r="D4">
        <v>-101.4</v>
      </c>
      <c r="F4">
        <v>1890</v>
      </c>
    </row>
    <row r="5" spans="1:6" x14ac:dyDescent="0.35">
      <c r="A5">
        <v>4</v>
      </c>
      <c r="B5" t="s">
        <v>15</v>
      </c>
      <c r="C5">
        <v>36.4</v>
      </c>
      <c r="D5">
        <v>-91.86</v>
      </c>
      <c r="F5">
        <v>1298</v>
      </c>
    </row>
    <row r="6" spans="1:6" x14ac:dyDescent="0.35">
      <c r="A6">
        <v>5</v>
      </c>
      <c r="B6" t="s">
        <v>14</v>
      </c>
      <c r="C6">
        <v>44.43</v>
      </c>
      <c r="D6">
        <v>-85.51</v>
      </c>
      <c r="F6">
        <v>1426</v>
      </c>
    </row>
    <row r="7" spans="1:6" x14ac:dyDescent="0.35">
      <c r="A7">
        <v>6</v>
      </c>
      <c r="B7" t="s">
        <v>13</v>
      </c>
      <c r="C7">
        <v>43.51</v>
      </c>
      <c r="D7">
        <v>-92.69</v>
      </c>
      <c r="F7">
        <v>1266</v>
      </c>
    </row>
    <row r="8" spans="1:6" x14ac:dyDescent="0.35">
      <c r="A8">
        <v>7</v>
      </c>
      <c r="B8" t="s">
        <v>12</v>
      </c>
      <c r="C8">
        <v>36.67</v>
      </c>
      <c r="D8">
        <v>-88.05</v>
      </c>
      <c r="F8">
        <v>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Model Stipulation</vt:lpstr>
      <vt:lpstr>All Conditions</vt:lpstr>
      <vt:lpstr>Min Congestion Levels</vt:lpstr>
      <vt:lpstr>Max Eco Friendly</vt:lpstr>
      <vt:lpstr>Min Distance</vt:lpstr>
      <vt:lpstr>Min Trans Cost</vt:lpstr>
      <vt:lpstr>GriffsCandy_Module10_Connection</vt:lpstr>
      <vt:lpstr>GriffsCandy_Module10_Locations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Griffin Lajoie</cp:lastModifiedBy>
  <dcterms:created xsi:type="dcterms:W3CDTF">2015-06-05T18:17:20Z</dcterms:created>
  <dcterms:modified xsi:type="dcterms:W3CDTF">2025-04-30T22:16:47Z</dcterms:modified>
</cp:coreProperties>
</file>