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9/"/>
    </mc:Choice>
  </mc:AlternateContent>
  <xr:revisionPtr revIDLastSave="4203" documentId="11_F25DC773A252ABDACC10488329DE698A5BDE58E4" xr6:coauthVersionLast="47" xr6:coauthVersionMax="47" xr10:uidLastSave="{80778944-278D-4F0D-A2AA-4AC935381A32}"/>
  <bookViews>
    <workbookView xWindow="-110" yWindow="-110" windowWidth="19420" windowHeight="11500" xr2:uid="{00000000-000D-0000-FFFF-FFFF00000000}"/>
  </bookViews>
  <sheets>
    <sheet name="Model" sheetId="5" r:id="rId1"/>
    <sheet name="Model (2)" sheetId="6" r:id="rId2"/>
    <sheet name="GriffsCandy_Module09_Distributi" sheetId="4" r:id="rId3"/>
    <sheet name="GriffsCandy_Module09_Warehouses" sheetId="2" r:id="rId4"/>
    <sheet name="GriffsCandy_Module09_Model_Cond" sheetId="3" r:id="rId5"/>
  </sheets>
  <definedNames>
    <definedName name="solver_adj" localSheetId="0" hidden="1">Model!$D$12:$I$15,Model!$E$20:$E$23</definedName>
    <definedName name="solver_adj" localSheetId="1" hidden="1">'Model (2)'!$D$12:$I$15,'Model (2)'!$E$20:$E$23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Model!$D$16:$I$16</definedName>
    <definedName name="solver_lhs1" localSheetId="1" hidden="1">'Model (2)'!$F$20:$F$23</definedName>
    <definedName name="solver_lhs2" localSheetId="0" hidden="1">Model!$E$20:$E$23</definedName>
    <definedName name="solver_lhs2" localSheetId="1" hidden="1">'Model (2)'!$E$20:$E$23</definedName>
    <definedName name="solver_lhs3" localSheetId="0" hidden="1">Model!$E$20:$E$23</definedName>
    <definedName name="solver_lhs3" localSheetId="1" hidden="1">'Model (2)'!$E$20:$E$23</definedName>
    <definedName name="solver_lhs4" localSheetId="0" hidden="1">Model!$E$20:$E$23</definedName>
    <definedName name="solver_lhs4" localSheetId="1" hidden="1">'Model (2)'!$E$20:$E$23</definedName>
    <definedName name="solver_lhs5" localSheetId="0" hidden="1">Model!$F$20:$F$23</definedName>
    <definedName name="solver_lhs5" localSheetId="1" hidden="1">'Model (2)'!$D$16:$I$16</definedName>
    <definedName name="solver_lhs6" localSheetId="0" hidden="1">Model!$L$8</definedName>
    <definedName name="solver_lhs6" localSheetId="1" hidden="1">'Model (2)'!$L$8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Model!$D$14</definedName>
    <definedName name="solver_opt" localSheetId="1" hidden="1">'Model (2)'!$L$3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5</definedName>
    <definedName name="solver_rel4" localSheetId="0" hidden="1">5</definedName>
    <definedName name="solver_rel4" localSheetId="1" hidden="1">3</definedName>
    <definedName name="solver_rel5" localSheetId="0" hidden="1">1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hs1" localSheetId="0" hidden="1">Model!$D$17:$I$17</definedName>
    <definedName name="solver_rhs1" localSheetId="1" hidden="1">0</definedName>
    <definedName name="solver_rhs2" localSheetId="0" hidden="1">"integer"</definedName>
    <definedName name="solver_rhs2" localSheetId="1" hidden="1">"integer"</definedName>
    <definedName name="solver_rhs3" localSheetId="0" hidden="1">0</definedName>
    <definedName name="solver_rhs3" localSheetId="1" hidden="1">"binary"</definedName>
    <definedName name="solver_rhs4" localSheetId="0" hidden="1">"binary"</definedName>
    <definedName name="solver_rhs4" localSheetId="1" hidden="1">0</definedName>
    <definedName name="solver_rhs5" localSheetId="0" hidden="1">0</definedName>
    <definedName name="solver_rhs5" localSheetId="1" hidden="1">'Model (2)'!$D$17:$I$17</definedName>
    <definedName name="solver_rhs6" localSheetId="0" hidden="1">2</definedName>
    <definedName name="solver_rhs6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5" l="1"/>
  <c r="K28" i="5"/>
  <c r="K29" i="5"/>
  <c r="K26" i="5"/>
  <c r="J29" i="5"/>
  <c r="E27" i="5"/>
  <c r="F27" i="5"/>
  <c r="G27" i="5"/>
  <c r="H27" i="5"/>
  <c r="I27" i="5"/>
  <c r="J27" i="5"/>
  <c r="E28" i="5"/>
  <c r="F28" i="5"/>
  <c r="G28" i="5"/>
  <c r="H28" i="5"/>
  <c r="I28" i="5"/>
  <c r="J28" i="5"/>
  <c r="E29" i="5"/>
  <c r="F29" i="5"/>
  <c r="G29" i="5"/>
  <c r="H29" i="5"/>
  <c r="I29" i="5"/>
  <c r="J26" i="5"/>
  <c r="F26" i="5"/>
  <c r="G26" i="5"/>
  <c r="H26" i="5"/>
  <c r="I26" i="5"/>
  <c r="E26" i="5"/>
  <c r="L34" i="5" l="1"/>
  <c r="L35" i="5"/>
  <c r="L36" i="5"/>
  <c r="L37" i="5"/>
  <c r="F35" i="5"/>
  <c r="G35" i="5"/>
  <c r="H35" i="5"/>
  <c r="I35" i="5"/>
  <c r="J35" i="5"/>
  <c r="K35" i="5"/>
  <c r="F36" i="5"/>
  <c r="G36" i="5"/>
  <c r="H36" i="5"/>
  <c r="I36" i="5"/>
  <c r="J36" i="5"/>
  <c r="K36" i="5"/>
  <c r="F37" i="5"/>
  <c r="G37" i="5"/>
  <c r="H37" i="5"/>
  <c r="I37" i="5"/>
  <c r="J37" i="5"/>
  <c r="K37" i="5"/>
  <c r="G34" i="5"/>
  <c r="H34" i="5"/>
  <c r="I34" i="5"/>
  <c r="J34" i="5"/>
  <c r="K34" i="5"/>
  <c r="F34" i="5"/>
  <c r="L3" i="5"/>
  <c r="L7" i="5"/>
  <c r="L6" i="5"/>
  <c r="D16" i="5"/>
  <c r="D4" i="5" l="1"/>
  <c r="I17" i="5"/>
  <c r="L5" i="5" s="1"/>
  <c r="L6" i="6" l="1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E4" i="6"/>
  <c r="F4" i="6"/>
  <c r="G4" i="6"/>
  <c r="H4" i="6"/>
  <c r="I4" i="6"/>
  <c r="D4" i="6"/>
  <c r="S26" i="6"/>
  <c r="R26" i="6"/>
  <c r="Q26" i="6"/>
  <c r="P26" i="6"/>
  <c r="T26" i="6" s="1"/>
  <c r="S25" i="6"/>
  <c r="R25" i="6"/>
  <c r="Q25" i="6"/>
  <c r="P25" i="6"/>
  <c r="T25" i="6" s="1"/>
  <c r="S24" i="6"/>
  <c r="R24" i="6"/>
  <c r="Q24" i="6"/>
  <c r="P24" i="6"/>
  <c r="T24" i="6" s="1"/>
  <c r="S23" i="6"/>
  <c r="R23" i="6"/>
  <c r="Q23" i="6"/>
  <c r="P23" i="6"/>
  <c r="T23" i="6" s="1"/>
  <c r="H23" i="6"/>
  <c r="D23" i="6"/>
  <c r="S22" i="6"/>
  <c r="R22" i="6"/>
  <c r="Q22" i="6"/>
  <c r="P22" i="6"/>
  <c r="T22" i="6" s="1"/>
  <c r="H22" i="6"/>
  <c r="D22" i="6"/>
  <c r="S21" i="6"/>
  <c r="R21" i="6"/>
  <c r="Q21" i="6"/>
  <c r="P21" i="6"/>
  <c r="T21" i="6" s="1"/>
  <c r="H21" i="6"/>
  <c r="D21" i="6"/>
  <c r="S20" i="6"/>
  <c r="R20" i="6"/>
  <c r="Q20" i="6"/>
  <c r="P20" i="6"/>
  <c r="T20" i="6" s="1"/>
  <c r="H20" i="6"/>
  <c r="D20" i="6"/>
  <c r="T19" i="6"/>
  <c r="S19" i="6"/>
  <c r="R19" i="6"/>
  <c r="Q19" i="6"/>
  <c r="P19" i="6"/>
  <c r="S18" i="6"/>
  <c r="R18" i="6"/>
  <c r="Q18" i="6"/>
  <c r="P18" i="6"/>
  <c r="T18" i="6" s="1"/>
  <c r="S17" i="6"/>
  <c r="R17" i="6"/>
  <c r="Q17" i="6"/>
  <c r="P17" i="6"/>
  <c r="T17" i="6" s="1"/>
  <c r="I17" i="6"/>
  <c r="H17" i="6"/>
  <c r="G17" i="6"/>
  <c r="F17" i="6"/>
  <c r="E17" i="6"/>
  <c r="D17" i="6"/>
  <c r="L5" i="6" s="1"/>
  <c r="S16" i="6"/>
  <c r="R16" i="6"/>
  <c r="Q16" i="6"/>
  <c r="T16" i="6" s="1"/>
  <c r="P16" i="6"/>
  <c r="I16" i="6"/>
  <c r="H16" i="6"/>
  <c r="G16" i="6"/>
  <c r="F16" i="6"/>
  <c r="E16" i="6"/>
  <c r="D16" i="6"/>
  <c r="T15" i="6"/>
  <c r="S15" i="6"/>
  <c r="R15" i="6"/>
  <c r="Q15" i="6"/>
  <c r="P15" i="6"/>
  <c r="S14" i="6"/>
  <c r="R14" i="6"/>
  <c r="Q14" i="6"/>
  <c r="P14" i="6"/>
  <c r="T14" i="6" s="1"/>
  <c r="S13" i="6"/>
  <c r="R13" i="6"/>
  <c r="Q13" i="6"/>
  <c r="P13" i="6"/>
  <c r="T13" i="6" s="1"/>
  <c r="S12" i="6"/>
  <c r="R12" i="6"/>
  <c r="Q12" i="6"/>
  <c r="P12" i="6"/>
  <c r="T12" i="6" s="1"/>
  <c r="S11" i="6"/>
  <c r="R11" i="6"/>
  <c r="Q11" i="6"/>
  <c r="P11" i="6"/>
  <c r="T11" i="6" s="1"/>
  <c r="T10" i="6"/>
  <c r="S10" i="6"/>
  <c r="R10" i="6"/>
  <c r="Q10" i="6"/>
  <c r="P10" i="6"/>
  <c r="S9" i="6"/>
  <c r="R9" i="6"/>
  <c r="T9" i="6" s="1"/>
  <c r="Q9" i="6"/>
  <c r="P9" i="6"/>
  <c r="S8" i="6"/>
  <c r="R8" i="6"/>
  <c r="Q8" i="6"/>
  <c r="P8" i="6"/>
  <c r="T8" i="6" s="1"/>
  <c r="L8" i="6"/>
  <c r="S7" i="6"/>
  <c r="R7" i="6"/>
  <c r="Q7" i="6"/>
  <c r="P7" i="6"/>
  <c r="T7" i="6" s="1"/>
  <c r="S6" i="6"/>
  <c r="R6" i="6"/>
  <c r="Q6" i="6"/>
  <c r="P6" i="6"/>
  <c r="T6" i="6" s="1"/>
  <c r="S5" i="6"/>
  <c r="R5" i="6"/>
  <c r="Q5" i="6"/>
  <c r="P5" i="6"/>
  <c r="T5" i="6" s="1"/>
  <c r="S4" i="6"/>
  <c r="R4" i="6"/>
  <c r="Q4" i="6"/>
  <c r="P4" i="6"/>
  <c r="T4" i="6" s="1"/>
  <c r="T3" i="6"/>
  <c r="S3" i="6"/>
  <c r="R3" i="6"/>
  <c r="Q3" i="6"/>
  <c r="P3" i="6"/>
  <c r="D21" i="5"/>
  <c r="D20" i="5"/>
  <c r="D22" i="5"/>
  <c r="D23" i="5"/>
  <c r="L7" i="6" l="1"/>
  <c r="L3" i="6"/>
  <c r="F21" i="6"/>
  <c r="F22" i="6"/>
  <c r="F23" i="6"/>
  <c r="F20" i="6"/>
  <c r="H20" i="5"/>
  <c r="L8" i="5"/>
  <c r="E16" i="5"/>
  <c r="F16" i="5"/>
  <c r="G16" i="5"/>
  <c r="H16" i="5"/>
  <c r="I16" i="5"/>
  <c r="H21" i="5"/>
  <c r="H22" i="5"/>
  <c r="H23" i="5"/>
  <c r="E17" i="5"/>
  <c r="F17" i="5"/>
  <c r="G17" i="5"/>
  <c r="H17" i="5"/>
  <c r="D17" i="5"/>
  <c r="R26" i="5"/>
  <c r="S26" i="5"/>
  <c r="R25" i="5"/>
  <c r="S25" i="5"/>
  <c r="R24" i="5"/>
  <c r="S24" i="5"/>
  <c r="R23" i="5"/>
  <c r="S23" i="5"/>
  <c r="R22" i="5"/>
  <c r="S22" i="5"/>
  <c r="R21" i="5"/>
  <c r="S21" i="5"/>
  <c r="R20" i="5"/>
  <c r="S20" i="5"/>
  <c r="R19" i="5"/>
  <c r="S19" i="5"/>
  <c r="R18" i="5"/>
  <c r="S18" i="5"/>
  <c r="R17" i="5"/>
  <c r="S17" i="5"/>
  <c r="R16" i="5"/>
  <c r="S16" i="5"/>
  <c r="R15" i="5"/>
  <c r="S15" i="5"/>
  <c r="P26" i="5"/>
  <c r="Q26" i="5"/>
  <c r="P25" i="5"/>
  <c r="Q25" i="5"/>
  <c r="P24" i="5"/>
  <c r="Q24" i="5"/>
  <c r="P23" i="5"/>
  <c r="Q23" i="5"/>
  <c r="P22" i="5"/>
  <c r="Q22" i="5"/>
  <c r="P21" i="5"/>
  <c r="Q21" i="5"/>
  <c r="P20" i="5"/>
  <c r="Q20" i="5"/>
  <c r="P19" i="5"/>
  <c r="Q19" i="5"/>
  <c r="P18" i="5"/>
  <c r="T18" i="5" s="1"/>
  <c r="G6" i="5" s="1"/>
  <c r="Q18" i="5"/>
  <c r="P17" i="5"/>
  <c r="Q17" i="5"/>
  <c r="P16" i="5"/>
  <c r="Q16" i="5"/>
  <c r="P15" i="5"/>
  <c r="Q15" i="5"/>
  <c r="R14" i="5"/>
  <c r="S14" i="5"/>
  <c r="R13" i="5"/>
  <c r="S13" i="5"/>
  <c r="P14" i="5"/>
  <c r="T14" i="5" s="1"/>
  <c r="I5" i="5" s="1"/>
  <c r="Q14" i="5"/>
  <c r="P13" i="5"/>
  <c r="Q13" i="5"/>
  <c r="S4" i="5"/>
  <c r="S5" i="5"/>
  <c r="S6" i="5"/>
  <c r="S7" i="5"/>
  <c r="S8" i="5"/>
  <c r="S9" i="5"/>
  <c r="S10" i="5"/>
  <c r="S11" i="5"/>
  <c r="S12" i="5"/>
  <c r="S3" i="5"/>
  <c r="R4" i="5"/>
  <c r="R5" i="5"/>
  <c r="R6" i="5"/>
  <c r="R7" i="5"/>
  <c r="R8" i="5"/>
  <c r="R9" i="5"/>
  <c r="R10" i="5"/>
  <c r="R11" i="5"/>
  <c r="R12" i="5"/>
  <c r="R3" i="5"/>
  <c r="Q4" i="5"/>
  <c r="Q5" i="5"/>
  <c r="Q6" i="5"/>
  <c r="Q7" i="5"/>
  <c r="Q8" i="5"/>
  <c r="Q9" i="5"/>
  <c r="Q10" i="5"/>
  <c r="Q11" i="5"/>
  <c r="Q12" i="5"/>
  <c r="Q3" i="5"/>
  <c r="P4" i="5"/>
  <c r="P5" i="5"/>
  <c r="T5" i="5" s="1"/>
  <c r="F4" i="5" s="1"/>
  <c r="P6" i="5"/>
  <c r="T6" i="5" s="1"/>
  <c r="G4" i="5" s="1"/>
  <c r="P7" i="5"/>
  <c r="P8" i="5"/>
  <c r="P9" i="5"/>
  <c r="P10" i="5"/>
  <c r="P11" i="5"/>
  <c r="P12" i="5"/>
  <c r="P3" i="5"/>
  <c r="T21" i="5" l="1"/>
  <c r="D7" i="5" s="1"/>
  <c r="T19" i="5"/>
  <c r="H6" i="5" s="1"/>
  <c r="T23" i="5"/>
  <c r="F7" i="5" s="1"/>
  <c r="T17" i="5"/>
  <c r="F6" i="5" s="1"/>
  <c r="T24" i="5"/>
  <c r="G7" i="5" s="1"/>
  <c r="T16" i="5"/>
  <c r="E6" i="5" s="1"/>
  <c r="T8" i="5"/>
  <c r="I4" i="5" s="1"/>
  <c r="T20" i="5"/>
  <c r="I6" i="5" s="1"/>
  <c r="T26" i="5"/>
  <c r="I7" i="5" s="1"/>
  <c r="T9" i="5"/>
  <c r="D5" i="5" s="1"/>
  <c r="T13" i="5"/>
  <c r="H5" i="5" s="1"/>
  <c r="T4" i="5"/>
  <c r="E4" i="5" s="1"/>
  <c r="T25" i="5"/>
  <c r="H7" i="5" s="1"/>
  <c r="T3" i="5"/>
  <c r="T12" i="5"/>
  <c r="G5" i="5" s="1"/>
  <c r="T15" i="5"/>
  <c r="D6" i="5" s="1"/>
  <c r="T11" i="5"/>
  <c r="F5" i="5" s="1"/>
  <c r="T10" i="5"/>
  <c r="E5" i="5" s="1"/>
  <c r="T22" i="5"/>
  <c r="E7" i="5" s="1"/>
  <c r="T7" i="5"/>
  <c r="H4" i="5" s="1"/>
  <c r="F20" i="5"/>
  <c r="F22" i="5"/>
  <c r="F23" i="5"/>
  <c r="F21" i="5"/>
</calcChain>
</file>

<file path=xl/sharedStrings.xml><?xml version="1.0" encoding="utf-8"?>
<sst xmlns="http://schemas.openxmlformats.org/spreadsheetml/2006/main" count="121" uniqueCount="51">
  <si>
    <t>Candyfloss Countryside</t>
  </si>
  <si>
    <t>Hazelnut Haven</t>
  </si>
  <si>
    <t>Cotton Candy Clouds</t>
  </si>
  <si>
    <t>Caramel Corn Caverns</t>
  </si>
  <si>
    <t>longitude</t>
  </si>
  <si>
    <t>latitude</t>
  </si>
  <si>
    <t>set_up_cost</t>
  </si>
  <si>
    <t>name</t>
  </si>
  <si>
    <t>warehouse</t>
  </si>
  <si>
    <t>manhattan</t>
  </si>
  <si>
    <t>method_to_calculate_distance</t>
  </si>
  <si>
    <t>cost_per_unit_distance</t>
  </si>
  <si>
    <t>max_dcs</t>
  </si>
  <si>
    <t>Peppermint Parlor</t>
  </si>
  <si>
    <t>Turkish Delight Tundra</t>
  </si>
  <si>
    <t>Tangerine Taffy Tropics</t>
  </si>
  <si>
    <t>Melty Mint Mountains</t>
  </si>
  <si>
    <t>Pudding Peaks</t>
  </si>
  <si>
    <t>Meringue Mountains</t>
  </si>
  <si>
    <t>demand</t>
  </si>
  <si>
    <t>distribution_center</t>
  </si>
  <si>
    <t>WH</t>
  </si>
  <si>
    <t>DC</t>
  </si>
  <si>
    <t>WH - Lat</t>
  </si>
  <si>
    <t>WH - Long</t>
  </si>
  <si>
    <t>DC - Lat</t>
  </si>
  <si>
    <t>DC - Long</t>
  </si>
  <si>
    <t>Manhattan</t>
  </si>
  <si>
    <t>WH v DC</t>
  </si>
  <si>
    <t>Total DC Demand</t>
  </si>
  <si>
    <t>WH Sum Set</t>
  </si>
  <si>
    <t>Set up Costs
Possible vs. Actual</t>
  </si>
  <si>
    <t>Binary</t>
  </si>
  <si>
    <t>Linking</t>
  </si>
  <si>
    <t>Sum of Demand</t>
  </si>
  <si>
    <t>Objective Function:</t>
  </si>
  <si>
    <t>Transportation cost</t>
  </si>
  <si>
    <t>Setup Cost</t>
  </si>
  <si>
    <t>Distribution Center</t>
  </si>
  <si>
    <t>Warehouse</t>
  </si>
  <si>
    <t>Units Sent</t>
  </si>
  <si>
    <t>Max Number of Warehouses</t>
  </si>
  <si>
    <t>`</t>
  </si>
  <si>
    <t>6.73*X11 + 7.61*X12 + 13.68*X13 + 14.82*X14 + 46.05*X15 + 33.02*X16</t>
  </si>
  <si>
    <t>6.88*X21 + 11.64*X22 + 10.55*X23 + 23.39*X24 + 51.62*X25 + 45.75*X26</t>
  </si>
  <si>
    <t>14.16*X31 + 25.54*X32 + 24.45*X33 + 34.29*X34 + 65.52*X35 + 38.07*X36</t>
  </si>
  <si>
    <t>58.27*X41 + 60.03*X42 + 66.1*X43 + 41.76*X44 + 17.01*X45 + 19.4*X46</t>
  </si>
  <si>
    <t>WH1</t>
  </si>
  <si>
    <t>WH2</t>
  </si>
  <si>
    <t>WH3</t>
  </si>
  <si>
    <t>WH4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</si>
</sst>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7" xfId="0" applyFont="1" applyBorder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4" xfId="0" applyFont="1" applyFill="1" applyBorder="1" applyAlignment="1">
      <alignment horizontal="center"/>
    </xf>
    <xf numFmtId="0" fontId="0" fillId="0" borderId="9" xfId="0" applyBorder="1"/>
    <xf numFmtId="0" fontId="3" fillId="5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5" xfId="0" applyFont="1" applyFill="1" applyBorder="1" applyAlignment="1">
      <alignment horizontal="center"/>
    </xf>
    <xf numFmtId="44" fontId="4" fillId="5" borderId="0" xfId="1" applyFont="1" applyFill="1"/>
    <xf numFmtId="0" fontId="1" fillId="0" borderId="1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44" fontId="1" fillId="0" borderId="20" xfId="1" applyFont="1" applyBorder="1" applyAlignment="1">
      <alignment horizontal="right"/>
    </xf>
    <xf numFmtId="0" fontId="1" fillId="0" borderId="23" xfId="0" applyFont="1" applyBorder="1" applyAlignment="1">
      <alignment horizontal="center"/>
    </xf>
    <xf numFmtId="0" fontId="1" fillId="0" borderId="13" xfId="0" applyFont="1" applyBorder="1"/>
    <xf numFmtId="0" fontId="1" fillId="0" borderId="9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2AEB-54D5-446F-A2B9-2A5969A0B919}">
  <dimension ref="B1:Z43"/>
  <sheetViews>
    <sheetView tabSelected="1" topLeftCell="A2" zoomScale="79" zoomScaleNormal="90" workbookViewId="0">
      <selection activeCell="D25" sqref="D25"/>
    </sheetView>
  </sheetViews>
  <sheetFormatPr defaultRowHeight="14.5" x14ac:dyDescent="0.35"/>
  <cols>
    <col min="2" max="2" width="10.453125" bestFit="1" customWidth="1"/>
    <col min="3" max="3" width="15.54296875" bestFit="1" customWidth="1"/>
    <col min="5" max="5" width="9.36328125" bestFit="1" customWidth="1"/>
    <col min="8" max="8" width="10.08984375" bestFit="1" customWidth="1"/>
    <col min="10" max="10" width="10.453125" bestFit="1" customWidth="1"/>
    <col min="11" max="11" width="25.1796875" bestFit="1" customWidth="1"/>
    <col min="12" max="12" width="11.6328125" bestFit="1" customWidth="1"/>
    <col min="13" max="13" width="5.81640625" bestFit="1" customWidth="1"/>
    <col min="14" max="14" width="7.36328125" customWidth="1"/>
    <col min="15" max="16" width="10.90625" customWidth="1"/>
    <col min="18" max="18" width="7.26953125" bestFit="1" customWidth="1"/>
    <col min="19" max="19" width="11.08984375" bestFit="1" customWidth="1"/>
    <col min="20" max="20" width="10.26953125" bestFit="1" customWidth="1"/>
    <col min="21" max="21" width="20.453125" bestFit="1" customWidth="1"/>
  </cols>
  <sheetData>
    <row r="1" spans="2:26" ht="15" thickBot="1" x14ac:dyDescent="0.4"/>
    <row r="2" spans="2:26" ht="15" thickBot="1" x14ac:dyDescent="0.4">
      <c r="B2" s="2"/>
      <c r="C2" s="7"/>
      <c r="D2" s="50" t="s">
        <v>38</v>
      </c>
      <c r="E2" s="50"/>
      <c r="F2" s="50"/>
      <c r="G2" s="50"/>
      <c r="H2" s="50"/>
      <c r="I2" s="51"/>
      <c r="N2" s="19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</row>
    <row r="3" spans="2:26" ht="15" thickBot="1" x14ac:dyDescent="0.4">
      <c r="B3" s="5"/>
      <c r="C3" s="28" t="s">
        <v>28</v>
      </c>
      <c r="D3" s="15">
        <v>1</v>
      </c>
      <c r="E3" s="16">
        <v>2</v>
      </c>
      <c r="F3" s="16">
        <v>3</v>
      </c>
      <c r="G3" s="16">
        <v>4</v>
      </c>
      <c r="H3" s="16">
        <v>5</v>
      </c>
      <c r="I3" s="17">
        <v>6</v>
      </c>
      <c r="K3" s="26" t="s">
        <v>35</v>
      </c>
      <c r="L3" s="37">
        <f>SUM(L6:L7)</f>
        <v>66406.639999999985</v>
      </c>
      <c r="N3" s="18">
        <v>1</v>
      </c>
      <c r="O3" s="18">
        <v>1</v>
      </c>
      <c r="P3" s="18">
        <f t="shared" ref="P3:P26" si="0">_xlfn.XLOOKUP(N3,$V$12:$V$15,$Y$12:$Y$15)</f>
        <v>35.130000000000003</v>
      </c>
      <c r="Q3" s="18">
        <f t="shared" ref="Q3:Q26" si="1">_xlfn.XLOOKUP(N3,$V$12:$V$15,$Z$12:$Z$15)</f>
        <v>-78.28</v>
      </c>
      <c r="R3" s="18">
        <f t="shared" ref="R3:R26" si="2">_xlfn.XLOOKUP(O3,$V$4:$V$9,$Y$4:$Y$9)</f>
        <v>35.57</v>
      </c>
      <c r="S3" s="18">
        <f t="shared" ref="S3:S26" si="3">_xlfn.XLOOKUP(O3,$V$4:$V$9,$Z$4:$Z$9)</f>
        <v>-71.989999999999995</v>
      </c>
      <c r="T3" s="18">
        <f>ABS(P3-R3)+ABS(Q3-S3)</f>
        <v>6.730000000000004</v>
      </c>
      <c r="V3" t="s">
        <v>20</v>
      </c>
      <c r="W3" t="s">
        <v>7</v>
      </c>
      <c r="X3" t="s">
        <v>19</v>
      </c>
      <c r="Y3" t="s">
        <v>5</v>
      </c>
      <c r="Z3" t="s">
        <v>4</v>
      </c>
    </row>
    <row r="4" spans="2:26" ht="15" thickBot="1" x14ac:dyDescent="0.4">
      <c r="B4" s="44" t="s">
        <v>39</v>
      </c>
      <c r="C4" s="27">
        <v>1</v>
      </c>
      <c r="D4" s="9">
        <f>SUMIFS($T$3:$T$26,$O$3:$O$26,D$3,$N$3:$N$26,$C4)</f>
        <v>6.730000000000004</v>
      </c>
      <c r="E4" s="9">
        <f t="shared" ref="D4:I7" si="4">SUMIFS($T$3:$T$26,$O$3:$O$26,E$3,$N$3:$N$26,$C4)</f>
        <v>7.6099999999999994</v>
      </c>
      <c r="F4" s="9">
        <f t="shared" si="4"/>
        <v>13.679999999999996</v>
      </c>
      <c r="G4" s="9">
        <f t="shared" si="4"/>
        <v>14.82</v>
      </c>
      <c r="H4" s="9">
        <f t="shared" si="4"/>
        <v>46.050000000000011</v>
      </c>
      <c r="I4" s="10">
        <f t="shared" si="4"/>
        <v>33.020000000000003</v>
      </c>
      <c r="K4" s="22"/>
      <c r="N4" s="18">
        <v>1</v>
      </c>
      <c r="O4" s="18">
        <v>2</v>
      </c>
      <c r="P4" s="18">
        <f t="shared" si="0"/>
        <v>35.130000000000003</v>
      </c>
      <c r="Q4" s="18">
        <f t="shared" si="1"/>
        <v>-78.28</v>
      </c>
      <c r="R4" s="18">
        <f t="shared" si="2"/>
        <v>28.29</v>
      </c>
      <c r="S4" s="18">
        <f t="shared" si="3"/>
        <v>-77.510000000000005</v>
      </c>
      <c r="T4" s="18">
        <f t="shared" ref="T4:T26" si="5">ABS(P4-R4)+ABS(Q4-S4)</f>
        <v>7.6099999999999994</v>
      </c>
      <c r="V4">
        <v>1</v>
      </c>
      <c r="W4" t="s">
        <v>18</v>
      </c>
      <c r="X4">
        <v>617</v>
      </c>
      <c r="Y4">
        <v>35.57</v>
      </c>
      <c r="Z4">
        <v>-71.989999999999995</v>
      </c>
    </row>
    <row r="5" spans="2:26" x14ac:dyDescent="0.35">
      <c r="B5" s="44"/>
      <c r="C5" s="13">
        <v>2</v>
      </c>
      <c r="D5" s="9">
        <f t="shared" si="4"/>
        <v>6.879999999999999</v>
      </c>
      <c r="E5" s="9">
        <f t="shared" si="4"/>
        <v>11.640000000000011</v>
      </c>
      <c r="F5" s="9">
        <f t="shared" si="4"/>
        <v>10.550000000000011</v>
      </c>
      <c r="G5" s="9">
        <f t="shared" si="4"/>
        <v>23.389999999999997</v>
      </c>
      <c r="H5" s="9">
        <f t="shared" si="4"/>
        <v>51.620000000000012</v>
      </c>
      <c r="I5" s="10">
        <f t="shared" si="4"/>
        <v>45.750000000000014</v>
      </c>
      <c r="K5" s="23" t="s">
        <v>34</v>
      </c>
      <c r="L5" s="38">
        <f>SUM(D17:I17)</f>
        <v>4485</v>
      </c>
      <c r="N5" s="18">
        <v>1</v>
      </c>
      <c r="O5" s="18">
        <v>3</v>
      </c>
      <c r="P5" s="18">
        <f t="shared" si="0"/>
        <v>35.130000000000003</v>
      </c>
      <c r="Q5" s="18">
        <f t="shared" si="1"/>
        <v>-78.28</v>
      </c>
      <c r="R5" s="18">
        <f t="shared" si="2"/>
        <v>25.8</v>
      </c>
      <c r="S5" s="18">
        <f t="shared" si="3"/>
        <v>-73.930000000000007</v>
      </c>
      <c r="T5" s="18">
        <f t="shared" si="5"/>
        <v>13.679999999999996</v>
      </c>
      <c r="V5">
        <v>2</v>
      </c>
      <c r="W5" t="s">
        <v>17</v>
      </c>
      <c r="X5">
        <v>600</v>
      </c>
      <c r="Y5">
        <v>28.29</v>
      </c>
      <c r="Z5">
        <v>-77.510000000000005</v>
      </c>
    </row>
    <row r="6" spans="2:26" x14ac:dyDescent="0.35">
      <c r="B6" s="44"/>
      <c r="C6" s="13">
        <v>3</v>
      </c>
      <c r="D6" s="9">
        <f t="shared" si="4"/>
        <v>14.160000000000011</v>
      </c>
      <c r="E6" s="9">
        <f t="shared" si="4"/>
        <v>25.540000000000006</v>
      </c>
      <c r="F6" s="9">
        <f t="shared" si="4"/>
        <v>24.450000000000006</v>
      </c>
      <c r="G6" s="9">
        <f t="shared" si="4"/>
        <v>34.29</v>
      </c>
      <c r="H6" s="9">
        <f t="shared" si="4"/>
        <v>65.52000000000001</v>
      </c>
      <c r="I6" s="10">
        <f t="shared" si="4"/>
        <v>38.07</v>
      </c>
      <c r="K6" s="24" t="s">
        <v>36</v>
      </c>
      <c r="L6" s="40">
        <f>SUMPRODUCT(D4:I7,D12:I15)</f>
        <v>61854.639999999985</v>
      </c>
      <c r="N6" s="18">
        <v>1</v>
      </c>
      <c r="O6" s="18">
        <v>4</v>
      </c>
      <c r="P6" s="18">
        <f t="shared" si="0"/>
        <v>35.130000000000003</v>
      </c>
      <c r="Q6" s="18">
        <f t="shared" si="1"/>
        <v>-78.28</v>
      </c>
      <c r="R6" s="18">
        <f t="shared" si="2"/>
        <v>33.049999999999997</v>
      </c>
      <c r="S6" s="18">
        <f t="shared" si="3"/>
        <v>-91.02</v>
      </c>
      <c r="T6" s="18">
        <f t="shared" si="5"/>
        <v>14.82</v>
      </c>
      <c r="V6">
        <v>3</v>
      </c>
      <c r="W6" t="s">
        <v>16</v>
      </c>
      <c r="X6">
        <v>918</v>
      </c>
      <c r="Y6">
        <v>25.8</v>
      </c>
      <c r="Z6">
        <v>-73.930000000000007</v>
      </c>
    </row>
    <row r="7" spans="2:26" ht="15" thickBot="1" x14ac:dyDescent="0.4">
      <c r="B7" s="45"/>
      <c r="C7" s="14">
        <v>4</v>
      </c>
      <c r="D7" s="8">
        <f t="shared" si="4"/>
        <v>58.27</v>
      </c>
      <c r="E7" s="8">
        <f t="shared" si="4"/>
        <v>60.029999999999994</v>
      </c>
      <c r="F7" s="8">
        <f t="shared" si="4"/>
        <v>66.099999999999994</v>
      </c>
      <c r="G7" s="8">
        <f t="shared" si="4"/>
        <v>41.760000000000005</v>
      </c>
      <c r="H7" s="8">
        <f t="shared" si="4"/>
        <v>17.009999999999994</v>
      </c>
      <c r="I7" s="11">
        <f t="shared" si="4"/>
        <v>19.399999999999991</v>
      </c>
      <c r="K7" s="24" t="s">
        <v>37</v>
      </c>
      <c r="L7" s="40">
        <f>SUM(H20:H23)</f>
        <v>4552</v>
      </c>
      <c r="N7" s="18">
        <v>1</v>
      </c>
      <c r="O7" s="18">
        <v>5</v>
      </c>
      <c r="P7" s="18">
        <f t="shared" si="0"/>
        <v>35.130000000000003</v>
      </c>
      <c r="Q7" s="18">
        <f t="shared" si="1"/>
        <v>-78.28</v>
      </c>
      <c r="R7" s="18">
        <f t="shared" si="2"/>
        <v>29.81</v>
      </c>
      <c r="S7" s="18">
        <f t="shared" si="3"/>
        <v>-119.01</v>
      </c>
      <c r="T7" s="18">
        <f t="shared" si="5"/>
        <v>46.050000000000011</v>
      </c>
      <c r="V7">
        <v>4</v>
      </c>
      <c r="W7" t="s">
        <v>15</v>
      </c>
      <c r="X7">
        <v>740</v>
      </c>
      <c r="Y7">
        <v>33.049999999999997</v>
      </c>
      <c r="Z7">
        <v>-91.02</v>
      </c>
    </row>
    <row r="8" spans="2:26" ht="15" thickBot="1" x14ac:dyDescent="0.4">
      <c r="K8" s="25" t="s">
        <v>41</v>
      </c>
      <c r="L8" s="39">
        <f>SUM(E20:E23)</f>
        <v>2</v>
      </c>
      <c r="N8" s="18">
        <v>1</v>
      </c>
      <c r="O8" s="18">
        <v>6</v>
      </c>
      <c r="P8" s="18">
        <f t="shared" si="0"/>
        <v>35.130000000000003</v>
      </c>
      <c r="Q8" s="18">
        <f t="shared" si="1"/>
        <v>-78.28</v>
      </c>
      <c r="R8" s="18">
        <f t="shared" si="2"/>
        <v>42.34</v>
      </c>
      <c r="S8" s="18">
        <f t="shared" si="3"/>
        <v>-104.09</v>
      </c>
      <c r="T8" s="18">
        <f t="shared" si="5"/>
        <v>33.020000000000003</v>
      </c>
      <c r="V8">
        <v>5</v>
      </c>
      <c r="W8" t="s">
        <v>14</v>
      </c>
      <c r="X8">
        <v>679</v>
      </c>
      <c r="Y8">
        <v>29.81</v>
      </c>
      <c r="Z8">
        <v>-119.01</v>
      </c>
    </row>
    <row r="9" spans="2:26" ht="15" thickBot="1" x14ac:dyDescent="0.4">
      <c r="N9" s="18">
        <v>2</v>
      </c>
      <c r="O9" s="18">
        <v>1</v>
      </c>
      <c r="P9" s="18">
        <f t="shared" si="0"/>
        <v>31.55</v>
      </c>
      <c r="Q9" s="18">
        <f t="shared" si="1"/>
        <v>-69.13</v>
      </c>
      <c r="R9" s="18">
        <f t="shared" si="2"/>
        <v>35.57</v>
      </c>
      <c r="S9" s="18">
        <f t="shared" si="3"/>
        <v>-71.989999999999995</v>
      </c>
      <c r="T9" s="18">
        <f t="shared" si="5"/>
        <v>6.879999999999999</v>
      </c>
      <c r="V9">
        <v>6</v>
      </c>
      <c r="W9" t="s">
        <v>13</v>
      </c>
      <c r="X9">
        <v>931</v>
      </c>
      <c r="Y9">
        <v>42.34</v>
      </c>
      <c r="Z9">
        <v>-104.09</v>
      </c>
    </row>
    <row r="10" spans="2:26" ht="15" thickBot="1" x14ac:dyDescent="0.4">
      <c r="B10" s="2"/>
      <c r="C10" s="7"/>
      <c r="D10" s="50" t="s">
        <v>38</v>
      </c>
      <c r="E10" s="50"/>
      <c r="F10" s="50"/>
      <c r="G10" s="50"/>
      <c r="H10" s="50"/>
      <c r="I10" s="51"/>
      <c r="N10" s="18">
        <v>2</v>
      </c>
      <c r="O10" s="18">
        <v>2</v>
      </c>
      <c r="P10" s="18">
        <f t="shared" si="0"/>
        <v>31.55</v>
      </c>
      <c r="Q10" s="18">
        <f t="shared" si="1"/>
        <v>-69.13</v>
      </c>
      <c r="R10" s="18">
        <f t="shared" si="2"/>
        <v>28.29</v>
      </c>
      <c r="S10" s="18">
        <f t="shared" si="3"/>
        <v>-77.510000000000005</v>
      </c>
      <c r="T10" s="18">
        <f t="shared" si="5"/>
        <v>11.640000000000011</v>
      </c>
    </row>
    <row r="11" spans="2:26" ht="15" thickBot="1" x14ac:dyDescent="0.4">
      <c r="B11" s="5"/>
      <c r="C11" s="28" t="s">
        <v>28</v>
      </c>
      <c r="D11" s="15">
        <v>1</v>
      </c>
      <c r="E11" s="16">
        <v>2</v>
      </c>
      <c r="F11" s="16">
        <v>3</v>
      </c>
      <c r="G11" s="16">
        <v>4</v>
      </c>
      <c r="H11" s="16">
        <v>5</v>
      </c>
      <c r="I11" s="17">
        <v>6</v>
      </c>
      <c r="N11" s="18">
        <v>2</v>
      </c>
      <c r="O11" s="18">
        <v>3</v>
      </c>
      <c r="P11" s="18">
        <f t="shared" si="0"/>
        <v>31.55</v>
      </c>
      <c r="Q11" s="18">
        <f t="shared" si="1"/>
        <v>-69.13</v>
      </c>
      <c r="R11" s="18">
        <f t="shared" si="2"/>
        <v>25.8</v>
      </c>
      <c r="S11" s="18">
        <f t="shared" si="3"/>
        <v>-73.930000000000007</v>
      </c>
      <c r="T11" s="18">
        <f t="shared" si="5"/>
        <v>10.550000000000011</v>
      </c>
      <c r="V11" t="s">
        <v>8</v>
      </c>
      <c r="W11" t="s">
        <v>7</v>
      </c>
      <c r="X11" t="s">
        <v>6</v>
      </c>
      <c r="Y11" t="s">
        <v>5</v>
      </c>
      <c r="Z11" t="s">
        <v>4</v>
      </c>
    </row>
    <row r="12" spans="2:26" x14ac:dyDescent="0.35">
      <c r="B12" s="44" t="s">
        <v>39</v>
      </c>
      <c r="C12" s="13">
        <v>1</v>
      </c>
      <c r="D12" s="29">
        <v>617.00000000000011</v>
      </c>
      <c r="E12" s="29">
        <v>600</v>
      </c>
      <c r="F12" s="29">
        <v>918</v>
      </c>
      <c r="G12" s="29">
        <v>740</v>
      </c>
      <c r="H12" s="29">
        <v>0</v>
      </c>
      <c r="I12" s="30">
        <v>0</v>
      </c>
      <c r="N12" s="18">
        <v>2</v>
      </c>
      <c r="O12" s="18">
        <v>4</v>
      </c>
      <c r="P12" s="18">
        <f t="shared" si="0"/>
        <v>31.55</v>
      </c>
      <c r="Q12" s="18">
        <f t="shared" si="1"/>
        <v>-69.13</v>
      </c>
      <c r="R12" s="18">
        <f t="shared" si="2"/>
        <v>33.049999999999997</v>
      </c>
      <c r="S12" s="18">
        <f t="shared" si="3"/>
        <v>-91.02</v>
      </c>
      <c r="T12" s="18">
        <f t="shared" si="5"/>
        <v>23.389999999999997</v>
      </c>
      <c r="V12">
        <v>1</v>
      </c>
      <c r="W12" t="s">
        <v>3</v>
      </c>
      <c r="X12">
        <v>2489</v>
      </c>
      <c r="Y12">
        <v>35.130000000000003</v>
      </c>
      <c r="Z12">
        <v>-78.28</v>
      </c>
    </row>
    <row r="13" spans="2:26" x14ac:dyDescent="0.35">
      <c r="B13" s="44"/>
      <c r="C13" s="13">
        <v>2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N13" s="18">
        <v>2</v>
      </c>
      <c r="O13" s="18">
        <v>5</v>
      </c>
      <c r="P13" s="18">
        <f t="shared" si="0"/>
        <v>31.55</v>
      </c>
      <c r="Q13" s="18">
        <f t="shared" si="1"/>
        <v>-69.13</v>
      </c>
      <c r="R13" s="18">
        <f t="shared" si="2"/>
        <v>29.81</v>
      </c>
      <c r="S13" s="18">
        <f t="shared" si="3"/>
        <v>-119.01</v>
      </c>
      <c r="T13" s="18">
        <f t="shared" si="5"/>
        <v>51.620000000000012</v>
      </c>
      <c r="V13">
        <v>2</v>
      </c>
      <c r="W13" t="s">
        <v>2</v>
      </c>
      <c r="X13">
        <v>2768</v>
      </c>
      <c r="Y13">
        <v>31.55</v>
      </c>
      <c r="Z13">
        <v>-69.13</v>
      </c>
    </row>
    <row r="14" spans="2:26" x14ac:dyDescent="0.35">
      <c r="B14" s="44"/>
      <c r="C14" s="13">
        <v>3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30">
        <v>0</v>
      </c>
      <c r="N14" s="18">
        <v>2</v>
      </c>
      <c r="O14" s="18">
        <v>6</v>
      </c>
      <c r="P14" s="18">
        <f t="shared" si="0"/>
        <v>31.55</v>
      </c>
      <c r="Q14" s="18">
        <f t="shared" si="1"/>
        <v>-69.13</v>
      </c>
      <c r="R14" s="18">
        <f t="shared" si="2"/>
        <v>42.34</v>
      </c>
      <c r="S14" s="18">
        <f t="shared" si="3"/>
        <v>-104.09</v>
      </c>
      <c r="T14" s="18">
        <f t="shared" si="5"/>
        <v>45.750000000000014</v>
      </c>
      <c r="V14">
        <v>3</v>
      </c>
      <c r="W14" t="s">
        <v>1</v>
      </c>
      <c r="X14">
        <v>2268</v>
      </c>
      <c r="Y14">
        <v>49.02</v>
      </c>
      <c r="Z14">
        <v>-72.7</v>
      </c>
    </row>
    <row r="15" spans="2:26" ht="15" thickBot="1" x14ac:dyDescent="0.4">
      <c r="B15" s="45"/>
      <c r="C15" s="14">
        <v>4</v>
      </c>
      <c r="D15" s="31">
        <v>0</v>
      </c>
      <c r="E15" s="31">
        <v>0</v>
      </c>
      <c r="F15" s="31">
        <v>0</v>
      </c>
      <c r="G15" s="31">
        <v>0</v>
      </c>
      <c r="H15" s="31">
        <v>679</v>
      </c>
      <c r="I15" s="32">
        <v>931</v>
      </c>
      <c r="N15" s="18">
        <v>3</v>
      </c>
      <c r="O15" s="18">
        <v>1</v>
      </c>
      <c r="P15" s="18">
        <f t="shared" si="0"/>
        <v>49.02</v>
      </c>
      <c r="Q15" s="18">
        <f t="shared" si="1"/>
        <v>-72.7</v>
      </c>
      <c r="R15" s="18">
        <f t="shared" si="2"/>
        <v>35.57</v>
      </c>
      <c r="S15" s="18">
        <f t="shared" si="3"/>
        <v>-71.989999999999995</v>
      </c>
      <c r="T15" s="18">
        <f t="shared" si="5"/>
        <v>14.160000000000011</v>
      </c>
      <c r="V15">
        <v>4</v>
      </c>
      <c r="W15" t="s">
        <v>0</v>
      </c>
      <c r="X15">
        <v>2063</v>
      </c>
      <c r="Y15">
        <v>43.92</v>
      </c>
      <c r="Z15">
        <v>-121.91</v>
      </c>
    </row>
    <row r="16" spans="2:26" ht="15" thickBot="1" x14ac:dyDescent="0.4">
      <c r="B16" s="5"/>
      <c r="C16" s="43" t="s">
        <v>40</v>
      </c>
      <c r="D16" s="35">
        <f>SUM(D12:D15)</f>
        <v>617.00000000000011</v>
      </c>
      <c r="E16" s="35">
        <f t="shared" ref="E16:I16" si="6">SUM(E12:E15)</f>
        <v>600</v>
      </c>
      <c r="F16" s="35">
        <f t="shared" si="6"/>
        <v>918</v>
      </c>
      <c r="G16" s="35">
        <f t="shared" si="6"/>
        <v>740</v>
      </c>
      <c r="H16" s="35">
        <f t="shared" si="6"/>
        <v>679</v>
      </c>
      <c r="I16" s="36">
        <f t="shared" si="6"/>
        <v>931</v>
      </c>
      <c r="N16" s="18">
        <v>3</v>
      </c>
      <c r="O16" s="18">
        <v>2</v>
      </c>
      <c r="P16" s="18">
        <f t="shared" si="0"/>
        <v>49.02</v>
      </c>
      <c r="Q16" s="18">
        <f t="shared" si="1"/>
        <v>-72.7</v>
      </c>
      <c r="R16" s="18">
        <f t="shared" si="2"/>
        <v>28.29</v>
      </c>
      <c r="S16" s="18">
        <f t="shared" si="3"/>
        <v>-77.510000000000005</v>
      </c>
      <c r="T16" s="18">
        <f t="shared" si="5"/>
        <v>25.540000000000006</v>
      </c>
    </row>
    <row r="17" spans="2:20" ht="15" thickBot="1" x14ac:dyDescent="0.4">
      <c r="B17" s="6"/>
      <c r="C17" s="42" t="s">
        <v>29</v>
      </c>
      <c r="D17" s="1">
        <f t="shared" ref="D17:H17" si="7">_xlfn.XLOOKUP(D11,$V$4:$V$9,$X$4:$X$9)</f>
        <v>617</v>
      </c>
      <c r="E17" s="1">
        <f t="shared" si="7"/>
        <v>600</v>
      </c>
      <c r="F17" s="1">
        <f t="shared" si="7"/>
        <v>918</v>
      </c>
      <c r="G17" s="1">
        <f t="shared" si="7"/>
        <v>740</v>
      </c>
      <c r="H17" s="1">
        <f t="shared" si="7"/>
        <v>679</v>
      </c>
      <c r="I17" s="12">
        <f>_xlfn.XLOOKUP(I11,$V$4:$V$9,$X$4:$X$9)</f>
        <v>931</v>
      </c>
      <c r="N17" s="18">
        <v>3</v>
      </c>
      <c r="O17" s="18">
        <v>3</v>
      </c>
      <c r="P17" s="18">
        <f t="shared" si="0"/>
        <v>49.02</v>
      </c>
      <c r="Q17" s="18">
        <f t="shared" si="1"/>
        <v>-72.7</v>
      </c>
      <c r="R17" s="18">
        <f t="shared" si="2"/>
        <v>25.8</v>
      </c>
      <c r="S17" s="18">
        <f t="shared" si="3"/>
        <v>-73.930000000000007</v>
      </c>
      <c r="T17" s="18">
        <f t="shared" si="5"/>
        <v>24.450000000000006</v>
      </c>
    </row>
    <row r="18" spans="2:20" ht="15" thickBot="1" x14ac:dyDescent="0.4">
      <c r="N18" s="18">
        <v>3</v>
      </c>
      <c r="O18" s="18">
        <v>4</v>
      </c>
      <c r="P18" s="18">
        <f t="shared" si="0"/>
        <v>49.02</v>
      </c>
      <c r="Q18" s="18">
        <f t="shared" si="1"/>
        <v>-72.7</v>
      </c>
      <c r="R18" s="18">
        <f t="shared" si="2"/>
        <v>33.049999999999997</v>
      </c>
      <c r="S18" s="18">
        <f t="shared" si="3"/>
        <v>-91.02</v>
      </c>
      <c r="T18" s="18">
        <f t="shared" si="5"/>
        <v>34.29</v>
      </c>
    </row>
    <row r="19" spans="2:20" ht="14.5" customHeight="1" thickBot="1" x14ac:dyDescent="0.4">
      <c r="C19" s="48" t="s">
        <v>30</v>
      </c>
      <c r="D19" s="49"/>
      <c r="E19" s="41" t="s">
        <v>32</v>
      </c>
      <c r="F19" s="41" t="s">
        <v>33</v>
      </c>
      <c r="G19" s="46" t="s">
        <v>31</v>
      </c>
      <c r="H19" s="47"/>
      <c r="N19" s="18">
        <v>3</v>
      </c>
      <c r="O19" s="18">
        <v>5</v>
      </c>
      <c r="P19" s="18">
        <f t="shared" si="0"/>
        <v>49.02</v>
      </c>
      <c r="Q19" s="18">
        <f t="shared" si="1"/>
        <v>-72.7</v>
      </c>
      <c r="R19" s="18">
        <f t="shared" si="2"/>
        <v>29.81</v>
      </c>
      <c r="S19" s="18">
        <f t="shared" si="3"/>
        <v>-119.01</v>
      </c>
      <c r="T19" s="18">
        <f t="shared" si="5"/>
        <v>65.52000000000001</v>
      </c>
    </row>
    <row r="20" spans="2:20" x14ac:dyDescent="0.35">
      <c r="C20" s="3">
        <v>1</v>
      </c>
      <c r="D20" s="9">
        <f>SUM(D12:I12)</f>
        <v>2875</v>
      </c>
      <c r="E20" s="33">
        <v>1</v>
      </c>
      <c r="F20" s="29">
        <f>D20-($L$5*E20)</f>
        <v>-1610</v>
      </c>
      <c r="G20" s="9">
        <v>2489</v>
      </c>
      <c r="H20" s="10">
        <f>G20*E20</f>
        <v>2489</v>
      </c>
      <c r="N20" s="18">
        <v>3</v>
      </c>
      <c r="O20" s="18">
        <v>6</v>
      </c>
      <c r="P20" s="18">
        <f t="shared" si="0"/>
        <v>49.02</v>
      </c>
      <c r="Q20" s="18">
        <f t="shared" si="1"/>
        <v>-72.7</v>
      </c>
      <c r="R20" s="18">
        <f t="shared" si="2"/>
        <v>42.34</v>
      </c>
      <c r="S20" s="18">
        <f t="shared" si="3"/>
        <v>-104.09</v>
      </c>
      <c r="T20" s="18">
        <f t="shared" si="5"/>
        <v>38.07</v>
      </c>
    </row>
    <row r="21" spans="2:20" x14ac:dyDescent="0.35">
      <c r="C21" s="3">
        <v>2</v>
      </c>
      <c r="D21" s="9">
        <f>SUM(D13:I13)</f>
        <v>0</v>
      </c>
      <c r="E21" s="33">
        <v>0</v>
      </c>
      <c r="F21" s="29">
        <f>D21-($L$5*E21)</f>
        <v>0</v>
      </c>
      <c r="G21" s="9">
        <v>2768</v>
      </c>
      <c r="H21" s="10">
        <f t="shared" ref="H21:H23" si="8">G21*E21</f>
        <v>0</v>
      </c>
      <c r="N21" s="18">
        <v>4</v>
      </c>
      <c r="O21" s="18">
        <v>1</v>
      </c>
      <c r="P21" s="18">
        <f t="shared" si="0"/>
        <v>43.92</v>
      </c>
      <c r="Q21" s="18">
        <f t="shared" si="1"/>
        <v>-121.91</v>
      </c>
      <c r="R21" s="18">
        <f t="shared" si="2"/>
        <v>35.57</v>
      </c>
      <c r="S21" s="18">
        <f t="shared" si="3"/>
        <v>-71.989999999999995</v>
      </c>
      <c r="T21" s="18">
        <f t="shared" si="5"/>
        <v>58.27</v>
      </c>
    </row>
    <row r="22" spans="2:20" x14ac:dyDescent="0.35">
      <c r="C22" s="3">
        <v>3</v>
      </c>
      <c r="D22" s="9">
        <f>SUM(D14:I14)</f>
        <v>0</v>
      </c>
      <c r="E22" s="33">
        <v>0</v>
      </c>
      <c r="F22" s="29">
        <f>D22-($L$5*E22)</f>
        <v>0</v>
      </c>
      <c r="G22" s="9">
        <v>2268</v>
      </c>
      <c r="H22" s="10">
        <f t="shared" si="8"/>
        <v>0</v>
      </c>
      <c r="N22" s="18">
        <v>4</v>
      </c>
      <c r="O22" s="18">
        <v>2</v>
      </c>
      <c r="P22" s="18">
        <f t="shared" si="0"/>
        <v>43.92</v>
      </c>
      <c r="Q22" s="18">
        <f t="shared" si="1"/>
        <v>-121.91</v>
      </c>
      <c r="R22" s="18">
        <f t="shared" si="2"/>
        <v>28.29</v>
      </c>
      <c r="S22" s="18">
        <f t="shared" si="3"/>
        <v>-77.510000000000005</v>
      </c>
      <c r="T22" s="18">
        <f t="shared" si="5"/>
        <v>60.029999999999994</v>
      </c>
    </row>
    <row r="23" spans="2:20" ht="15" thickBot="1" x14ac:dyDescent="0.4">
      <c r="C23" s="4">
        <v>4</v>
      </c>
      <c r="D23" s="8">
        <f>SUM(D15:I15)</f>
        <v>1610</v>
      </c>
      <c r="E23" s="34">
        <v>1</v>
      </c>
      <c r="F23" s="31">
        <f>D23-($L$5*E23)</f>
        <v>-2875</v>
      </c>
      <c r="G23" s="8">
        <v>2063</v>
      </c>
      <c r="H23" s="11">
        <f t="shared" si="8"/>
        <v>2063</v>
      </c>
      <c r="N23" s="18">
        <v>4</v>
      </c>
      <c r="O23" s="18">
        <v>3</v>
      </c>
      <c r="P23" s="18">
        <f t="shared" si="0"/>
        <v>43.92</v>
      </c>
      <c r="Q23" s="18">
        <f t="shared" si="1"/>
        <v>-121.91</v>
      </c>
      <c r="R23" s="18">
        <f t="shared" si="2"/>
        <v>25.8</v>
      </c>
      <c r="S23" s="18">
        <f t="shared" si="3"/>
        <v>-73.930000000000007</v>
      </c>
      <c r="T23" s="18">
        <f t="shared" si="5"/>
        <v>66.099999999999994</v>
      </c>
    </row>
    <row r="24" spans="2:20" x14ac:dyDescent="0.35">
      <c r="N24" s="18">
        <v>4</v>
      </c>
      <c r="O24" s="18">
        <v>4</v>
      </c>
      <c r="P24" s="18">
        <f t="shared" si="0"/>
        <v>43.92</v>
      </c>
      <c r="Q24" s="18">
        <f t="shared" si="1"/>
        <v>-121.91</v>
      </c>
      <c r="R24" s="18">
        <f t="shared" si="2"/>
        <v>33.049999999999997</v>
      </c>
      <c r="S24" s="18">
        <f t="shared" si="3"/>
        <v>-91.02</v>
      </c>
      <c r="T24" s="18">
        <f t="shared" si="5"/>
        <v>41.760000000000005</v>
      </c>
    </row>
    <row r="25" spans="2:20" x14ac:dyDescent="0.35">
      <c r="E25" s="52"/>
      <c r="F25" s="52"/>
      <c r="G25" s="52"/>
      <c r="H25" s="52"/>
      <c r="I25" s="52"/>
      <c r="J25" s="52"/>
      <c r="N25" s="18">
        <v>4</v>
      </c>
      <c r="O25" s="18">
        <v>5</v>
      </c>
      <c r="P25" s="18">
        <f t="shared" si="0"/>
        <v>43.92</v>
      </c>
      <c r="Q25" s="18">
        <f t="shared" si="1"/>
        <v>-121.91</v>
      </c>
      <c r="R25" s="18">
        <f t="shared" si="2"/>
        <v>29.81</v>
      </c>
      <c r="S25" s="18">
        <f t="shared" si="3"/>
        <v>-119.01</v>
      </c>
      <c r="T25" s="18">
        <f t="shared" si="5"/>
        <v>17.009999999999994</v>
      </c>
    </row>
    <row r="26" spans="2:20" x14ac:dyDescent="0.35">
      <c r="D26" t="s">
        <v>47</v>
      </c>
      <c r="E26">
        <f>ROUNDUP(D$17/D4,0)</f>
        <v>92</v>
      </c>
      <c r="F26">
        <f t="shared" ref="F26:J26" si="9">ROUNDUP(E$17/E4,0)</f>
        <v>79</v>
      </c>
      <c r="G26">
        <f t="shared" si="9"/>
        <v>68</v>
      </c>
      <c r="H26">
        <f t="shared" si="9"/>
        <v>50</v>
      </c>
      <c r="I26">
        <f t="shared" si="9"/>
        <v>15</v>
      </c>
      <c r="J26">
        <f>ROUNDUP(I$17/I4,0)</f>
        <v>29</v>
      </c>
      <c r="K26">
        <f>MIN(E26:J26)</f>
        <v>15</v>
      </c>
      <c r="N26" s="18">
        <v>4</v>
      </c>
      <c r="O26" s="18">
        <v>6</v>
      </c>
      <c r="P26" s="18">
        <f t="shared" si="0"/>
        <v>43.92</v>
      </c>
      <c r="Q26" s="18">
        <f t="shared" si="1"/>
        <v>-121.91</v>
      </c>
      <c r="R26" s="18">
        <f t="shared" si="2"/>
        <v>42.34</v>
      </c>
      <c r="S26" s="18">
        <f t="shared" si="3"/>
        <v>-104.09</v>
      </c>
      <c r="T26" s="18">
        <f t="shared" si="5"/>
        <v>19.399999999999991</v>
      </c>
    </row>
    <row r="27" spans="2:20" x14ac:dyDescent="0.35">
      <c r="D27" t="s">
        <v>48</v>
      </c>
      <c r="E27">
        <f t="shared" ref="E27:J27" si="10">ROUNDUP(D$17/D5,0)</f>
        <v>90</v>
      </c>
      <c r="F27">
        <f t="shared" si="10"/>
        <v>52</v>
      </c>
      <c r="G27">
        <f t="shared" si="10"/>
        <v>88</v>
      </c>
      <c r="H27">
        <f t="shared" si="10"/>
        <v>32</v>
      </c>
      <c r="I27">
        <f t="shared" si="10"/>
        <v>14</v>
      </c>
      <c r="J27">
        <f t="shared" si="10"/>
        <v>21</v>
      </c>
      <c r="K27">
        <f t="shared" ref="K27:K29" si="11">MIN(E27:J27)</f>
        <v>14</v>
      </c>
    </row>
    <row r="28" spans="2:20" x14ac:dyDescent="0.35">
      <c r="D28" t="s">
        <v>49</v>
      </c>
      <c r="E28">
        <f t="shared" ref="E28:J28" si="12">ROUNDUP(D$17/D6,0)</f>
        <v>44</v>
      </c>
      <c r="F28">
        <f t="shared" si="12"/>
        <v>24</v>
      </c>
      <c r="G28">
        <f t="shared" si="12"/>
        <v>38</v>
      </c>
      <c r="H28">
        <f t="shared" si="12"/>
        <v>22</v>
      </c>
      <c r="I28">
        <f t="shared" si="12"/>
        <v>11</v>
      </c>
      <c r="J28">
        <f t="shared" si="12"/>
        <v>25</v>
      </c>
      <c r="K28">
        <f t="shared" si="11"/>
        <v>11</v>
      </c>
    </row>
    <row r="29" spans="2:20" x14ac:dyDescent="0.35">
      <c r="D29" t="s">
        <v>50</v>
      </c>
      <c r="E29">
        <f t="shared" ref="E29:J29" si="13">ROUNDUP(D$17/D7,0)</f>
        <v>11</v>
      </c>
      <c r="F29">
        <f t="shared" si="13"/>
        <v>10</v>
      </c>
      <c r="G29">
        <f t="shared" si="13"/>
        <v>14</v>
      </c>
      <c r="H29">
        <f t="shared" si="13"/>
        <v>18</v>
      </c>
      <c r="I29">
        <f t="shared" si="13"/>
        <v>40</v>
      </c>
      <c r="J29">
        <f>ROUNDUP(I$17/I7,0)</f>
        <v>48</v>
      </c>
      <c r="K29">
        <f t="shared" si="11"/>
        <v>10</v>
      </c>
    </row>
    <row r="34" spans="6:13" x14ac:dyDescent="0.35">
      <c r="F34" t="str">
        <f>_xlfn.CONCAT(D4,"*X",$C4,D$3)</f>
        <v>6.73*X11</v>
      </c>
      <c r="G34" t="str">
        <f>_xlfn.CONCAT(E4,"*X",$C4,E$3)</f>
        <v>7.61*X12</v>
      </c>
      <c r="H34" t="str">
        <f>_xlfn.CONCAT(F4,"*X",$C4,F$3)</f>
        <v>13.68*X13</v>
      </c>
      <c r="I34" t="str">
        <f>_xlfn.CONCAT(G4,"*X",$C4,G$3)</f>
        <v>14.82*X14</v>
      </c>
      <c r="J34" t="str">
        <f>_xlfn.CONCAT(H4,"*X",$C4,H$3)</f>
        <v>46.05*X15</v>
      </c>
      <c r="K34" t="str">
        <f>_xlfn.CONCAT(I4,"*X",$C4,I$3)</f>
        <v>33.02*X16</v>
      </c>
      <c r="L34" t="str">
        <f>_xlfn.TEXTJOIN(" + ", 1,F34:K34)</f>
        <v>6.73*X11 + 7.61*X12 + 13.68*X13 + 14.82*X14 + 46.05*X15 + 33.02*X16</v>
      </c>
    </row>
    <row r="35" spans="6:13" x14ac:dyDescent="0.35">
      <c r="F35" t="str">
        <f>_xlfn.CONCAT(D5,"*X",$C5,D$3)</f>
        <v>6.88*X21</v>
      </c>
      <c r="G35" t="str">
        <f>_xlfn.CONCAT(E5,"*X",$C5,E$3)</f>
        <v>11.64*X22</v>
      </c>
      <c r="H35" t="str">
        <f>_xlfn.CONCAT(F5,"*X",$C5,F$3)</f>
        <v>10.55*X23</v>
      </c>
      <c r="I35" t="str">
        <f>_xlfn.CONCAT(G5,"*X",$C5,G$3)</f>
        <v>23.39*X24</v>
      </c>
      <c r="J35" t="str">
        <f>_xlfn.CONCAT(H5,"*X",$C5,H$3)</f>
        <v>51.62*X25</v>
      </c>
      <c r="K35" t="str">
        <f>_xlfn.CONCAT(I5,"*X",$C5,I$3)</f>
        <v>45.75*X26</v>
      </c>
      <c r="L35" t="str">
        <f t="shared" ref="L35:L37" si="14">_xlfn.TEXTJOIN(" + ", 1,F35:K35)</f>
        <v>6.88*X21 + 11.64*X22 + 10.55*X23 + 23.39*X24 + 51.62*X25 + 45.75*X26</v>
      </c>
    </row>
    <row r="36" spans="6:13" x14ac:dyDescent="0.35">
      <c r="F36" t="str">
        <f>_xlfn.CONCAT(D6,"*X",$C6,D$3)</f>
        <v>14.16*X31</v>
      </c>
      <c r="G36" t="str">
        <f>_xlfn.CONCAT(E6,"*X",$C6,E$3)</f>
        <v>25.54*X32</v>
      </c>
      <c r="H36" t="str">
        <f>_xlfn.CONCAT(F6,"*X",$C6,F$3)</f>
        <v>24.45*X33</v>
      </c>
      <c r="I36" t="str">
        <f>_xlfn.CONCAT(G6,"*X",$C6,G$3)</f>
        <v>34.29*X34</v>
      </c>
      <c r="J36" t="str">
        <f>_xlfn.CONCAT(H6,"*X",$C6,H$3)</f>
        <v>65.52*X35</v>
      </c>
      <c r="K36" t="str">
        <f>_xlfn.CONCAT(I6,"*X",$C6,I$3)</f>
        <v>38.07*X36</v>
      </c>
      <c r="L36" t="str">
        <f t="shared" si="14"/>
        <v>14.16*X31 + 25.54*X32 + 24.45*X33 + 34.29*X34 + 65.52*X35 + 38.07*X36</v>
      </c>
    </row>
    <row r="37" spans="6:13" ht="37.5" customHeight="1" x14ac:dyDescent="0.35">
      <c r="F37" t="str">
        <f>_xlfn.CONCAT(D7,"*X",$C7,D$3)</f>
        <v>58.27*X41</v>
      </c>
      <c r="G37" t="str">
        <f>_xlfn.CONCAT(E7,"*X",$C7,E$3)</f>
        <v>60.03*X42</v>
      </c>
      <c r="H37" t="str">
        <f>_xlfn.CONCAT(F7,"*X",$C7,F$3)</f>
        <v>66.1*X43</v>
      </c>
      <c r="I37" t="str">
        <f>_xlfn.CONCAT(G7,"*X",$C7,G$3)</f>
        <v>41.76*X44</v>
      </c>
      <c r="J37" t="str">
        <f>_xlfn.CONCAT(H7,"*X",$C7,H$3)</f>
        <v>17.01*X45</v>
      </c>
      <c r="K37" t="str">
        <f>_xlfn.CONCAT(I7,"*X",$C7,I$3)</f>
        <v>19.4*X46</v>
      </c>
      <c r="L37" t="str">
        <f t="shared" si="14"/>
        <v>58.27*X41 + 60.03*X42 + 66.1*X43 + 41.76*X44 + 17.01*X45 + 19.4*X46</v>
      </c>
    </row>
    <row r="40" spans="6:13" x14ac:dyDescent="0.35">
      <c r="L40" t="s">
        <v>43</v>
      </c>
    </row>
    <row r="41" spans="6:13" x14ac:dyDescent="0.35">
      <c r="L41" t="s">
        <v>44</v>
      </c>
    </row>
    <row r="42" spans="6:13" x14ac:dyDescent="0.35">
      <c r="L42" t="s">
        <v>45</v>
      </c>
    </row>
    <row r="43" spans="6:13" x14ac:dyDescent="0.35">
      <c r="L43" t="s">
        <v>46</v>
      </c>
      <c r="M43" t="s">
        <v>42</v>
      </c>
    </row>
  </sheetData>
  <mergeCells count="6">
    <mergeCell ref="B4:B7"/>
    <mergeCell ref="G19:H19"/>
    <mergeCell ref="C19:D19"/>
    <mergeCell ref="D2:I2"/>
    <mergeCell ref="D10:I10"/>
    <mergeCell ref="B1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D8CE-F52C-4FB1-969F-0D8D1B9CE3BA}">
  <dimension ref="B1:Z37"/>
  <sheetViews>
    <sheetView zoomScale="90" zoomScaleNormal="90" workbookViewId="0">
      <selection activeCell="B2" sqref="B2"/>
    </sheetView>
  </sheetViews>
  <sheetFormatPr defaultRowHeight="14.5" x14ac:dyDescent="0.35"/>
  <cols>
    <col min="2" max="2" width="10.453125" bestFit="1" customWidth="1"/>
    <col min="3" max="3" width="15.54296875" bestFit="1" customWidth="1"/>
    <col min="5" max="5" width="9.36328125" bestFit="1" customWidth="1"/>
    <col min="8" max="8" width="10.08984375" bestFit="1" customWidth="1"/>
    <col min="10" max="10" width="10.453125" bestFit="1" customWidth="1"/>
    <col min="11" max="11" width="25.1796875" bestFit="1" customWidth="1"/>
    <col min="12" max="12" width="13.81640625" bestFit="1" customWidth="1"/>
    <col min="13" max="13" width="5.81640625" bestFit="1" customWidth="1"/>
    <col min="14" max="14" width="7.36328125" customWidth="1"/>
    <col min="15" max="16" width="10.90625" customWidth="1"/>
    <col min="18" max="18" width="7.26953125" bestFit="1" customWidth="1"/>
    <col min="19" max="19" width="11.08984375" bestFit="1" customWidth="1"/>
    <col min="20" max="20" width="10.26953125" bestFit="1" customWidth="1"/>
    <col min="21" max="21" width="20.453125" bestFit="1" customWidth="1"/>
  </cols>
  <sheetData>
    <row r="1" spans="2:26" ht="15" thickBot="1" x14ac:dyDescent="0.4"/>
    <row r="2" spans="2:26" ht="15" thickBot="1" x14ac:dyDescent="0.4">
      <c r="B2" s="2"/>
      <c r="C2" s="7"/>
      <c r="D2" s="50" t="s">
        <v>38</v>
      </c>
      <c r="E2" s="50"/>
      <c r="F2" s="50"/>
      <c r="G2" s="50"/>
      <c r="H2" s="50"/>
      <c r="I2" s="51"/>
      <c r="N2" s="19" t="s">
        <v>21</v>
      </c>
      <c r="O2" s="20" t="s">
        <v>22</v>
      </c>
      <c r="P2" s="20" t="s">
        <v>23</v>
      </c>
      <c r="Q2" s="20" t="s">
        <v>24</v>
      </c>
      <c r="R2" s="20" t="s">
        <v>25</v>
      </c>
      <c r="S2" s="20" t="s">
        <v>26</v>
      </c>
      <c r="T2" s="21" t="s">
        <v>27</v>
      </c>
    </row>
    <row r="3" spans="2:26" ht="15" thickBot="1" x14ac:dyDescent="0.4">
      <c r="B3" s="5"/>
      <c r="C3" s="28" t="s">
        <v>28</v>
      </c>
      <c r="D3" s="15">
        <v>1</v>
      </c>
      <c r="E3" s="16">
        <v>2</v>
      </c>
      <c r="F3" s="16">
        <v>3</v>
      </c>
      <c r="G3" s="16">
        <v>4</v>
      </c>
      <c r="H3" s="16">
        <v>5</v>
      </c>
      <c r="I3" s="17">
        <v>6</v>
      </c>
      <c r="K3" s="26" t="s">
        <v>35</v>
      </c>
      <c r="L3" s="37">
        <f>SUM(L6:L7)</f>
        <v>1860191.1999999997</v>
      </c>
      <c r="N3" s="18">
        <v>1</v>
      </c>
      <c r="O3" s="18">
        <v>1</v>
      </c>
      <c r="P3" s="18">
        <f t="shared" ref="P3:P26" si="0">_xlfn.XLOOKUP(N3,$V$12:$V$15,$Y$12:$Y$15)</f>
        <v>35.130000000000003</v>
      </c>
      <c r="Q3" s="18">
        <f t="shared" ref="Q3:Q26" si="1">_xlfn.XLOOKUP(N3,$V$12:$V$15,$Z$12:$Z$15)</f>
        <v>-78.28</v>
      </c>
      <c r="R3" s="18">
        <f t="shared" ref="R3:R26" si="2">_xlfn.XLOOKUP(O3,$V$4:$V$9,$Y$4:$Y$9)</f>
        <v>35.57</v>
      </c>
      <c r="S3" s="18">
        <f t="shared" ref="S3:S26" si="3">_xlfn.XLOOKUP(O3,$V$4:$V$9,$Z$4:$Z$9)</f>
        <v>-71.989999999999995</v>
      </c>
      <c r="T3" s="18">
        <f>ABS(P3-R3)+ABS(Q3-S3)</f>
        <v>6.730000000000004</v>
      </c>
      <c r="V3" t="s">
        <v>20</v>
      </c>
      <c r="W3" t="s">
        <v>7</v>
      </c>
      <c r="X3" t="s">
        <v>19</v>
      </c>
      <c r="Y3" t="s">
        <v>5</v>
      </c>
      <c r="Z3" t="s">
        <v>4</v>
      </c>
    </row>
    <row r="4" spans="2:26" ht="15" thickBot="1" x14ac:dyDescent="0.4">
      <c r="B4" s="44" t="s">
        <v>39</v>
      </c>
      <c r="C4" s="27">
        <v>1</v>
      </c>
      <c r="D4" s="9">
        <f>SUMIFS($T$3:$T$26,$O$3:$O$26,D$3,$N$3:$N$26,$C4)*30</f>
        <v>201.90000000000012</v>
      </c>
      <c r="E4" s="9">
        <f t="shared" ref="E4:I7" si="4">SUMIFS($T$3:$T$26,$O$3:$O$26,E$3,$N$3:$N$26,$C4)*30</f>
        <v>228.29999999999998</v>
      </c>
      <c r="F4" s="9">
        <f t="shared" si="4"/>
        <v>410.39999999999986</v>
      </c>
      <c r="G4" s="9">
        <f t="shared" si="4"/>
        <v>444.6</v>
      </c>
      <c r="H4" s="9">
        <f t="shared" si="4"/>
        <v>1381.5000000000005</v>
      </c>
      <c r="I4" s="9">
        <f t="shared" si="4"/>
        <v>990.60000000000014</v>
      </c>
      <c r="K4" s="22"/>
      <c r="N4" s="18">
        <v>1</v>
      </c>
      <c r="O4" s="18">
        <v>2</v>
      </c>
      <c r="P4" s="18">
        <f t="shared" si="0"/>
        <v>35.130000000000003</v>
      </c>
      <c r="Q4" s="18">
        <f t="shared" si="1"/>
        <v>-78.28</v>
      </c>
      <c r="R4" s="18">
        <f t="shared" si="2"/>
        <v>28.29</v>
      </c>
      <c r="S4" s="18">
        <f t="shared" si="3"/>
        <v>-77.510000000000005</v>
      </c>
      <c r="T4" s="18">
        <f t="shared" ref="T4:T26" si="5">ABS(P4-R4)+ABS(Q4-S4)</f>
        <v>7.6099999999999994</v>
      </c>
      <c r="V4">
        <v>1</v>
      </c>
      <c r="W4" t="s">
        <v>18</v>
      </c>
      <c r="X4">
        <v>617</v>
      </c>
      <c r="Y4">
        <v>35.57</v>
      </c>
      <c r="Z4">
        <v>-71.989999999999995</v>
      </c>
    </row>
    <row r="5" spans="2:26" x14ac:dyDescent="0.35">
      <c r="B5" s="44"/>
      <c r="C5" s="13">
        <v>2</v>
      </c>
      <c r="D5" s="9">
        <f t="shared" ref="D5:D7" si="6">SUMIFS($T$3:$T$26,$O$3:$O$26,D$3,$N$3:$N$26,$C5)*30</f>
        <v>206.39999999999998</v>
      </c>
      <c r="E5" s="9">
        <f t="shared" si="4"/>
        <v>349.20000000000033</v>
      </c>
      <c r="F5" s="9">
        <f t="shared" si="4"/>
        <v>316.50000000000034</v>
      </c>
      <c r="G5" s="9">
        <f t="shared" si="4"/>
        <v>701.69999999999993</v>
      </c>
      <c r="H5" s="9">
        <f t="shared" si="4"/>
        <v>1548.6000000000004</v>
      </c>
      <c r="I5" s="9">
        <f t="shared" si="4"/>
        <v>1372.5000000000005</v>
      </c>
      <c r="K5" s="23" t="s">
        <v>34</v>
      </c>
      <c r="L5" s="38">
        <f>SUM(D17:I17)</f>
        <v>4485</v>
      </c>
      <c r="N5" s="18">
        <v>1</v>
      </c>
      <c r="O5" s="18">
        <v>3</v>
      </c>
      <c r="P5" s="18">
        <f t="shared" si="0"/>
        <v>35.130000000000003</v>
      </c>
      <c r="Q5" s="18">
        <f t="shared" si="1"/>
        <v>-78.28</v>
      </c>
      <c r="R5" s="18">
        <f t="shared" si="2"/>
        <v>25.8</v>
      </c>
      <c r="S5" s="18">
        <f t="shared" si="3"/>
        <v>-73.930000000000007</v>
      </c>
      <c r="T5" s="18">
        <f t="shared" si="5"/>
        <v>13.679999999999996</v>
      </c>
      <c r="V5">
        <v>2</v>
      </c>
      <c r="W5" t="s">
        <v>17</v>
      </c>
      <c r="X5">
        <v>600</v>
      </c>
      <c r="Y5">
        <v>28.29</v>
      </c>
      <c r="Z5">
        <v>-77.510000000000005</v>
      </c>
    </row>
    <row r="6" spans="2:26" x14ac:dyDescent="0.35">
      <c r="B6" s="44"/>
      <c r="C6" s="13">
        <v>3</v>
      </c>
      <c r="D6" s="9">
        <f t="shared" si="6"/>
        <v>424.8000000000003</v>
      </c>
      <c r="E6" s="9">
        <f t="shared" si="4"/>
        <v>766.20000000000016</v>
      </c>
      <c r="F6" s="9">
        <f t="shared" si="4"/>
        <v>733.50000000000023</v>
      </c>
      <c r="G6" s="9">
        <f t="shared" si="4"/>
        <v>1028.7</v>
      </c>
      <c r="H6" s="9">
        <f t="shared" si="4"/>
        <v>1965.6000000000004</v>
      </c>
      <c r="I6" s="9">
        <f t="shared" si="4"/>
        <v>1142.0999999999999</v>
      </c>
      <c r="K6" s="24" t="s">
        <v>36</v>
      </c>
      <c r="L6" s="40">
        <f>SUMPRODUCT(D4:I7,D12:I15)</f>
        <v>1855639.1999999997</v>
      </c>
      <c r="N6" s="18">
        <v>1</v>
      </c>
      <c r="O6" s="18">
        <v>4</v>
      </c>
      <c r="P6" s="18">
        <f t="shared" si="0"/>
        <v>35.130000000000003</v>
      </c>
      <c r="Q6" s="18">
        <f t="shared" si="1"/>
        <v>-78.28</v>
      </c>
      <c r="R6" s="18">
        <f t="shared" si="2"/>
        <v>33.049999999999997</v>
      </c>
      <c r="S6" s="18">
        <f t="shared" si="3"/>
        <v>-91.02</v>
      </c>
      <c r="T6" s="18">
        <f t="shared" si="5"/>
        <v>14.82</v>
      </c>
      <c r="V6">
        <v>3</v>
      </c>
      <c r="W6" t="s">
        <v>16</v>
      </c>
      <c r="X6">
        <v>918</v>
      </c>
      <c r="Y6">
        <v>25.8</v>
      </c>
      <c r="Z6">
        <v>-73.930000000000007</v>
      </c>
    </row>
    <row r="7" spans="2:26" ht="15" thickBot="1" x14ac:dyDescent="0.4">
      <c r="B7" s="45"/>
      <c r="C7" s="14">
        <v>4</v>
      </c>
      <c r="D7" s="9">
        <f t="shared" si="6"/>
        <v>1748.1000000000001</v>
      </c>
      <c r="E7" s="9">
        <f t="shared" si="4"/>
        <v>1800.8999999999999</v>
      </c>
      <c r="F7" s="9">
        <f t="shared" si="4"/>
        <v>1982.9999999999998</v>
      </c>
      <c r="G7" s="9">
        <f t="shared" si="4"/>
        <v>1252.8000000000002</v>
      </c>
      <c r="H7" s="9">
        <f t="shared" si="4"/>
        <v>510.29999999999984</v>
      </c>
      <c r="I7" s="9">
        <f t="shared" si="4"/>
        <v>581.99999999999977</v>
      </c>
      <c r="K7" s="24" t="s">
        <v>37</v>
      </c>
      <c r="L7" s="40">
        <f>SUM(H20:H23)</f>
        <v>4552</v>
      </c>
      <c r="N7" s="18">
        <v>1</v>
      </c>
      <c r="O7" s="18">
        <v>5</v>
      </c>
      <c r="P7" s="18">
        <f t="shared" si="0"/>
        <v>35.130000000000003</v>
      </c>
      <c r="Q7" s="18">
        <f t="shared" si="1"/>
        <v>-78.28</v>
      </c>
      <c r="R7" s="18">
        <f t="shared" si="2"/>
        <v>29.81</v>
      </c>
      <c r="S7" s="18">
        <f t="shared" si="3"/>
        <v>-119.01</v>
      </c>
      <c r="T7" s="18">
        <f t="shared" si="5"/>
        <v>46.050000000000011</v>
      </c>
      <c r="V7">
        <v>4</v>
      </c>
      <c r="W7" t="s">
        <v>15</v>
      </c>
      <c r="X7">
        <v>740</v>
      </c>
      <c r="Y7">
        <v>33.049999999999997</v>
      </c>
      <c r="Z7">
        <v>-91.02</v>
      </c>
    </row>
    <row r="8" spans="2:26" ht="15" thickBot="1" x14ac:dyDescent="0.4">
      <c r="K8" s="25" t="s">
        <v>41</v>
      </c>
      <c r="L8" s="39">
        <f>SUM(E20:E23)</f>
        <v>2</v>
      </c>
      <c r="N8" s="18">
        <v>1</v>
      </c>
      <c r="O8" s="18">
        <v>6</v>
      </c>
      <c r="P8" s="18">
        <f t="shared" si="0"/>
        <v>35.130000000000003</v>
      </c>
      <c r="Q8" s="18">
        <f t="shared" si="1"/>
        <v>-78.28</v>
      </c>
      <c r="R8" s="18">
        <f t="shared" si="2"/>
        <v>42.34</v>
      </c>
      <c r="S8" s="18">
        <f t="shared" si="3"/>
        <v>-104.09</v>
      </c>
      <c r="T8" s="18">
        <f t="shared" si="5"/>
        <v>33.020000000000003</v>
      </c>
      <c r="V8">
        <v>5</v>
      </c>
      <c r="W8" t="s">
        <v>14</v>
      </c>
      <c r="X8">
        <v>679</v>
      </c>
      <c r="Y8">
        <v>29.81</v>
      </c>
      <c r="Z8">
        <v>-119.01</v>
      </c>
    </row>
    <row r="9" spans="2:26" ht="15" thickBot="1" x14ac:dyDescent="0.4">
      <c r="N9" s="18">
        <v>2</v>
      </c>
      <c r="O9" s="18">
        <v>1</v>
      </c>
      <c r="P9" s="18">
        <f t="shared" si="0"/>
        <v>31.55</v>
      </c>
      <c r="Q9" s="18">
        <f t="shared" si="1"/>
        <v>-69.13</v>
      </c>
      <c r="R9" s="18">
        <f t="shared" si="2"/>
        <v>35.57</v>
      </c>
      <c r="S9" s="18">
        <f t="shared" si="3"/>
        <v>-71.989999999999995</v>
      </c>
      <c r="T9" s="18">
        <f t="shared" si="5"/>
        <v>6.879999999999999</v>
      </c>
      <c r="V9">
        <v>6</v>
      </c>
      <c r="W9" t="s">
        <v>13</v>
      </c>
      <c r="X9">
        <v>931</v>
      </c>
      <c r="Y9">
        <v>42.34</v>
      </c>
      <c r="Z9">
        <v>-104.09</v>
      </c>
    </row>
    <row r="10" spans="2:26" ht="15" thickBot="1" x14ac:dyDescent="0.4">
      <c r="B10" s="2"/>
      <c r="C10" s="7"/>
      <c r="D10" s="50" t="s">
        <v>38</v>
      </c>
      <c r="E10" s="50"/>
      <c r="F10" s="50"/>
      <c r="G10" s="50"/>
      <c r="H10" s="50"/>
      <c r="I10" s="51"/>
      <c r="N10" s="18">
        <v>2</v>
      </c>
      <c r="O10" s="18">
        <v>2</v>
      </c>
      <c r="P10" s="18">
        <f t="shared" si="0"/>
        <v>31.55</v>
      </c>
      <c r="Q10" s="18">
        <f t="shared" si="1"/>
        <v>-69.13</v>
      </c>
      <c r="R10" s="18">
        <f t="shared" si="2"/>
        <v>28.29</v>
      </c>
      <c r="S10" s="18">
        <f t="shared" si="3"/>
        <v>-77.510000000000005</v>
      </c>
      <c r="T10" s="18">
        <f t="shared" si="5"/>
        <v>11.640000000000011</v>
      </c>
    </row>
    <row r="11" spans="2:26" ht="15" thickBot="1" x14ac:dyDescent="0.4">
      <c r="B11" s="5"/>
      <c r="C11" s="28" t="s">
        <v>28</v>
      </c>
      <c r="D11" s="15">
        <v>1</v>
      </c>
      <c r="E11" s="16">
        <v>2</v>
      </c>
      <c r="F11" s="16">
        <v>3</v>
      </c>
      <c r="G11" s="16">
        <v>4</v>
      </c>
      <c r="H11" s="16">
        <v>5</v>
      </c>
      <c r="I11" s="17">
        <v>6</v>
      </c>
      <c r="N11" s="18">
        <v>2</v>
      </c>
      <c r="O11" s="18">
        <v>3</v>
      </c>
      <c r="P11" s="18">
        <f t="shared" si="0"/>
        <v>31.55</v>
      </c>
      <c r="Q11" s="18">
        <f t="shared" si="1"/>
        <v>-69.13</v>
      </c>
      <c r="R11" s="18">
        <f t="shared" si="2"/>
        <v>25.8</v>
      </c>
      <c r="S11" s="18">
        <f t="shared" si="3"/>
        <v>-73.930000000000007</v>
      </c>
      <c r="T11" s="18">
        <f t="shared" si="5"/>
        <v>10.550000000000011</v>
      </c>
      <c r="V11" t="s">
        <v>8</v>
      </c>
      <c r="W11" t="s">
        <v>7</v>
      </c>
      <c r="X11" t="s">
        <v>6</v>
      </c>
      <c r="Y11" t="s">
        <v>5</v>
      </c>
      <c r="Z11" t="s">
        <v>4</v>
      </c>
    </row>
    <row r="12" spans="2:26" x14ac:dyDescent="0.35">
      <c r="B12" s="44" t="s">
        <v>39</v>
      </c>
      <c r="C12" s="13">
        <v>1</v>
      </c>
      <c r="D12" s="29">
        <v>617.00000000000011</v>
      </c>
      <c r="E12" s="29">
        <v>600</v>
      </c>
      <c r="F12" s="29">
        <v>918</v>
      </c>
      <c r="G12" s="29">
        <v>740</v>
      </c>
      <c r="H12" s="29">
        <v>0</v>
      </c>
      <c r="I12" s="30">
        <v>0</v>
      </c>
      <c r="N12" s="18">
        <v>2</v>
      </c>
      <c r="O12" s="18">
        <v>4</v>
      </c>
      <c r="P12" s="18">
        <f t="shared" si="0"/>
        <v>31.55</v>
      </c>
      <c r="Q12" s="18">
        <f t="shared" si="1"/>
        <v>-69.13</v>
      </c>
      <c r="R12" s="18">
        <f t="shared" si="2"/>
        <v>33.049999999999997</v>
      </c>
      <c r="S12" s="18">
        <f t="shared" si="3"/>
        <v>-91.02</v>
      </c>
      <c r="T12" s="18">
        <f t="shared" si="5"/>
        <v>23.389999999999997</v>
      </c>
      <c r="V12">
        <v>1</v>
      </c>
      <c r="W12" t="s">
        <v>3</v>
      </c>
      <c r="X12">
        <v>2489</v>
      </c>
      <c r="Y12">
        <v>35.130000000000003</v>
      </c>
      <c r="Z12">
        <v>-78.28</v>
      </c>
    </row>
    <row r="13" spans="2:26" x14ac:dyDescent="0.35">
      <c r="B13" s="44"/>
      <c r="C13" s="13">
        <v>2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30">
        <v>0</v>
      </c>
      <c r="N13" s="18">
        <v>2</v>
      </c>
      <c r="O13" s="18">
        <v>5</v>
      </c>
      <c r="P13" s="18">
        <f t="shared" si="0"/>
        <v>31.55</v>
      </c>
      <c r="Q13" s="18">
        <f t="shared" si="1"/>
        <v>-69.13</v>
      </c>
      <c r="R13" s="18">
        <f t="shared" si="2"/>
        <v>29.81</v>
      </c>
      <c r="S13" s="18">
        <f t="shared" si="3"/>
        <v>-119.01</v>
      </c>
      <c r="T13" s="18">
        <f t="shared" si="5"/>
        <v>51.620000000000012</v>
      </c>
      <c r="V13">
        <v>2</v>
      </c>
      <c r="W13" t="s">
        <v>2</v>
      </c>
      <c r="X13">
        <v>2768</v>
      </c>
      <c r="Y13">
        <v>31.55</v>
      </c>
      <c r="Z13">
        <v>-69.13</v>
      </c>
    </row>
    <row r="14" spans="2:26" x14ac:dyDescent="0.35">
      <c r="B14" s="44"/>
      <c r="C14" s="13">
        <v>3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30">
        <v>0</v>
      </c>
      <c r="N14" s="18">
        <v>2</v>
      </c>
      <c r="O14" s="18">
        <v>6</v>
      </c>
      <c r="P14" s="18">
        <f t="shared" si="0"/>
        <v>31.55</v>
      </c>
      <c r="Q14" s="18">
        <f t="shared" si="1"/>
        <v>-69.13</v>
      </c>
      <c r="R14" s="18">
        <f t="shared" si="2"/>
        <v>42.34</v>
      </c>
      <c r="S14" s="18">
        <f t="shared" si="3"/>
        <v>-104.09</v>
      </c>
      <c r="T14" s="18">
        <f t="shared" si="5"/>
        <v>45.750000000000014</v>
      </c>
      <c r="V14">
        <v>3</v>
      </c>
      <c r="W14" t="s">
        <v>1</v>
      </c>
      <c r="X14">
        <v>2268</v>
      </c>
      <c r="Y14">
        <v>49.02</v>
      </c>
      <c r="Z14">
        <v>-72.7</v>
      </c>
    </row>
    <row r="15" spans="2:26" ht="15" thickBot="1" x14ac:dyDescent="0.4">
      <c r="B15" s="45"/>
      <c r="C15" s="14">
        <v>4</v>
      </c>
      <c r="D15" s="31">
        <v>0</v>
      </c>
      <c r="E15" s="31">
        <v>0</v>
      </c>
      <c r="F15" s="31">
        <v>0</v>
      </c>
      <c r="G15" s="31">
        <v>0</v>
      </c>
      <c r="H15" s="31">
        <v>679</v>
      </c>
      <c r="I15" s="32">
        <v>931</v>
      </c>
      <c r="N15" s="18">
        <v>3</v>
      </c>
      <c r="O15" s="18">
        <v>1</v>
      </c>
      <c r="P15" s="18">
        <f t="shared" si="0"/>
        <v>49.02</v>
      </c>
      <c r="Q15" s="18">
        <f t="shared" si="1"/>
        <v>-72.7</v>
      </c>
      <c r="R15" s="18">
        <f t="shared" si="2"/>
        <v>35.57</v>
      </c>
      <c r="S15" s="18">
        <f t="shared" si="3"/>
        <v>-71.989999999999995</v>
      </c>
      <c r="T15" s="18">
        <f t="shared" si="5"/>
        <v>14.160000000000011</v>
      </c>
      <c r="V15">
        <v>4</v>
      </c>
      <c r="W15" t="s">
        <v>0</v>
      </c>
      <c r="X15">
        <v>2063</v>
      </c>
      <c r="Y15">
        <v>43.92</v>
      </c>
      <c r="Z15">
        <v>-121.91</v>
      </c>
    </row>
    <row r="16" spans="2:26" ht="15" thickBot="1" x14ac:dyDescent="0.4">
      <c r="B16" s="5"/>
      <c r="C16" s="43" t="s">
        <v>40</v>
      </c>
      <c r="D16" s="35">
        <f>SUM(D12:D15)</f>
        <v>617.00000000000011</v>
      </c>
      <c r="E16" s="35">
        <f t="shared" ref="E16:I16" si="7">SUM(E12:E15)</f>
        <v>600</v>
      </c>
      <c r="F16" s="35">
        <f t="shared" si="7"/>
        <v>918</v>
      </c>
      <c r="G16" s="35">
        <f t="shared" si="7"/>
        <v>740</v>
      </c>
      <c r="H16" s="35">
        <f t="shared" si="7"/>
        <v>679</v>
      </c>
      <c r="I16" s="36">
        <f t="shared" si="7"/>
        <v>931</v>
      </c>
      <c r="N16" s="18">
        <v>3</v>
      </c>
      <c r="O16" s="18">
        <v>2</v>
      </c>
      <c r="P16" s="18">
        <f t="shared" si="0"/>
        <v>49.02</v>
      </c>
      <c r="Q16" s="18">
        <f t="shared" si="1"/>
        <v>-72.7</v>
      </c>
      <c r="R16" s="18">
        <f t="shared" si="2"/>
        <v>28.29</v>
      </c>
      <c r="S16" s="18">
        <f t="shared" si="3"/>
        <v>-77.510000000000005</v>
      </c>
      <c r="T16" s="18">
        <f t="shared" si="5"/>
        <v>25.540000000000006</v>
      </c>
    </row>
    <row r="17" spans="2:20" ht="15" thickBot="1" x14ac:dyDescent="0.4">
      <c r="B17" s="6"/>
      <c r="C17" s="42" t="s">
        <v>29</v>
      </c>
      <c r="D17" s="1">
        <f t="shared" ref="D17:I17" si="8">_xlfn.XLOOKUP(D11,$V$4:$V$9,$X$4:$X$9)</f>
        <v>617</v>
      </c>
      <c r="E17" s="1">
        <f t="shared" si="8"/>
        <v>600</v>
      </c>
      <c r="F17" s="1">
        <f t="shared" si="8"/>
        <v>918</v>
      </c>
      <c r="G17" s="1">
        <f t="shared" si="8"/>
        <v>740</v>
      </c>
      <c r="H17" s="1">
        <f t="shared" si="8"/>
        <v>679</v>
      </c>
      <c r="I17" s="12">
        <f t="shared" si="8"/>
        <v>931</v>
      </c>
      <c r="N17" s="18">
        <v>3</v>
      </c>
      <c r="O17" s="18">
        <v>3</v>
      </c>
      <c r="P17" s="18">
        <f t="shared" si="0"/>
        <v>49.02</v>
      </c>
      <c r="Q17" s="18">
        <f t="shared" si="1"/>
        <v>-72.7</v>
      </c>
      <c r="R17" s="18">
        <f t="shared" si="2"/>
        <v>25.8</v>
      </c>
      <c r="S17" s="18">
        <f t="shared" si="3"/>
        <v>-73.930000000000007</v>
      </c>
      <c r="T17" s="18">
        <f t="shared" si="5"/>
        <v>24.450000000000006</v>
      </c>
    </row>
    <row r="18" spans="2:20" ht="15" thickBot="1" x14ac:dyDescent="0.4">
      <c r="N18" s="18">
        <v>3</v>
      </c>
      <c r="O18" s="18">
        <v>4</v>
      </c>
      <c r="P18" s="18">
        <f t="shared" si="0"/>
        <v>49.02</v>
      </c>
      <c r="Q18" s="18">
        <f t="shared" si="1"/>
        <v>-72.7</v>
      </c>
      <c r="R18" s="18">
        <f t="shared" si="2"/>
        <v>33.049999999999997</v>
      </c>
      <c r="S18" s="18">
        <f t="shared" si="3"/>
        <v>-91.02</v>
      </c>
      <c r="T18" s="18">
        <f t="shared" si="5"/>
        <v>34.29</v>
      </c>
    </row>
    <row r="19" spans="2:20" ht="14.5" customHeight="1" thickBot="1" x14ac:dyDescent="0.4">
      <c r="C19" s="48" t="s">
        <v>30</v>
      </c>
      <c r="D19" s="49"/>
      <c r="E19" s="41" t="s">
        <v>32</v>
      </c>
      <c r="F19" s="41" t="s">
        <v>33</v>
      </c>
      <c r="G19" s="46" t="s">
        <v>31</v>
      </c>
      <c r="H19" s="47"/>
      <c r="N19" s="18">
        <v>3</v>
      </c>
      <c r="O19" s="18">
        <v>5</v>
      </c>
      <c r="P19" s="18">
        <f t="shared" si="0"/>
        <v>49.02</v>
      </c>
      <c r="Q19" s="18">
        <f t="shared" si="1"/>
        <v>-72.7</v>
      </c>
      <c r="R19" s="18">
        <f t="shared" si="2"/>
        <v>29.81</v>
      </c>
      <c r="S19" s="18">
        <f t="shared" si="3"/>
        <v>-119.01</v>
      </c>
      <c r="T19" s="18">
        <f t="shared" si="5"/>
        <v>65.52000000000001</v>
      </c>
    </row>
    <row r="20" spans="2:20" x14ac:dyDescent="0.35">
      <c r="C20" s="3">
        <v>1</v>
      </c>
      <c r="D20" s="9">
        <f>SUM(D12:I12)</f>
        <v>2875</v>
      </c>
      <c r="E20" s="33">
        <v>1</v>
      </c>
      <c r="F20" s="29">
        <f>D20-($L$5*E20)</f>
        <v>-1610</v>
      </c>
      <c r="G20" s="9">
        <v>2489</v>
      </c>
      <c r="H20" s="10">
        <f>G20*E20</f>
        <v>2489</v>
      </c>
      <c r="N20" s="18">
        <v>3</v>
      </c>
      <c r="O20" s="18">
        <v>6</v>
      </c>
      <c r="P20" s="18">
        <f t="shared" si="0"/>
        <v>49.02</v>
      </c>
      <c r="Q20" s="18">
        <f t="shared" si="1"/>
        <v>-72.7</v>
      </c>
      <c r="R20" s="18">
        <f t="shared" si="2"/>
        <v>42.34</v>
      </c>
      <c r="S20" s="18">
        <f t="shared" si="3"/>
        <v>-104.09</v>
      </c>
      <c r="T20" s="18">
        <f t="shared" si="5"/>
        <v>38.07</v>
      </c>
    </row>
    <row r="21" spans="2:20" x14ac:dyDescent="0.35">
      <c r="C21" s="3">
        <v>2</v>
      </c>
      <c r="D21" s="9">
        <f>SUM(D13:I13)</f>
        <v>0</v>
      </c>
      <c r="E21" s="33">
        <v>0</v>
      </c>
      <c r="F21" s="29">
        <f>D21-($L$5*E21)</f>
        <v>0</v>
      </c>
      <c r="G21" s="9">
        <v>2768</v>
      </c>
      <c r="H21" s="10">
        <f t="shared" ref="H21:H23" si="9">G21*E21</f>
        <v>0</v>
      </c>
      <c r="N21" s="18">
        <v>4</v>
      </c>
      <c r="O21" s="18">
        <v>1</v>
      </c>
      <c r="P21" s="18">
        <f t="shared" si="0"/>
        <v>43.92</v>
      </c>
      <c r="Q21" s="18">
        <f t="shared" si="1"/>
        <v>-121.91</v>
      </c>
      <c r="R21" s="18">
        <f t="shared" si="2"/>
        <v>35.57</v>
      </c>
      <c r="S21" s="18">
        <f t="shared" si="3"/>
        <v>-71.989999999999995</v>
      </c>
      <c r="T21" s="18">
        <f t="shared" si="5"/>
        <v>58.27</v>
      </c>
    </row>
    <row r="22" spans="2:20" x14ac:dyDescent="0.35">
      <c r="C22" s="3">
        <v>3</v>
      </c>
      <c r="D22" s="9">
        <f>SUM(D14:I14)</f>
        <v>0</v>
      </c>
      <c r="E22" s="33">
        <v>0</v>
      </c>
      <c r="F22" s="29">
        <f>D22-($L$5*E22)</f>
        <v>0</v>
      </c>
      <c r="G22" s="9">
        <v>2268</v>
      </c>
      <c r="H22" s="10">
        <f t="shared" si="9"/>
        <v>0</v>
      </c>
      <c r="N22" s="18">
        <v>4</v>
      </c>
      <c r="O22" s="18">
        <v>2</v>
      </c>
      <c r="P22" s="18">
        <f t="shared" si="0"/>
        <v>43.92</v>
      </c>
      <c r="Q22" s="18">
        <f t="shared" si="1"/>
        <v>-121.91</v>
      </c>
      <c r="R22" s="18">
        <f t="shared" si="2"/>
        <v>28.29</v>
      </c>
      <c r="S22" s="18">
        <f t="shared" si="3"/>
        <v>-77.510000000000005</v>
      </c>
      <c r="T22" s="18">
        <f t="shared" si="5"/>
        <v>60.029999999999994</v>
      </c>
    </row>
    <row r="23" spans="2:20" ht="15" thickBot="1" x14ac:dyDescent="0.4">
      <c r="C23" s="4">
        <v>4</v>
      </c>
      <c r="D23" s="8">
        <f>SUM(D15:I15)</f>
        <v>1610</v>
      </c>
      <c r="E23" s="34">
        <v>1</v>
      </c>
      <c r="F23" s="31">
        <f>D23-($L$5*E23)</f>
        <v>-2875</v>
      </c>
      <c r="G23" s="8">
        <v>2063</v>
      </c>
      <c r="H23" s="11">
        <f t="shared" si="9"/>
        <v>2063</v>
      </c>
      <c r="N23" s="18">
        <v>4</v>
      </c>
      <c r="O23" s="18">
        <v>3</v>
      </c>
      <c r="P23" s="18">
        <f t="shared" si="0"/>
        <v>43.92</v>
      </c>
      <c r="Q23" s="18">
        <f t="shared" si="1"/>
        <v>-121.91</v>
      </c>
      <c r="R23" s="18">
        <f t="shared" si="2"/>
        <v>25.8</v>
      </c>
      <c r="S23" s="18">
        <f t="shared" si="3"/>
        <v>-73.930000000000007</v>
      </c>
      <c r="T23" s="18">
        <f t="shared" si="5"/>
        <v>66.099999999999994</v>
      </c>
    </row>
    <row r="24" spans="2:20" x14ac:dyDescent="0.35">
      <c r="N24" s="18">
        <v>4</v>
      </c>
      <c r="O24" s="18">
        <v>4</v>
      </c>
      <c r="P24" s="18">
        <f t="shared" si="0"/>
        <v>43.92</v>
      </c>
      <c r="Q24" s="18">
        <f t="shared" si="1"/>
        <v>-121.91</v>
      </c>
      <c r="R24" s="18">
        <f t="shared" si="2"/>
        <v>33.049999999999997</v>
      </c>
      <c r="S24" s="18">
        <f t="shared" si="3"/>
        <v>-91.02</v>
      </c>
      <c r="T24" s="18">
        <f t="shared" si="5"/>
        <v>41.760000000000005</v>
      </c>
    </row>
    <row r="25" spans="2:20" x14ac:dyDescent="0.35">
      <c r="N25" s="18">
        <v>4</v>
      </c>
      <c r="O25" s="18">
        <v>5</v>
      </c>
      <c r="P25" s="18">
        <f t="shared" si="0"/>
        <v>43.92</v>
      </c>
      <c r="Q25" s="18">
        <f t="shared" si="1"/>
        <v>-121.91</v>
      </c>
      <c r="R25" s="18">
        <f t="shared" si="2"/>
        <v>29.81</v>
      </c>
      <c r="S25" s="18">
        <f t="shared" si="3"/>
        <v>-119.01</v>
      </c>
      <c r="T25" s="18">
        <f t="shared" si="5"/>
        <v>17.009999999999994</v>
      </c>
    </row>
    <row r="26" spans="2:20" x14ac:dyDescent="0.35">
      <c r="N26" s="18">
        <v>4</v>
      </c>
      <c r="O26" s="18">
        <v>6</v>
      </c>
      <c r="P26" s="18">
        <f t="shared" si="0"/>
        <v>43.92</v>
      </c>
      <c r="Q26" s="18">
        <f t="shared" si="1"/>
        <v>-121.91</v>
      </c>
      <c r="R26" s="18">
        <f t="shared" si="2"/>
        <v>42.34</v>
      </c>
      <c r="S26" s="18">
        <f t="shared" si="3"/>
        <v>-104.09</v>
      </c>
      <c r="T26" s="18">
        <f t="shared" si="5"/>
        <v>19.399999999999991</v>
      </c>
    </row>
    <row r="37" ht="37.5" customHeight="1" x14ac:dyDescent="0.35"/>
  </sheetData>
  <mergeCells count="6">
    <mergeCell ref="D2:I2"/>
    <mergeCell ref="B4:B7"/>
    <mergeCell ref="D10:I10"/>
    <mergeCell ref="B12:B15"/>
    <mergeCell ref="C19:D19"/>
    <mergeCell ref="G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93EF-67E2-4C1D-80F0-59100FE79CD6}">
  <dimension ref="A1:E7"/>
  <sheetViews>
    <sheetView workbookViewId="0">
      <selection sqref="A1:E7"/>
    </sheetView>
  </sheetViews>
  <sheetFormatPr defaultRowHeight="14.5" x14ac:dyDescent="0.35"/>
  <cols>
    <col min="1" max="1" width="16.81640625" bestFit="1" customWidth="1"/>
    <col min="2" max="2" width="20.36328125" bestFit="1" customWidth="1"/>
    <col min="3" max="3" width="7.7265625" bestFit="1" customWidth="1"/>
  </cols>
  <sheetData>
    <row r="1" spans="1:5" x14ac:dyDescent="0.35">
      <c r="A1" t="s">
        <v>20</v>
      </c>
      <c r="B1" t="s">
        <v>7</v>
      </c>
      <c r="C1" t="s">
        <v>19</v>
      </c>
      <c r="D1" t="s">
        <v>5</v>
      </c>
      <c r="E1" t="s">
        <v>4</v>
      </c>
    </row>
    <row r="2" spans="1:5" x14ac:dyDescent="0.35">
      <c r="A2">
        <v>1</v>
      </c>
      <c r="B2" t="s">
        <v>18</v>
      </c>
      <c r="C2">
        <v>617</v>
      </c>
      <c r="D2">
        <v>35.57</v>
      </c>
      <c r="E2">
        <v>-71.989999999999995</v>
      </c>
    </row>
    <row r="3" spans="1:5" x14ac:dyDescent="0.35">
      <c r="A3">
        <v>2</v>
      </c>
      <c r="B3" t="s">
        <v>17</v>
      </c>
      <c r="C3">
        <v>600</v>
      </c>
      <c r="D3">
        <v>28.29</v>
      </c>
      <c r="E3">
        <v>-77.510000000000005</v>
      </c>
    </row>
    <row r="4" spans="1:5" x14ac:dyDescent="0.35">
      <c r="A4">
        <v>3</v>
      </c>
      <c r="B4" t="s">
        <v>16</v>
      </c>
      <c r="C4">
        <v>918</v>
      </c>
      <c r="D4">
        <v>25.8</v>
      </c>
      <c r="E4">
        <v>-73.930000000000007</v>
      </c>
    </row>
    <row r="5" spans="1:5" x14ac:dyDescent="0.35">
      <c r="A5">
        <v>4</v>
      </c>
      <c r="B5" t="s">
        <v>15</v>
      </c>
      <c r="C5">
        <v>740</v>
      </c>
      <c r="D5">
        <v>33.049999999999997</v>
      </c>
      <c r="E5">
        <v>-91.02</v>
      </c>
    </row>
    <row r="6" spans="1:5" x14ac:dyDescent="0.35">
      <c r="A6">
        <v>5</v>
      </c>
      <c r="B6" t="s">
        <v>14</v>
      </c>
      <c r="C6">
        <v>679</v>
      </c>
      <c r="D6">
        <v>29.81</v>
      </c>
      <c r="E6">
        <v>-119.01</v>
      </c>
    </row>
    <row r="7" spans="1:5" x14ac:dyDescent="0.35">
      <c r="A7">
        <v>6</v>
      </c>
      <c r="B7" t="s">
        <v>13</v>
      </c>
      <c r="C7">
        <v>931</v>
      </c>
      <c r="D7">
        <v>42.34</v>
      </c>
      <c r="E7">
        <v>-104.09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BDD8-C73B-44BF-B201-242A1E95995A}">
  <dimension ref="A1:E5"/>
  <sheetViews>
    <sheetView workbookViewId="0">
      <selection sqref="A1:E5"/>
    </sheetView>
  </sheetViews>
  <sheetFormatPr defaultRowHeight="14.5" x14ac:dyDescent="0.35"/>
  <cols>
    <col min="1" max="1" width="10.08984375" bestFit="1" customWidth="1"/>
    <col min="2" max="2" width="20.453125" bestFit="1" customWidth="1"/>
    <col min="3" max="3" width="10.81640625" bestFit="1" customWidth="1"/>
  </cols>
  <sheetData>
    <row r="1" spans="1:5" x14ac:dyDescent="0.35">
      <c r="A1" t="s">
        <v>8</v>
      </c>
      <c r="B1" t="s">
        <v>7</v>
      </c>
      <c r="C1" t="s">
        <v>6</v>
      </c>
      <c r="D1" t="s">
        <v>5</v>
      </c>
      <c r="E1" t="s">
        <v>4</v>
      </c>
    </row>
    <row r="2" spans="1:5" x14ac:dyDescent="0.35">
      <c r="A2">
        <v>1</v>
      </c>
      <c r="B2" t="s">
        <v>3</v>
      </c>
      <c r="C2">
        <v>2489</v>
      </c>
      <c r="D2">
        <v>35.130000000000003</v>
      </c>
      <c r="E2">
        <v>-78.28</v>
      </c>
    </row>
    <row r="3" spans="1:5" x14ac:dyDescent="0.35">
      <c r="A3">
        <v>2</v>
      </c>
      <c r="B3" t="s">
        <v>2</v>
      </c>
      <c r="C3">
        <v>2768</v>
      </c>
      <c r="D3">
        <v>31.55</v>
      </c>
      <c r="E3">
        <v>-69.13</v>
      </c>
    </row>
    <row r="4" spans="1:5" x14ac:dyDescent="0.35">
      <c r="A4">
        <v>3</v>
      </c>
      <c r="B4" t="s">
        <v>1</v>
      </c>
      <c r="C4">
        <v>2268</v>
      </c>
      <c r="D4">
        <v>49.02</v>
      </c>
      <c r="E4">
        <v>-72.7</v>
      </c>
    </row>
    <row r="5" spans="1:5" x14ac:dyDescent="0.35">
      <c r="A5">
        <v>4</v>
      </c>
      <c r="B5" t="s">
        <v>0</v>
      </c>
      <c r="C5">
        <v>2063</v>
      </c>
      <c r="D5">
        <v>43.92</v>
      </c>
      <c r="E5">
        <v>-121.91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267E-7E90-4121-A6BC-FECA440516E7}">
  <dimension ref="A1:C2"/>
  <sheetViews>
    <sheetView workbookViewId="0">
      <selection activeCell="G8" sqref="G8"/>
    </sheetView>
  </sheetViews>
  <sheetFormatPr defaultRowHeight="14.5" x14ac:dyDescent="0.35"/>
  <cols>
    <col min="1" max="1" width="8.90625" customWidth="1"/>
    <col min="2" max="2" width="20.36328125" bestFit="1" customWidth="1"/>
    <col min="3" max="3" width="26.6328125" bestFit="1" customWidth="1"/>
  </cols>
  <sheetData>
    <row r="1" spans="1:3" x14ac:dyDescent="0.35">
      <c r="A1" t="s">
        <v>12</v>
      </c>
      <c r="B1" t="s">
        <v>11</v>
      </c>
      <c r="C1" t="s">
        <v>10</v>
      </c>
    </row>
    <row r="2" spans="1:3" x14ac:dyDescent="0.35">
      <c r="A2">
        <v>2</v>
      </c>
      <c r="B2">
        <v>1</v>
      </c>
      <c r="C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Model (2)</vt:lpstr>
      <vt:lpstr>GriffsCandy_Module09_Distributi</vt:lpstr>
      <vt:lpstr>GriffsCandy_Module09_Warehouses</vt:lpstr>
      <vt:lpstr>GriffsCandy_Module09_Model_Cond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2025-04-17T16:25:10Z</dcterms:modified>
</cp:coreProperties>
</file>