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lack_pc\Desktop\plots\"/>
    </mc:Choice>
  </mc:AlternateContent>
  <xr:revisionPtr revIDLastSave="0" documentId="13_ncr:1_{FED0F746-6121-42E8-9040-7A25739DCD9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BTCUSDT" sheetId="1" r:id="rId1"/>
    <sheet name="Сделки" sheetId="2" r:id="rId2"/>
    <sheet name="График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 l="1"/>
  <c r="K2" i="2" l="1"/>
  <c r="I3" i="2"/>
  <c r="J3" i="2" l="1"/>
  <c r="K3" i="2" l="1"/>
  <c r="I4" i="2"/>
  <c r="J4" i="2" l="1"/>
  <c r="K4" i="2" l="1"/>
  <c r="I5" i="2"/>
  <c r="J5" i="2" l="1"/>
  <c r="I6" i="2" l="1"/>
  <c r="K5" i="2"/>
  <c r="J6" i="2" l="1"/>
  <c r="I7" i="2" l="1"/>
  <c r="K6" i="2"/>
  <c r="J7" i="2" l="1"/>
  <c r="I8" i="2" l="1"/>
  <c r="J8" i="2" s="1"/>
  <c r="K7" i="2"/>
  <c r="I9" i="2" l="1"/>
  <c r="J9" i="2" s="1"/>
  <c r="K8" i="2"/>
  <c r="I10" i="2" l="1"/>
  <c r="J10" i="2" s="1"/>
  <c r="K9" i="2"/>
  <c r="K10" i="2" l="1"/>
  <c r="I11" i="2"/>
  <c r="J11" i="2" s="1"/>
  <c r="K11" i="2" l="1"/>
  <c r="I12" i="2"/>
  <c r="J12" i="2" l="1"/>
  <c r="K12" i="2" s="1"/>
  <c r="M15" i="2" s="1"/>
  <c r="N4" i="2"/>
  <c r="M12" i="2" s="1"/>
  <c r="M3" i="2"/>
  <c r="M7" i="2" s="1"/>
  <c r="N3" i="2"/>
  <c r="M8" i="2" s="1"/>
  <c r="M4" i="2"/>
  <c r="N5" i="2"/>
  <c r="M5" i="2"/>
  <c r="M10" i="2" s="1"/>
  <c r="M2" i="2"/>
  <c r="M17" i="2" s="1"/>
  <c r="M16" i="2" l="1"/>
  <c r="M9" i="2"/>
  <c r="M14" i="2" s="1"/>
  <c r="M11" i="2"/>
</calcChain>
</file>

<file path=xl/sharedStrings.xml><?xml version="1.0" encoding="utf-8"?>
<sst xmlns="http://schemas.openxmlformats.org/spreadsheetml/2006/main" count="74" uniqueCount="63">
  <si>
    <t>Тикер</t>
  </si>
  <si>
    <t>BTCUSDT</t>
  </si>
  <si>
    <t>Старт</t>
  </si>
  <si>
    <t>01.01.2024</t>
  </si>
  <si>
    <t>Конец</t>
  </si>
  <si>
    <t>05.04.2024</t>
  </si>
  <si>
    <t>Коэффициент</t>
  </si>
  <si>
    <t>Начальный депозит (usd)</t>
  </si>
  <si>
    <t>Конечный депозит (usd)</t>
  </si>
  <si>
    <t>Длительность (дн)</t>
  </si>
  <si>
    <t>Количество сделок (шт)</t>
  </si>
  <si>
    <t>Среднее количество сделок (шт/год))</t>
  </si>
  <si>
    <t>Мат. ожидание</t>
  </si>
  <si>
    <t>Общая прибыль (%)</t>
  </si>
  <si>
    <t>Средняя прибыль (%/год)</t>
  </si>
  <si>
    <t>Макс. просадка (%)</t>
  </si>
  <si>
    <t>Фактор восстановления</t>
  </si>
  <si>
    <t>Прибыль с реинвестированием (usd)</t>
  </si>
  <si>
    <t>Прибыль с реинвест. и c кред. плечом x5 (usd)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</si>
  <si>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</si>
  <si>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</si>
  <si>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</si>
  <si>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</si>
  <si>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</si>
  <si>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</si>
  <si>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</si>
  <si>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</si>
  <si>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</si>
  <si>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</si>
  <si>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</si>
  <si>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</si>
  <si>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</si>
  <si>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</si>
  <si>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Значения в желтых ячейках можно менять</t>
  </si>
  <si>
    <t>чистая прибыль (net_profit)</t>
  </si>
  <si>
    <t>Стартовый депозит</t>
  </si>
  <si>
    <t>Размер лота (при реинвестировании прибыли - 1-го лота)</t>
  </si>
  <si>
    <t>сумма сделок (&gt;0|&lt;0)</t>
  </si>
  <si>
    <t>Реинвестировать прибыль (1|0)</t>
  </si>
  <si>
    <t>1 - прибыль реинвестируется; 0 - размер ставки постоянный</t>
  </si>
  <si>
    <t>количество сделок</t>
  </si>
  <si>
    <t>Кредитное плечо</t>
  </si>
  <si>
    <t>Во сколько раз увеличть размер ставки (Маржинальная торговля)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</si>
  <si>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</si>
  <si>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</si>
  <si>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</si>
  <si>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</si>
  <si>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</si>
  <si>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profit_chance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</si>
  <si>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</si>
  <si>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</si>
  <si>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</si>
  <si>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</si>
  <si>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</si>
  <si>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</si>
  <si>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</si>
  <si>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math_exp_by_ob (&gt;3)</t>
  </si>
  <si>
    <t>Математическое ожидание</t>
  </si>
  <si>
    <t>max dd (&lt;0,25)</t>
  </si>
  <si>
    <t>Максимальная просадка</t>
  </si>
  <si>
    <t>recovery_factor (&gt;0,15)</t>
  </si>
  <si>
    <t>net_profit</t>
  </si>
  <si>
    <t>Чистая прибыль (в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</si>
</sst>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:mm:ss"/>
    <numFmt numFmtId="165" formatCode="[hh]:mm:ss"/>
    <numFmt numFmtId="166" formatCode="_-* #,##0.00\ _₽_-;\-* #,##0.00\ _₽_-;_-* &quot;-&quot;??\ _₽_-;_-@_-"/>
    <numFmt numFmtId="167" formatCode="_-* #,##0.00000\ _₽_-;\-* #,##0.00000\ _₽_-;_-* &quot;-&quot;??\ _₽_-;_-@_-"/>
    <numFmt numFmtId="168" formatCode="_-* #,##0.000\ _₽_-;\-* #,##0.00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2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0" xfId="2" applyFont="1" applyBorder="1" applyAlignment="1">
      <alignment horizontal="center"/>
    </xf>
    <xf numFmtId="166" fontId="0" fillId="0" borderId="0" xfId="2" applyFont="1"/>
    <xf numFmtId="167" fontId="0" fillId="0" borderId="0" xfId="2" applyNumberFormat="1" applyFont="1"/>
    <xf numFmtId="166" fontId="0" fillId="0" borderId="2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166" fontId="0" fillId="2" borderId="1" xfId="2" applyFont="1" applyFill="1" applyBorder="1" applyAlignment="1">
      <alignment horizontal="center" vertical="center"/>
    </xf>
    <xf numFmtId="0" fontId="4" fillId="0" borderId="8" xfId="0" quotePrefix="1" applyFont="1" applyBorder="1"/>
    <xf numFmtId="166" fontId="0" fillId="0" borderId="2" xfId="2" applyFont="1" applyBorder="1" applyAlignment="1">
      <alignment horizontal="center"/>
    </xf>
    <xf numFmtId="0" fontId="0" fillId="2" borderId="1" xfId="2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right"/>
    </xf>
    <xf numFmtId="166" fontId="0" fillId="2" borderId="10" xfId="2" applyFont="1" applyFill="1" applyBorder="1"/>
    <xf numFmtId="0" fontId="4" fillId="0" borderId="11" xfId="0" applyFont="1" applyBorder="1"/>
    <xf numFmtId="166" fontId="0" fillId="0" borderId="0" xfId="0" applyNumberFormat="1"/>
    <xf numFmtId="166" fontId="0" fillId="0" borderId="1" xfId="2" applyFont="1" applyBorder="1"/>
    <xf numFmtId="0" fontId="4" fillId="0" borderId="0" xfId="0" applyFont="1"/>
    <xf numFmtId="168" fontId="0" fillId="0" borderId="1" xfId="2" applyNumberFormat="1" applyFont="1" applyBorder="1"/>
    <xf numFmtId="166" fontId="0" fillId="0" borderId="1" xfId="0" applyNumberFormat="1" applyBorder="1"/>
    <xf numFmtId="0" fontId="3" fillId="0" borderId="12" xfId="0" applyFont="1" applyBorder="1"/>
    <xf numFmtId="0" fontId="3" fillId="0" borderId="13" xfId="0" applyFont="1" applyBorder="1"/>
    <xf numFmtId="9" fontId="0" fillId="0" borderId="14" xfId="1" applyFont="1" applyBorder="1"/>
  </cellXfs>
  <cellStyles count="3">
    <cellStyle name="Обычный" xfId="0" builtinId="0"/>
    <cellStyle name="Процентный" xfId="1" builtinId="5"/>
    <cellStyle name="Финансовый 2" xfId="2" xr:uid="{E4FEE765-E5B7-4E2F-85E9-49D40754AF0C}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00" cy="1905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sqref="A1:B1048576"/>
    </sheetView>
  </sheetViews>
  <sheetFormatPr defaultRowHeight="15" x14ac:dyDescent="0.25"/>
  <cols>
    <col min="1" max="1" width="44.28515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>
        <v>3.9910000000000001E-2</v>
      </c>
    </row>
    <row r="5" spans="1:2" x14ac:dyDescent="0.25">
      <c r="A5" t="s">
        <v>7</v>
      </c>
      <c r="B5">
        <v>1</v>
      </c>
    </row>
    <row r="6" spans="1:2" x14ac:dyDescent="0.25">
      <c r="A6" t="s">
        <v>8</v>
      </c>
      <c r="B6">
        <v>1.28</v>
      </c>
    </row>
    <row r="7" spans="1:2" x14ac:dyDescent="0.25">
      <c r="A7" t="s">
        <v>9</v>
      </c>
      <c r="B7">
        <v>95</v>
      </c>
    </row>
    <row r="8" spans="1:2" x14ac:dyDescent="0.25">
      <c r="A8" t="s">
        <v>10</v>
      </c>
      <c r="B8">
        <v>11</v>
      </c>
    </row>
    <row r="9" spans="1:2" x14ac:dyDescent="0.25">
      <c r="A9" t="s">
        <v>11</v>
      </c>
      <c r="B9">
        <v>42</v>
      </c>
    </row>
    <row r="10" spans="1:2" x14ac:dyDescent="0.25">
      <c r="A10" t="s">
        <v>12</v>
      </c>
      <c r="B10">
        <v>3.3512287373344538</v>
      </c>
    </row>
    <row r="11" spans="1:2" x14ac:dyDescent="0.25">
      <c r="A11" t="s">
        <v>13</v>
      </c>
      <c r="B11">
        <v>27.95</v>
      </c>
    </row>
    <row r="12" spans="1:2" x14ac:dyDescent="0.25">
      <c r="A12" t="s">
        <v>14</v>
      </c>
      <c r="B12">
        <v>107.38</v>
      </c>
    </row>
    <row r="13" spans="1:2" x14ac:dyDescent="0.25">
      <c r="A13" t="s">
        <v>15</v>
      </c>
      <c r="B13">
        <v>8.3000000000000007</v>
      </c>
    </row>
    <row r="14" spans="1:2" x14ac:dyDescent="0.25">
      <c r="A14" t="s">
        <v>16</v>
      </c>
      <c r="B14">
        <v>3.367829145214857</v>
      </c>
    </row>
    <row r="15" spans="1:2" x14ac:dyDescent="0.25">
      <c r="A15" t="s">
        <v>17</v>
      </c>
      <c r="B15">
        <v>0.26449308299160151</v>
      </c>
    </row>
    <row r="16" spans="1:2" x14ac:dyDescent="0.25">
      <c r="A16" t="s">
        <v>18</v>
      </c>
      <c r="B16">
        <v>0.83916641085311672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workbookViewId="0">
      <selection activeCell="B1" sqref="B1:B1048576"/>
    </sheetView>
  </sheetViews>
  <sheetFormatPr defaultRowHeight="15" x14ac:dyDescent="0.25"/>
  <cols>
    <col min="1" max="1" width="5" bestFit="1" customWidth="1"/>
    <col min="2" max="3" width="18.28515625" bestFit="1" customWidth="1"/>
    <col min="4" max="5" width="11" bestFit="1" customWidth="1"/>
    <col min="7" max="7" width="12.42578125" bestFit="1" customWidth="1"/>
    <col min="8" max="8" width="11.7109375" bestFit="1" customWidth="1"/>
    <col min="9" max="10" width="9.5703125" bestFit="1" customWidth="1"/>
    <col min="11" max="11" width="13.140625" bestFit="1" customWidth="1"/>
    <col min="12" max="12" width="28.42578125" bestFit="1" customWidth="1"/>
    <col min="13" max="13" width="11" bestFit="1" customWidth="1"/>
    <col min="14" max="14" width="11.28515625" customWidth="1"/>
    <col min="15" max="15" width="31" bestFit="1" customWidth="1"/>
    <col min="16" max="16" width="11" bestFit="1" customWidth="1"/>
    <col min="17" max="17" width="67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26</v>
      </c>
      <c r="J1" s="4" t="s">
        <v>29</v>
      </c>
      <c r="K1" s="5" t="s">
        <v>30</v>
      </c>
      <c r="L1" s="6"/>
      <c r="M1" s="4" t="s">
        <v>31</v>
      </c>
      <c r="N1" s="7" t="s">
        <v>32</v>
      </c>
      <c r="O1" s="8" t="s">
        <v>33</v>
      </c>
      <c r="P1" s="9"/>
      <c r="Q1" s="10"/>
    </row>
    <row r="2" spans="1:17" x14ac:dyDescent="0.25">
      <c r="A2" t="s">
        <v>27</v>
      </c>
      <c r="B2" s="1">
        <v>45294.5</v>
      </c>
      <c r="C2" s="1">
        <v>45301.5</v>
      </c>
      <c r="D2">
        <v>42789.38</v>
      </c>
      <c r="E2">
        <v>44670.53</v>
      </c>
      <c r="F2" s="2">
        <v>7</v>
      </c>
      <c r="G2">
        <v>604800</v>
      </c>
      <c r="H2">
        <v>4.3963009999999997E-2</v>
      </c>
      <c r="I2" s="11">
        <f>IF(P$3,H2*P2*P$4,H2*P$4)</f>
        <v>4.3963009999999997E-2</v>
      </c>
      <c r="J2" s="12">
        <f>P2+I2</f>
        <v>1.0439630099999999</v>
      </c>
      <c r="K2" s="13">
        <f>IF(MAX(J$1:J2)=J2,0,1-J2/MAX(J$1:J2))</f>
        <v>0</v>
      </c>
      <c r="L2" s="6" t="s">
        <v>34</v>
      </c>
      <c r="M2" s="14">
        <f>SUM(I:I)</f>
        <v>0.26449308299160113</v>
      </c>
      <c r="N2" s="15"/>
      <c r="O2" s="16" t="s">
        <v>35</v>
      </c>
      <c r="P2" s="17">
        <v>1</v>
      </c>
      <c r="Q2" s="18" t="s">
        <v>36</v>
      </c>
    </row>
    <row r="3" spans="1:17" x14ac:dyDescent="0.25">
      <c r="A3" t="s">
        <v>28</v>
      </c>
      <c r="B3" s="1">
        <v>45301.791666666657</v>
      </c>
      <c r="C3" s="1">
        <v>45302.583333333343</v>
      </c>
      <c r="D3">
        <v>46489.18</v>
      </c>
      <c r="E3">
        <v>48571.22</v>
      </c>
      <c r="F3" s="2">
        <v>0.79166666666666663</v>
      </c>
      <c r="G3">
        <v>68400</v>
      </c>
      <c r="H3">
        <v>-4.2865710000000001E-2</v>
      </c>
      <c r="I3" s="11">
        <f t="shared" ref="I3:I12" si="0">IF(P$3,H3*J2*P$4,H3*P$2*P$4)</f>
        <v>-4.4750215637387097E-2</v>
      </c>
      <c r="J3" s="12">
        <f>I3+J2</f>
        <v>0.99921279436261279</v>
      </c>
      <c r="K3" s="13">
        <f>IF(MAX(J$1:J3)=J3,0,1-J3/MAX(J$1:J3))</f>
        <v>4.2865710000000057E-2</v>
      </c>
      <c r="L3" s="6" t="s">
        <v>37</v>
      </c>
      <c r="M3" s="3">
        <f>SUMIF(I:I,M1)</f>
        <v>0.50691309275948027</v>
      </c>
      <c r="N3" s="19">
        <f>SUMIF(I:I,N1)</f>
        <v>-0.2424200097678792</v>
      </c>
      <c r="O3" s="16" t="s">
        <v>38</v>
      </c>
      <c r="P3" s="20">
        <v>1</v>
      </c>
      <c r="Q3" s="21" t="s">
        <v>39</v>
      </c>
    </row>
    <row r="4" spans="1:17" ht="15.75" thickBot="1" x14ac:dyDescent="0.3">
      <c r="A4" t="s">
        <v>27</v>
      </c>
      <c r="B4" s="1">
        <v>45302.708333333343</v>
      </c>
      <c r="C4" s="1">
        <v>45303.625</v>
      </c>
      <c r="D4">
        <v>46497.14</v>
      </c>
      <c r="E4">
        <v>44462.01</v>
      </c>
      <c r="F4" s="2">
        <v>0.91666666666666663</v>
      </c>
      <c r="G4">
        <v>79200</v>
      </c>
      <c r="H4">
        <v>-4.3768929999999998E-2</v>
      </c>
      <c r="I4" s="11">
        <f t="shared" si="0"/>
        <v>-4.3734474851561594E-2</v>
      </c>
      <c r="J4" s="12">
        <f t="shared" ref="J4:J12" si="1">I4+J3</f>
        <v>0.95547831951105122</v>
      </c>
      <c r="K4" s="13">
        <f>IF(MAX(J$1:J4)=J4,0,1-J4/MAX(J$1:J4))</f>
        <v>8.4758453739609663E-2</v>
      </c>
      <c r="L4" s="6" t="s">
        <v>40</v>
      </c>
      <c r="M4" s="22">
        <f>COUNTIF(I:I,M1)</f>
        <v>5</v>
      </c>
      <c r="N4" s="23">
        <f>COUNTIF(I:I,N1)</f>
        <v>6</v>
      </c>
      <c r="O4" s="24" t="s">
        <v>41</v>
      </c>
      <c r="P4" s="25">
        <v>1</v>
      </c>
      <c r="Q4" s="26" t="s">
        <v>42</v>
      </c>
    </row>
    <row r="5" spans="1:17" x14ac:dyDescent="0.25">
      <c r="A5" t="s">
        <v>28</v>
      </c>
      <c r="B5" s="1">
        <v>45307.916666666657</v>
      </c>
      <c r="C5" s="1">
        <v>45315.416666666657</v>
      </c>
      <c r="D5">
        <v>43206</v>
      </c>
      <c r="E5">
        <v>40352.42</v>
      </c>
      <c r="F5" s="2">
        <v>7.5</v>
      </c>
      <c r="G5">
        <v>648000</v>
      </c>
      <c r="H5">
        <v>7.071645E-2</v>
      </c>
      <c r="I5" s="11">
        <f t="shared" si="0"/>
        <v>6.7568034807787281E-2</v>
      </c>
      <c r="J5" s="12">
        <f t="shared" si="1"/>
        <v>1.0230463543188386</v>
      </c>
      <c r="K5" s="13">
        <f>IF(MAX(J$1:J5)=J5,0,1-J5/MAX(J$1:J5))</f>
        <v>2.0035820695563977E-2</v>
      </c>
      <c r="L5" s="6" t="s">
        <v>43</v>
      </c>
      <c r="M5" s="3">
        <f>AVERAGEIF(I:I,M1)</f>
        <v>0.10138261855189605</v>
      </c>
      <c r="N5" s="3">
        <f>AVERAGEIF(I:I,N1)</f>
        <v>-4.0403334961313202E-2</v>
      </c>
    </row>
    <row r="6" spans="1:17" x14ac:dyDescent="0.25">
      <c r="A6" t="s">
        <v>27</v>
      </c>
      <c r="B6" s="1">
        <v>45346.083333333343</v>
      </c>
      <c r="C6" s="1">
        <v>45356.666666666657</v>
      </c>
      <c r="D6">
        <v>50799.99</v>
      </c>
      <c r="E6">
        <v>65495.98</v>
      </c>
      <c r="F6" s="2">
        <v>10.58333333333333</v>
      </c>
      <c r="G6">
        <v>914400</v>
      </c>
      <c r="H6">
        <v>0.28929120000000003</v>
      </c>
      <c r="I6" s="11">
        <f t="shared" si="0"/>
        <v>0.29595830749652202</v>
      </c>
      <c r="J6" s="12">
        <f t="shared" si="1"/>
        <v>1.3190046618153606</v>
      </c>
      <c r="K6" s="13">
        <f>IF(MAX(J$1:J6)=J6,0,1-J6/MAX(J$1:J6))</f>
        <v>0</v>
      </c>
      <c r="N6" s="27"/>
    </row>
    <row r="7" spans="1:17" x14ac:dyDescent="0.25">
      <c r="A7" t="s">
        <v>28</v>
      </c>
      <c r="B7" s="1">
        <v>45357.25</v>
      </c>
      <c r="C7" s="1">
        <v>45359.583333333343</v>
      </c>
      <c r="D7">
        <v>65737.22</v>
      </c>
      <c r="E7">
        <v>68422</v>
      </c>
      <c r="F7" s="2">
        <v>2.333333333333333</v>
      </c>
      <c r="G7">
        <v>201600</v>
      </c>
      <c r="H7">
        <v>-3.9238549999999997E-2</v>
      </c>
      <c r="I7" s="11">
        <f t="shared" si="0"/>
        <v>-5.1755830372875115E-2</v>
      </c>
      <c r="J7" s="12">
        <f t="shared" si="1"/>
        <v>1.2672488314424855</v>
      </c>
      <c r="K7" s="13">
        <f>IF(MAX(J$1:J7)=J7,0,1-J7/MAX(J$1:J7))</f>
        <v>3.9238549999999983E-2</v>
      </c>
      <c r="L7" s="6" t="s">
        <v>44</v>
      </c>
      <c r="M7" s="28">
        <f>M3/M4</f>
        <v>0.10138261855189605</v>
      </c>
      <c r="N7" s="29" t="s">
        <v>45</v>
      </c>
    </row>
    <row r="8" spans="1:17" x14ac:dyDescent="0.25">
      <c r="A8" t="s">
        <v>27</v>
      </c>
      <c r="B8" s="1">
        <v>45365.791666666657</v>
      </c>
      <c r="C8" s="1">
        <v>45366.083333333343</v>
      </c>
      <c r="D8">
        <v>69415.09</v>
      </c>
      <c r="E8">
        <v>69035.38</v>
      </c>
      <c r="F8" s="2">
        <v>0.29166666666666669</v>
      </c>
      <c r="G8">
        <v>25200</v>
      </c>
      <c r="H8">
        <v>-5.4701400000000001E-3</v>
      </c>
      <c r="I8" s="11">
        <f t="shared" si="0"/>
        <v>-6.9320285228267973E-3</v>
      </c>
      <c r="J8" s="12">
        <f t="shared" si="1"/>
        <v>1.2603168029196588</v>
      </c>
      <c r="K8" s="13">
        <f>IF(MAX(J$1:J8)=J8,0,1-J8/MAX(J$1:J8))</f>
        <v>4.4494049638102884E-2</v>
      </c>
      <c r="L8" s="6" t="s">
        <v>46</v>
      </c>
      <c r="M8" s="28">
        <f>N3/N4</f>
        <v>-4.0403334961313202E-2</v>
      </c>
      <c r="N8" s="29" t="s">
        <v>47</v>
      </c>
    </row>
    <row r="9" spans="1:17" x14ac:dyDescent="0.25">
      <c r="A9" t="s">
        <v>28</v>
      </c>
      <c r="B9" s="1">
        <v>45366.791666666657</v>
      </c>
      <c r="C9" s="1">
        <v>45368.583333333343</v>
      </c>
      <c r="D9">
        <v>68964</v>
      </c>
      <c r="E9">
        <v>67609.990000000005</v>
      </c>
      <c r="F9" s="2">
        <v>1.791666666666667</v>
      </c>
      <c r="G9">
        <v>154800</v>
      </c>
      <c r="H9">
        <v>2.0026769999999999E-2</v>
      </c>
      <c r="I9" s="11">
        <f t="shared" si="0"/>
        <v>2.5240074739207332E-2</v>
      </c>
      <c r="J9" s="12">
        <f t="shared" si="1"/>
        <v>1.2855568776588662</v>
      </c>
      <c r="K9" s="13">
        <f>IF(MAX(J$1:J9)=J9,0,1-J9/MAX(J$1:J9))</f>
        <v>2.5358351736573748E-2</v>
      </c>
      <c r="L9" s="6" t="s">
        <v>48</v>
      </c>
      <c r="M9" s="28">
        <f>M4/N4</f>
        <v>0.83333333333333337</v>
      </c>
      <c r="N9" s="29" t="s">
        <v>49</v>
      </c>
    </row>
    <row r="10" spans="1:17" x14ac:dyDescent="0.25">
      <c r="A10" t="s">
        <v>27</v>
      </c>
      <c r="B10" s="1">
        <v>45370.083333333343</v>
      </c>
      <c r="C10" s="1">
        <v>45370.458333333343</v>
      </c>
      <c r="D10">
        <v>65875.88</v>
      </c>
      <c r="E10">
        <v>63081.34</v>
      </c>
      <c r="F10" s="2">
        <v>0.375</v>
      </c>
      <c r="G10">
        <v>32400</v>
      </c>
      <c r="H10">
        <v>-4.242129E-2</v>
      </c>
      <c r="I10" s="11">
        <f t="shared" si="0"/>
        <v>-5.4534981118661285E-2</v>
      </c>
      <c r="J10" s="12">
        <f t="shared" si="1"/>
        <v>1.2310218965402049</v>
      </c>
      <c r="K10" s="13">
        <f>IF(MAX(J$1:J10)=J10,0,1-J10/MAX(J$1:J10))</f>
        <v>6.670390774363455E-2</v>
      </c>
      <c r="L10" s="6" t="s">
        <v>50</v>
      </c>
      <c r="M10" s="30">
        <f>M5/N5*-1</f>
        <v>2.5092636201682712</v>
      </c>
      <c r="N10" s="29" t="s">
        <v>51</v>
      </c>
    </row>
    <row r="11" spans="1:17" x14ac:dyDescent="0.25">
      <c r="A11" t="s">
        <v>28</v>
      </c>
      <c r="B11" s="1">
        <v>45371.541666666657</v>
      </c>
      <c r="C11" s="1">
        <v>45371.791666666657</v>
      </c>
      <c r="D11">
        <v>63608.83</v>
      </c>
      <c r="E11">
        <v>65784.460000000006</v>
      </c>
      <c r="F11" s="2">
        <v>0.25</v>
      </c>
      <c r="G11">
        <v>21600</v>
      </c>
      <c r="H11">
        <v>-3.30721E-2</v>
      </c>
      <c r="I11" s="11">
        <f t="shared" si="0"/>
        <v>-4.0712479264567308E-2</v>
      </c>
      <c r="J11" s="12">
        <f t="shared" si="1"/>
        <v>1.1903094172756377</v>
      </c>
      <c r="K11" s="13">
        <f>IF(MAX(J$1:J11)=J11,0,1-J11/MAX(J$1:J11))</f>
        <v>9.7569969436346216E-2</v>
      </c>
      <c r="L11" s="6" t="s">
        <v>52</v>
      </c>
      <c r="M11" s="28">
        <f>M4/(M4+N4)</f>
        <v>0.45454545454545453</v>
      </c>
      <c r="N11" s="29" t="s">
        <v>53</v>
      </c>
    </row>
    <row r="12" spans="1:17" x14ac:dyDescent="0.25">
      <c r="A12" t="s">
        <v>27</v>
      </c>
      <c r="B12" s="1">
        <v>45373.458333333343</v>
      </c>
      <c r="C12" s="1">
        <v>45383.625</v>
      </c>
      <c r="D12">
        <v>64233.9</v>
      </c>
      <c r="E12">
        <v>68237.149999999994</v>
      </c>
      <c r="F12" s="2">
        <v>10.16666666666667</v>
      </c>
      <c r="G12">
        <v>878400</v>
      </c>
      <c r="H12">
        <v>6.2323009999999998E-2</v>
      </c>
      <c r="I12" s="11">
        <f t="shared" si="0"/>
        <v>7.4183665715963742E-2</v>
      </c>
      <c r="J12" s="12">
        <f t="shared" si="1"/>
        <v>1.2644930829916015</v>
      </c>
      <c r="K12" s="13">
        <f>IF(MAX(J$1:J12)=J12,0,1-J12/MAX(J$1:J12))</f>
        <v>4.132781361722726E-2</v>
      </c>
      <c r="L12" s="6" t="s">
        <v>54</v>
      </c>
      <c r="M12" s="28">
        <f>N4/(M4+N4)</f>
        <v>0.54545454545454541</v>
      </c>
      <c r="N12" s="29" t="s">
        <v>55</v>
      </c>
    </row>
    <row r="13" spans="1:17" x14ac:dyDescent="0.25">
      <c r="I13" s="11"/>
      <c r="J13" s="12"/>
      <c r="K13" s="13"/>
      <c r="L13" s="6"/>
      <c r="M13" s="3"/>
      <c r="N13" s="29"/>
    </row>
    <row r="14" spans="1:17" x14ac:dyDescent="0.25">
      <c r="I14" s="11"/>
      <c r="J14" s="12"/>
      <c r="K14" s="13"/>
      <c r="L14" s="6" t="s">
        <v>56</v>
      </c>
      <c r="M14" s="28">
        <f>1+M9*M10</f>
        <v>3.0910530168068928</v>
      </c>
      <c r="N14" s="29" t="s">
        <v>57</v>
      </c>
    </row>
    <row r="15" spans="1:17" x14ac:dyDescent="0.25">
      <c r="I15" s="11"/>
      <c r="J15" s="12"/>
      <c r="K15" s="13"/>
      <c r="L15" s="6" t="s">
        <v>58</v>
      </c>
      <c r="M15" s="31">
        <f>MAX(K:K)</f>
        <v>9.7569969436346216E-2</v>
      </c>
      <c r="N15" s="29" t="s">
        <v>59</v>
      </c>
    </row>
    <row r="16" spans="1:17" x14ac:dyDescent="0.25">
      <c r="I16" s="11"/>
      <c r="J16" s="12"/>
      <c r="K16" s="13"/>
      <c r="L16" s="32" t="s">
        <v>60</v>
      </c>
      <c r="M16" s="12">
        <f>M17/M15</f>
        <v>2.7108042005091955</v>
      </c>
      <c r="N16" s="29" t="s">
        <v>16</v>
      </c>
    </row>
    <row r="17" spans="9:14" x14ac:dyDescent="0.25">
      <c r="I17" s="11"/>
      <c r="J17" s="12"/>
      <c r="K17" s="13"/>
      <c r="L17" s="33" t="s">
        <v>61</v>
      </c>
      <c r="M17" s="34">
        <f>M2/P2</f>
        <v>0.26449308299160113</v>
      </c>
      <c r="N17" s="29" t="s">
        <v>62</v>
      </c>
    </row>
  </sheetData>
  <mergeCells count="2">
    <mergeCell ref="O1:Q1"/>
    <mergeCell ref="M2:N2"/>
  </mergeCells>
  <conditionalFormatting sqref="I1:I17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zoomScaleNormal="100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BTCUSDT</vt:lpstr>
      <vt:lpstr>Сделки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Гриша Гриша</cp:lastModifiedBy>
  <dcterms:created xsi:type="dcterms:W3CDTF">2024-04-05T18:26:56Z</dcterms:created>
  <dcterms:modified xsi:type="dcterms:W3CDTF">2024-04-05T19:17:22Z</dcterms:modified>
</cp:coreProperties>
</file>