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.Tishchenko\github\Fin_project\files\"/>
    </mc:Choice>
  </mc:AlternateContent>
  <bookViews>
    <workbookView xWindow="0" yWindow="0" windowWidth="28800" windowHeight="12330"/>
  </bookViews>
  <sheets>
    <sheet name="Сделки" sheetId="6" r:id="rId1"/>
  </sheets>
  <definedNames>
    <definedName name="_xlnm._FilterDatabase" localSheetId="0" hidden="1">Сделки!$A$1:$H$1</definedName>
  </definedNames>
  <calcPr calcId="162913"/>
</workbook>
</file>

<file path=xl/calcChain.xml><?xml version="1.0" encoding="utf-8"?>
<calcChain xmlns="http://schemas.openxmlformats.org/spreadsheetml/2006/main">
  <c r="J2" i="6" l="1"/>
  <c r="I3" i="6" s="1"/>
  <c r="I2" i="6"/>
  <c r="J3" i="6" l="1"/>
  <c r="K2" i="6"/>
  <c r="I4" i="6" l="1"/>
  <c r="K3" i="6"/>
  <c r="J4" i="6" l="1"/>
  <c r="I5" i="6" l="1"/>
  <c r="K4" i="6"/>
  <c r="J5" i="6" l="1"/>
  <c r="K5" i="6" l="1"/>
  <c r="I6" i="6"/>
  <c r="J6" i="6" l="1"/>
  <c r="K6" i="6" l="1"/>
  <c r="I7" i="6"/>
  <c r="J7" i="6" l="1"/>
  <c r="K7" i="6" l="1"/>
  <c r="I8" i="6"/>
  <c r="J8" i="6" s="1"/>
  <c r="K8" i="6" l="1"/>
  <c r="I9" i="6"/>
  <c r="J9" i="6" s="1"/>
  <c r="K9" i="6" l="1"/>
  <c r="I10" i="6"/>
  <c r="J10" i="6" s="1"/>
  <c r="K10" i="6" l="1"/>
  <c r="I11" i="6"/>
  <c r="J11" i="6" s="1"/>
  <c r="K11" i="6" l="1"/>
  <c r="I12" i="6"/>
  <c r="J12" i="6" s="1"/>
  <c r="K12" i="6" l="1"/>
  <c r="I13" i="6"/>
  <c r="J13" i="6" s="1"/>
  <c r="K13" i="6" l="1"/>
  <c r="I14" i="6"/>
  <c r="J14" i="6" s="1"/>
  <c r="K14" i="6" l="1"/>
  <c r="I15" i="6"/>
  <c r="J15" i="6" s="1"/>
  <c r="K15" i="6" l="1"/>
  <c r="I16" i="6"/>
  <c r="J16" i="6" s="1"/>
  <c r="K16" i="6" l="1"/>
  <c r="I17" i="6"/>
  <c r="J17" i="6" l="1"/>
  <c r="K17" i="6" l="1"/>
  <c r="I18" i="6"/>
  <c r="J18" i="6" l="1"/>
  <c r="I19" i="6" l="1"/>
  <c r="K18" i="6"/>
  <c r="J19" i="6" l="1"/>
  <c r="I20" i="6" l="1"/>
  <c r="K19" i="6"/>
  <c r="J20" i="6" l="1"/>
  <c r="I21" i="6" l="1"/>
  <c r="K20" i="6"/>
  <c r="J21" i="6" l="1"/>
  <c r="I22" i="6" l="1"/>
  <c r="K21" i="6"/>
  <c r="J22" i="6" l="1"/>
  <c r="I23" i="6" l="1"/>
  <c r="J23" i="6" s="1"/>
  <c r="K22" i="6"/>
  <c r="I24" i="6" l="1"/>
  <c r="K23" i="6"/>
  <c r="J24" i="6" l="1"/>
  <c r="K24" i="6" s="1"/>
  <c r="M15" i="6" s="1"/>
  <c r="M5" i="6"/>
  <c r="N3" i="6"/>
  <c r="M8" i="6" s="1"/>
  <c r="M2" i="6"/>
  <c r="M17" i="6" s="1"/>
  <c r="M16" i="6" s="1"/>
  <c r="M4" i="6"/>
  <c r="N4" i="6"/>
  <c r="M12" i="6" s="1"/>
  <c r="N5" i="6"/>
  <c r="M3" i="6"/>
  <c r="M7" i="6" s="1"/>
  <c r="M10" i="6" l="1"/>
  <c r="M11" i="6"/>
  <c r="M13" i="6" s="1"/>
  <c r="M9" i="6"/>
  <c r="M14" i="6" s="1"/>
</calcChain>
</file>

<file path=xl/sharedStrings.xml><?xml version="1.0" encoding="utf-8"?>
<sst xmlns="http://schemas.openxmlformats.org/spreadsheetml/2006/main" count="69" uniqueCount="46">
  <si>
    <t>net_profit</t>
  </si>
  <si>
    <t>profit_chance</t>
  </si>
  <si>
    <t>type</t>
  </si>
  <si>
    <t>open_date</t>
  </si>
  <si>
    <t>close_date</t>
  </si>
  <si>
    <t>open_price</t>
  </si>
  <si>
    <t>close_price</t>
  </si>
  <si>
    <t>duration</t>
  </si>
  <si>
    <t>duration_sec</t>
  </si>
  <si>
    <t>income</t>
  </si>
  <si>
    <t>buy</t>
  </si>
  <si>
    <t>sell</t>
  </si>
  <si>
    <t>equity</t>
  </si>
  <si>
    <t>drop_down</t>
  </si>
  <si>
    <t>&gt;0</t>
  </si>
  <si>
    <t>&lt;0</t>
  </si>
  <si>
    <t>reinv_bet (1/0)</t>
  </si>
  <si>
    <t>1 - прибыль реинвестируется; 0 - размер ставки постоянный</t>
  </si>
  <si>
    <t>bett(every/first)</t>
  </si>
  <si>
    <t>Размер ставки</t>
  </si>
  <si>
    <t>сумма</t>
  </si>
  <si>
    <t>bet_increase_x</t>
  </si>
  <si>
    <t>Во сколько раз увеличть размер ставки (Маржинальная торговля)</t>
  </si>
  <si>
    <t>кол-во</t>
  </si>
  <si>
    <t>Значения в желтых ячейках можно менять</t>
  </si>
  <si>
    <t>ср сумма</t>
  </si>
  <si>
    <t>average_win</t>
  </si>
  <si>
    <t>Среднее положительных сделок</t>
  </si>
  <si>
    <t>average_loss</t>
  </si>
  <si>
    <t>Среднее отрицательных сделок</t>
  </si>
  <si>
    <t>Отношение кол-ва прибыльных сделок к убыточным</t>
  </si>
  <si>
    <t>profit_factor (&gt;2)</t>
  </si>
  <si>
    <t>Профит-фактор</t>
  </si>
  <si>
    <t>profit_prob</t>
  </si>
  <si>
    <t>Вероятность наступления прибыльной сделки</t>
  </si>
  <si>
    <t>loss_prob</t>
  </si>
  <si>
    <t>Вероятность наступления отрицательной сделки</t>
  </si>
  <si>
    <t>math_exp (&gt;0)</t>
  </si>
  <si>
    <t>Математическое ожидание</t>
  </si>
  <si>
    <t>math_exp_by_ob (&gt;3)</t>
  </si>
  <si>
    <t>Математическое ожидание 2</t>
  </si>
  <si>
    <t>max dd (&lt;0,25)</t>
  </si>
  <si>
    <t>Максимальная просадка</t>
  </si>
  <si>
    <t>recovery_factor (&gt;0,15)</t>
  </si>
  <si>
    <t>Фактор восстановления</t>
  </si>
  <si>
    <t>Чистая прибыль (в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</si>
</sst>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yyyy\-mm\-dd\ h:mm:ss"/>
    <numFmt numFmtId="165" formatCode="[hh]:mm:ss"/>
    <numFmt numFmtId="166" formatCode="_-* #,##0.00000\ _₽_-;\-* #,##0.00000\ _₽_-;_-* &quot;-&quot;??\ _₽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43" fontId="0" fillId="0" borderId="1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6" fontId="2" fillId="0" borderId="1" xfId="1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3" fontId="0" fillId="2" borderId="0" xfId="1" applyFont="1" applyFill="1" applyAlignment="1">
      <alignment horizontal="center" vertical="center"/>
    </xf>
    <xf numFmtId="0" fontId="3" fillId="0" borderId="0" xfId="0" applyFont="1"/>
    <xf numFmtId="43" fontId="0" fillId="0" borderId="0" xfId="1" applyNumberFormat="1" applyFont="1" applyBorder="1" applyAlignment="1">
      <alignment horizontal="center"/>
    </xf>
    <xf numFmtId="43" fontId="0" fillId="0" borderId="0" xfId="1" applyFont="1"/>
    <xf numFmtId="166" fontId="0" fillId="0" borderId="0" xfId="1" applyNumberFormat="1" applyFont="1"/>
    <xf numFmtId="0" fontId="3" fillId="0" borderId="0" xfId="0" quotePrefix="1" applyFont="1"/>
    <xf numFmtId="43" fontId="0" fillId="0" borderId="1" xfId="1" applyFont="1" applyBorder="1" applyAlignment="1">
      <alignment horizontal="center"/>
    </xf>
    <xf numFmtId="43" fontId="0" fillId="2" borderId="0" xfId="1" applyFont="1" applyFill="1"/>
    <xf numFmtId="0" fontId="0" fillId="0" borderId="1" xfId="0" applyBorder="1" applyAlignment="1">
      <alignment horizontal="center"/>
    </xf>
    <xf numFmtId="0" fontId="2" fillId="0" borderId="0" xfId="0" applyFont="1" applyFill="1"/>
    <xf numFmtId="43" fontId="0" fillId="0" borderId="0" xfId="0" applyNumberFormat="1"/>
    <xf numFmtId="43" fontId="0" fillId="0" borderId="1" xfId="1" applyNumberFormat="1" applyFont="1" applyBorder="1"/>
    <xf numFmtId="0" fontId="3" fillId="0" borderId="0" xfId="0" applyFont="1" applyFill="1" applyBorder="1"/>
    <xf numFmtId="43" fontId="0" fillId="0" borderId="1" xfId="1" applyFont="1" applyBorder="1"/>
    <xf numFmtId="0" fontId="2" fillId="0" borderId="1" xfId="0" applyFont="1" applyFill="1" applyBorder="1"/>
    <xf numFmtId="43" fontId="0" fillId="0" borderId="1" xfId="0" applyNumberFormat="1" applyBorder="1"/>
    <xf numFmtId="0" fontId="2" fillId="0" borderId="4" xfId="0" applyFont="1" applyFill="1" applyBorder="1"/>
    <xf numFmtId="0" fontId="2" fillId="0" borderId="5" xfId="0" applyFont="1" applyFill="1" applyBorder="1"/>
    <xf numFmtId="43" fontId="0" fillId="0" borderId="2" xfId="0" applyNumberFormat="1" applyBorder="1" applyAlignment="1">
      <alignment horizontal="center" vertical="center"/>
    </xf>
    <xf numFmtId="43" fontId="0" fillId="0" borderId="3" xfId="0" applyNumberFormat="1" applyBorder="1" applyAlignment="1">
      <alignment horizontal="center" vertical="center"/>
    </xf>
    <xf numFmtId="9" fontId="0" fillId="0" borderId="6" xfId="2" applyFont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M24" sqref="M24"/>
    </sheetView>
  </sheetViews>
  <sheetFormatPr defaultRowHeight="15" x14ac:dyDescent="0.25"/>
  <cols>
    <col min="1" max="1" width="7.28515625" bestFit="1" customWidth="1"/>
    <col min="2" max="3" width="18.28515625" bestFit="1" customWidth="1"/>
    <col min="4" max="5" width="13.28515625" bestFit="1" customWidth="1"/>
    <col min="6" max="6" width="10.85546875" bestFit="1" customWidth="1"/>
    <col min="7" max="7" width="14.7109375" bestFit="1" customWidth="1"/>
    <col min="8" max="8" width="11.7109375" bestFit="1" customWidth="1"/>
    <col min="9" max="9" width="12" bestFit="1" customWidth="1"/>
    <col min="10" max="11" width="13.140625" bestFit="1" customWidth="1"/>
    <col min="12" max="12" width="22.140625" bestFit="1" customWidth="1"/>
    <col min="13" max="14" width="13.5703125" customWidth="1"/>
    <col min="15" max="15" width="15.7109375" bestFit="1" customWidth="1"/>
    <col min="16" max="16" width="15" customWidth="1"/>
  </cols>
  <sheetData>
    <row r="1" spans="1:1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3" t="s">
        <v>9</v>
      </c>
      <c r="J1" s="4" t="s">
        <v>12</v>
      </c>
      <c r="K1" s="5" t="s">
        <v>13</v>
      </c>
      <c r="L1" s="6"/>
      <c r="M1" s="7" t="s">
        <v>14</v>
      </c>
      <c r="N1" s="7" t="s">
        <v>15</v>
      </c>
      <c r="O1" t="s">
        <v>16</v>
      </c>
      <c r="P1" s="8">
        <v>1</v>
      </c>
      <c r="Q1" s="9" t="s">
        <v>17</v>
      </c>
    </row>
    <row r="2" spans="1:17" x14ac:dyDescent="0.25">
      <c r="A2" t="s">
        <v>10</v>
      </c>
      <c r="B2" s="1">
        <v>44933.375</v>
      </c>
      <c r="C2" s="1">
        <v>44945.291666666657</v>
      </c>
      <c r="D2">
        <v>225.15</v>
      </c>
      <c r="E2">
        <v>239.35</v>
      </c>
      <c r="F2" s="2">
        <v>11.91666666666667</v>
      </c>
      <c r="G2">
        <v>1029600</v>
      </c>
      <c r="H2">
        <v>6.3069070000000005E-2</v>
      </c>
      <c r="I2" s="10">
        <f>IF(P$1,H2*P2*P$3,H2*P$3)</f>
        <v>6.3069070000000007</v>
      </c>
      <c r="J2" s="11">
        <f>P2</f>
        <v>100</v>
      </c>
      <c r="K2" s="12">
        <f>IF(MAX(J$1:J2)=J2,0,1-J2/MAX(J$1:J2))</f>
        <v>0</v>
      </c>
      <c r="L2" s="6" t="s">
        <v>0</v>
      </c>
      <c r="M2" s="26">
        <f>SUM(I:I)</f>
        <v>54.915445301263127</v>
      </c>
      <c r="N2" s="27"/>
      <c r="O2" t="s">
        <v>18</v>
      </c>
      <c r="P2" s="8">
        <v>100</v>
      </c>
      <c r="Q2" s="13" t="s">
        <v>19</v>
      </c>
    </row>
    <row r="3" spans="1:17" x14ac:dyDescent="0.25">
      <c r="A3" t="s">
        <v>11</v>
      </c>
      <c r="B3" s="1">
        <v>44949.333333333343</v>
      </c>
      <c r="C3" s="1">
        <v>44953.291666666657</v>
      </c>
      <c r="D3">
        <v>244.3</v>
      </c>
      <c r="E3">
        <v>251</v>
      </c>
      <c r="F3" s="2">
        <v>3.958333333333333</v>
      </c>
      <c r="G3">
        <v>342000</v>
      </c>
      <c r="H3">
        <v>-2.6693229999999998E-2</v>
      </c>
      <c r="I3" s="10">
        <f t="shared" ref="I3:I17" si="0">IF(P$1,H3*J2*P$3,H3*P$2*P$3)</f>
        <v>-2.6693229999999999</v>
      </c>
      <c r="J3" s="11">
        <f>I3+J2</f>
        <v>97.330676999999994</v>
      </c>
      <c r="K3" s="12">
        <f>IF(MAX(J$1:J3)=J3,0,1-J3/MAX(J$1:J3))</f>
        <v>2.6693230000000012E-2</v>
      </c>
      <c r="L3" s="6" t="s">
        <v>20</v>
      </c>
      <c r="M3" s="14">
        <f>SUMIF(I:I,M1)</f>
        <v>69.339432824595264</v>
      </c>
      <c r="N3" s="14">
        <f>SUMIF(I:I,N1)</f>
        <v>-14.423987523332141</v>
      </c>
      <c r="O3" t="s">
        <v>21</v>
      </c>
      <c r="P3" s="15">
        <v>1</v>
      </c>
      <c r="Q3" s="9" t="s">
        <v>22</v>
      </c>
    </row>
    <row r="4" spans="1:17" x14ac:dyDescent="0.25">
      <c r="A4" t="s">
        <v>10</v>
      </c>
      <c r="B4" s="1">
        <v>44957.375</v>
      </c>
      <c r="C4" s="1">
        <v>44966.333333333343</v>
      </c>
      <c r="D4">
        <v>251.4</v>
      </c>
      <c r="E4">
        <v>257.39999999999998</v>
      </c>
      <c r="F4" s="2">
        <v>8.9583333333333339</v>
      </c>
      <c r="G4">
        <v>774000</v>
      </c>
      <c r="H4">
        <v>2.3866350000000001E-2</v>
      </c>
      <c r="I4" s="10">
        <f t="shared" si="0"/>
        <v>2.3229280030189501</v>
      </c>
      <c r="J4" s="11">
        <f t="shared" ref="J4:J17" si="1">I4+J3</f>
        <v>99.653605003018939</v>
      </c>
      <c r="K4" s="12">
        <f>IF(MAX(J$1:J4)=J4,0,1-J4/MAX(J$1:J4))</f>
        <v>3.4639499698105869E-3</v>
      </c>
      <c r="L4" s="6" t="s">
        <v>23</v>
      </c>
      <c r="M4" s="16">
        <f>COUNTIF(I:I,M1)</f>
        <v>14</v>
      </c>
      <c r="N4" s="16">
        <f>COUNTIF(I:I,N1)</f>
        <v>9</v>
      </c>
      <c r="P4" s="17" t="s">
        <v>24</v>
      </c>
    </row>
    <row r="5" spans="1:17" x14ac:dyDescent="0.25">
      <c r="A5" t="s">
        <v>11</v>
      </c>
      <c r="B5" s="1">
        <v>44970.333333333343</v>
      </c>
      <c r="C5" s="1">
        <v>44978.375</v>
      </c>
      <c r="D5">
        <v>263.60000000000002</v>
      </c>
      <c r="E5">
        <v>249</v>
      </c>
      <c r="F5" s="2">
        <v>8.0416666666666661</v>
      </c>
      <c r="G5">
        <v>694800</v>
      </c>
      <c r="H5">
        <v>5.8634539999999999E-2</v>
      </c>
      <c r="I5" s="10">
        <f t="shared" si="0"/>
        <v>5.8431432886937138</v>
      </c>
      <c r="J5" s="11">
        <f t="shared" si="1"/>
        <v>105.49674829171265</v>
      </c>
      <c r="K5" s="12">
        <f>IF(MAX(J$1:J5)=J5,0,1-J5/MAX(J$1:J5))</f>
        <v>0</v>
      </c>
      <c r="L5" s="6" t="s">
        <v>25</v>
      </c>
      <c r="M5" s="14">
        <f>AVERAGEIF(I:I,M1)</f>
        <v>4.9528166303282335</v>
      </c>
      <c r="N5" s="14">
        <f>AVERAGEIF(I:I,N1)</f>
        <v>-1.6026652803702379</v>
      </c>
    </row>
    <row r="6" spans="1:17" x14ac:dyDescent="0.25">
      <c r="A6" t="s">
        <v>10</v>
      </c>
      <c r="B6" s="1">
        <v>44998.541666666657</v>
      </c>
      <c r="C6" s="1">
        <v>44999.625</v>
      </c>
      <c r="D6">
        <v>281.14999999999998</v>
      </c>
      <c r="E6">
        <v>276.10000000000002</v>
      </c>
      <c r="F6" s="2">
        <v>1.083333333333333</v>
      </c>
      <c r="G6">
        <v>93600</v>
      </c>
      <c r="H6">
        <v>-1.7961939999999999E-2</v>
      </c>
      <c r="I6" s="10">
        <f t="shared" si="0"/>
        <v>-1.894926263010845</v>
      </c>
      <c r="J6" s="11">
        <f t="shared" si="1"/>
        <v>103.6018220287018</v>
      </c>
      <c r="K6" s="12">
        <f>IF(MAX(J$1:J6)=J6,0,1-J6/MAX(J$1:J6))</f>
        <v>1.7961939999999954E-2</v>
      </c>
      <c r="N6" s="18"/>
    </row>
    <row r="7" spans="1:17" x14ac:dyDescent="0.25">
      <c r="A7" t="s">
        <v>11</v>
      </c>
      <c r="B7" s="1">
        <v>45005.333333333343</v>
      </c>
      <c r="C7" s="1">
        <v>45014.375</v>
      </c>
      <c r="D7">
        <v>271.3</v>
      </c>
      <c r="E7">
        <v>278.8</v>
      </c>
      <c r="F7" s="2">
        <v>9.0416666666666661</v>
      </c>
      <c r="G7">
        <v>781200</v>
      </c>
      <c r="H7">
        <v>-2.6901000000000001E-2</v>
      </c>
      <c r="I7" s="10">
        <f t="shared" si="0"/>
        <v>-2.7869926143941073</v>
      </c>
      <c r="J7" s="11">
        <f t="shared" si="1"/>
        <v>100.8148294143077</v>
      </c>
      <c r="K7" s="12">
        <f>IF(MAX(J$1:J7)=J7,0,1-J7/MAX(J$1:J7))</f>
        <v>4.437974585206006E-2</v>
      </c>
      <c r="L7" s="6" t="s">
        <v>26</v>
      </c>
      <c r="M7" s="19">
        <f>M3/M4</f>
        <v>4.9528166303282335</v>
      </c>
      <c r="N7" s="9" t="s">
        <v>27</v>
      </c>
    </row>
    <row r="8" spans="1:17" x14ac:dyDescent="0.25">
      <c r="A8" t="s">
        <v>10</v>
      </c>
      <c r="B8" s="1">
        <v>45016.458333333343</v>
      </c>
      <c r="C8" s="1">
        <v>45027.541666666657</v>
      </c>
      <c r="D8">
        <v>271.89999999999998</v>
      </c>
      <c r="E8">
        <v>274.39999999999998</v>
      </c>
      <c r="F8" s="2">
        <v>11.08333333333333</v>
      </c>
      <c r="G8">
        <v>957600</v>
      </c>
      <c r="H8">
        <v>9.1945599999999992E-3</v>
      </c>
      <c r="I8" s="10">
        <f t="shared" si="0"/>
        <v>0.92694799793961691</v>
      </c>
      <c r="J8" s="11">
        <f t="shared" si="1"/>
        <v>101.74177741224732</v>
      </c>
      <c r="K8" s="12">
        <f>IF(MAX(J$1:J8)=J8,0,1-J8/MAX(J$1:J8))</f>
        <v>3.5593238088081458E-2</v>
      </c>
      <c r="L8" s="6" t="s">
        <v>28</v>
      </c>
      <c r="M8" s="19">
        <f>N3/N4</f>
        <v>-1.6026652803702379</v>
      </c>
      <c r="N8" s="9" t="s">
        <v>29</v>
      </c>
    </row>
    <row r="9" spans="1:17" x14ac:dyDescent="0.25">
      <c r="A9" t="s">
        <v>11</v>
      </c>
      <c r="B9" s="1">
        <v>45029.333333333343</v>
      </c>
      <c r="C9" s="1">
        <v>45033.291666666657</v>
      </c>
      <c r="D9">
        <v>282.2</v>
      </c>
      <c r="E9">
        <v>287.7</v>
      </c>
      <c r="F9" s="2">
        <v>3.958333333333333</v>
      </c>
      <c r="G9">
        <v>342000</v>
      </c>
      <c r="H9">
        <v>-1.9117140000000001E-2</v>
      </c>
      <c r="I9" s="10">
        <f t="shared" si="0"/>
        <v>-1.9450118026387697</v>
      </c>
      <c r="J9" s="11">
        <f t="shared" si="1"/>
        <v>99.796765609608542</v>
      </c>
      <c r="K9" s="12">
        <f>IF(MAX(J$1:J9)=J9,0,1-J9/MAX(J$1:J9))</f>
        <v>5.4029937172498377E-2</v>
      </c>
      <c r="L9" s="6" t="s">
        <v>1</v>
      </c>
      <c r="M9" s="19">
        <f>M4/N4</f>
        <v>1.5555555555555556</v>
      </c>
      <c r="N9" s="9" t="s">
        <v>30</v>
      </c>
    </row>
    <row r="10" spans="1:17" x14ac:dyDescent="0.25">
      <c r="A10" t="s">
        <v>10</v>
      </c>
      <c r="B10" s="1">
        <v>45034.416666666657</v>
      </c>
      <c r="C10" s="1">
        <v>45035.458333333343</v>
      </c>
      <c r="D10">
        <v>294.2</v>
      </c>
      <c r="E10">
        <v>299</v>
      </c>
      <c r="F10" s="2">
        <v>1.041666666666667</v>
      </c>
      <c r="G10">
        <v>90000</v>
      </c>
      <c r="H10">
        <v>1.6315429999999999E-2</v>
      </c>
      <c r="I10" s="10">
        <f t="shared" si="0"/>
        <v>1.6282271435299753</v>
      </c>
      <c r="J10" s="11">
        <f t="shared" si="1"/>
        <v>101.42499275313851</v>
      </c>
      <c r="K10" s="12">
        <f>IF(MAX(J$1:J10)=J10,0,1-J10/MAX(J$1:J10))</f>
        <v>3.8596028830340745E-2</v>
      </c>
      <c r="L10" s="6" t="s">
        <v>31</v>
      </c>
      <c r="M10" s="19">
        <f>M5/N5*-1</f>
        <v>3.0903624674417758</v>
      </c>
      <c r="N10" s="9" t="s">
        <v>32</v>
      </c>
    </row>
    <row r="11" spans="1:17" x14ac:dyDescent="0.25">
      <c r="A11" t="s">
        <v>11</v>
      </c>
      <c r="B11" s="1">
        <v>45040.416666666657</v>
      </c>
      <c r="C11" s="1">
        <v>45056.333333333343</v>
      </c>
      <c r="D11">
        <v>295.25</v>
      </c>
      <c r="E11">
        <v>277.85000000000002</v>
      </c>
      <c r="F11" s="2">
        <v>15.91666666666667</v>
      </c>
      <c r="G11">
        <v>1375200</v>
      </c>
      <c r="H11">
        <v>6.2623719999999994E-2</v>
      </c>
      <c r="I11" s="10">
        <f t="shared" si="0"/>
        <v>6.3516103471745744</v>
      </c>
      <c r="J11" s="11">
        <f t="shared" si="1"/>
        <v>107.77660310031308</v>
      </c>
      <c r="K11" s="12">
        <f>IF(MAX(J$1:J11)=J11,0,1-J11/MAX(J$1:J11))</f>
        <v>0</v>
      </c>
      <c r="L11" s="6" t="s">
        <v>33</v>
      </c>
      <c r="M11" s="19">
        <f>M4/(M4+N4)</f>
        <v>0.60869565217391308</v>
      </c>
      <c r="N11" s="20" t="s">
        <v>34</v>
      </c>
    </row>
    <row r="12" spans="1:17" x14ac:dyDescent="0.25">
      <c r="A12" t="s">
        <v>10</v>
      </c>
      <c r="B12" s="1">
        <v>45058.458333333343</v>
      </c>
      <c r="C12" s="1">
        <v>45065.291666666657</v>
      </c>
      <c r="D12">
        <v>283.5</v>
      </c>
      <c r="E12">
        <v>282.7</v>
      </c>
      <c r="F12" s="2">
        <v>6.833333333333333</v>
      </c>
      <c r="G12">
        <v>590400</v>
      </c>
      <c r="H12">
        <v>-2.8218700000000002E-3</v>
      </c>
      <c r="I12" s="10">
        <f t="shared" si="0"/>
        <v>-0.3041315629906805</v>
      </c>
      <c r="J12" s="11">
        <f t="shared" si="1"/>
        <v>107.47247153732241</v>
      </c>
      <c r="K12" s="12">
        <f>IF(MAX(J$1:J12)=J12,0,1-J12/MAX(J$1:J12))</f>
        <v>2.8218700000000041E-3</v>
      </c>
      <c r="L12" s="6" t="s">
        <v>35</v>
      </c>
      <c r="M12" s="19">
        <f>N4/(M4+N4)</f>
        <v>0.39130434782608697</v>
      </c>
      <c r="N12" s="20" t="s">
        <v>36</v>
      </c>
    </row>
    <row r="13" spans="1:17" x14ac:dyDescent="0.25">
      <c r="A13" t="s">
        <v>11</v>
      </c>
      <c r="B13" s="1">
        <v>45075.416666666657</v>
      </c>
      <c r="C13" s="1">
        <v>45081.458333333343</v>
      </c>
      <c r="D13">
        <v>294.10000000000002</v>
      </c>
      <c r="E13">
        <v>286.95</v>
      </c>
      <c r="F13" s="2">
        <v>6.041666666666667</v>
      </c>
      <c r="G13">
        <v>522000</v>
      </c>
      <c r="H13">
        <v>2.4917229999999999E-2</v>
      </c>
      <c r="I13" s="10">
        <f t="shared" si="0"/>
        <v>2.6779162919639159</v>
      </c>
      <c r="J13" s="11">
        <f t="shared" si="1"/>
        <v>110.15038782928632</v>
      </c>
      <c r="K13" s="12">
        <f>IF(MAX(J$1:J13)=J13,0,1-J13/MAX(J$1:J13))</f>
        <v>0</v>
      </c>
      <c r="L13" s="6" t="s">
        <v>37</v>
      </c>
      <c r="M13" s="3">
        <f>(M7*M11)+(M8*M12)</f>
        <v>2.3876280565766579</v>
      </c>
      <c r="N13" s="9" t="s">
        <v>38</v>
      </c>
    </row>
    <row r="14" spans="1:17" x14ac:dyDescent="0.25">
      <c r="A14" t="s">
        <v>10</v>
      </c>
      <c r="B14" s="1">
        <v>45083.333333333343</v>
      </c>
      <c r="C14" s="1">
        <v>45100.291666666657</v>
      </c>
      <c r="D14">
        <v>278.8</v>
      </c>
      <c r="E14">
        <v>293.60000000000002</v>
      </c>
      <c r="F14" s="2">
        <v>16.958333333333329</v>
      </c>
      <c r="G14">
        <v>1465200</v>
      </c>
      <c r="H14">
        <v>5.3084649999999997E-2</v>
      </c>
      <c r="I14" s="10">
        <f t="shared" si="0"/>
        <v>5.8472947852819237</v>
      </c>
      <c r="J14" s="11">
        <f t="shared" si="1"/>
        <v>115.99768261456823</v>
      </c>
      <c r="K14" s="12">
        <f>IF(MAX(J$1:J14)=J14,0,1-J14/MAX(J$1:J14))</f>
        <v>0</v>
      </c>
      <c r="L14" s="6" t="s">
        <v>39</v>
      </c>
      <c r="M14" s="21">
        <f>1+M9*M10</f>
        <v>5.8072305049094295</v>
      </c>
      <c r="N14" s="9" t="s">
        <v>40</v>
      </c>
    </row>
    <row r="15" spans="1:17" x14ac:dyDescent="0.25">
      <c r="A15" t="s">
        <v>10</v>
      </c>
      <c r="B15" s="1">
        <v>45128.416666666657</v>
      </c>
      <c r="C15" s="1">
        <v>45142.5</v>
      </c>
      <c r="D15">
        <v>319.3</v>
      </c>
      <c r="E15">
        <v>362.25</v>
      </c>
      <c r="F15" s="2">
        <v>14.08333333333333</v>
      </c>
      <c r="G15">
        <v>1216800</v>
      </c>
      <c r="H15">
        <v>0.13451299999999999</v>
      </c>
      <c r="I15" s="10">
        <f t="shared" si="0"/>
        <v>15.603196281533416</v>
      </c>
      <c r="J15" s="11">
        <f t="shared" si="1"/>
        <v>131.60087889610165</v>
      </c>
      <c r="K15" s="12">
        <f>IF(MAX(J$1:J15)=J15,0,1-J15/MAX(J$1:J15))</f>
        <v>0</v>
      </c>
      <c r="L15" s="22" t="s">
        <v>41</v>
      </c>
      <c r="M15" s="23">
        <f>MAX(K:K)</f>
        <v>5.4029937172498377E-2</v>
      </c>
      <c r="N15" s="9" t="s">
        <v>42</v>
      </c>
    </row>
    <row r="16" spans="1:17" x14ac:dyDescent="0.25">
      <c r="A16" t="s">
        <v>11</v>
      </c>
      <c r="B16" s="1">
        <v>45145.375</v>
      </c>
      <c r="C16" s="1">
        <v>45146.333333333343</v>
      </c>
      <c r="D16">
        <v>362.1</v>
      </c>
      <c r="E16">
        <v>364.45</v>
      </c>
      <c r="F16" s="2">
        <v>0.95833333333333337</v>
      </c>
      <c r="G16">
        <v>82800</v>
      </c>
      <c r="H16">
        <v>-6.4480700000000002E-3</v>
      </c>
      <c r="I16" s="10">
        <f t="shared" si="0"/>
        <v>-0.84857167918358622</v>
      </c>
      <c r="J16" s="11">
        <f t="shared" si="1"/>
        <v>130.75230721691807</v>
      </c>
      <c r="K16" s="12">
        <f>IF(MAX(J$1:J16)=J16,0,1-J16/MAX(J$1:J16))</f>
        <v>6.4480699999999169E-3</v>
      </c>
      <c r="L16" s="24" t="s">
        <v>43</v>
      </c>
      <c r="M16" s="11">
        <f>M17/M15</f>
        <v>10.163892126310943</v>
      </c>
      <c r="N16" s="9" t="s">
        <v>44</v>
      </c>
    </row>
    <row r="17" spans="1:14" x14ac:dyDescent="0.25">
      <c r="A17" t="s">
        <v>10</v>
      </c>
      <c r="B17" s="1">
        <v>45147.625</v>
      </c>
      <c r="C17" s="1">
        <v>45148.541666666657</v>
      </c>
      <c r="D17">
        <v>377.1</v>
      </c>
      <c r="E17">
        <v>371.5</v>
      </c>
      <c r="F17" s="2">
        <v>0.91666666666666663</v>
      </c>
      <c r="G17">
        <v>79200</v>
      </c>
      <c r="H17">
        <v>-1.4850169999999999E-2</v>
      </c>
      <c r="I17" s="10">
        <f t="shared" si="0"/>
        <v>-1.9416939900634602</v>
      </c>
      <c r="J17" s="11">
        <f t="shared" si="1"/>
        <v>128.8106132268546</v>
      </c>
      <c r="K17" s="12">
        <f>IF(MAX(J$1:J17)=J17,0,1-J17/MAX(J$1:J17))</f>
        <v>2.1202485064328092E-2</v>
      </c>
      <c r="L17" s="25" t="s">
        <v>0</v>
      </c>
      <c r="M17" s="28">
        <f>M2/P2</f>
        <v>0.54915445301263122</v>
      </c>
      <c r="N17" s="9" t="s">
        <v>45</v>
      </c>
    </row>
    <row r="18" spans="1:14" x14ac:dyDescent="0.25">
      <c r="A18" t="s">
        <v>11</v>
      </c>
      <c r="B18" s="1">
        <v>45157.5</v>
      </c>
      <c r="C18" s="1">
        <v>45159.291666666657</v>
      </c>
      <c r="D18">
        <v>352.4</v>
      </c>
      <c r="E18">
        <v>356.05</v>
      </c>
      <c r="F18" s="2">
        <v>1.791666666666667</v>
      </c>
      <c r="G18">
        <v>154800</v>
      </c>
      <c r="H18">
        <v>-1.0251369999999999E-2</v>
      </c>
      <c r="I18" s="10">
        <f t="shared" ref="I18:I24" si="2">IF(P$1,H18*J17*P$3,H18*P$2*P$3)</f>
        <v>-1.3204852561153804</v>
      </c>
      <c r="J18" s="11">
        <f t="shared" ref="J18:J24" si="3">I18+J17</f>
        <v>127.49012797073922</v>
      </c>
      <c r="K18" s="12">
        <f>IF(MAX(J$1:J18)=J18,0,1-J18/MAX(J$1:J18))</f>
        <v>3.1236500545014145E-2</v>
      </c>
    </row>
    <row r="19" spans="1:14" x14ac:dyDescent="0.25">
      <c r="A19" t="s">
        <v>10</v>
      </c>
      <c r="B19" s="1">
        <v>45161.541666666657</v>
      </c>
      <c r="C19" s="1">
        <v>45170.333333333343</v>
      </c>
      <c r="D19">
        <v>357.3</v>
      </c>
      <c r="E19">
        <v>360.15</v>
      </c>
      <c r="F19" s="2">
        <v>8.7916666666666661</v>
      </c>
      <c r="G19">
        <v>759600</v>
      </c>
      <c r="H19">
        <v>7.9764899999999993E-3</v>
      </c>
      <c r="I19" s="10">
        <f t="shared" si="2"/>
        <v>1.0169237308573216</v>
      </c>
      <c r="J19" s="11">
        <f t="shared" si="3"/>
        <v>128.50705170159654</v>
      </c>
      <c r="K19" s="12">
        <f>IF(MAX(J$1:J19)=J19,0,1-J19/MAX(J$1:J19))</f>
        <v>2.3509168179246531E-2</v>
      </c>
    </row>
    <row r="20" spans="1:14" x14ac:dyDescent="0.25">
      <c r="A20" t="s">
        <v>11</v>
      </c>
      <c r="B20" s="1">
        <v>45173.375</v>
      </c>
      <c r="C20" s="1">
        <v>45182.291666666657</v>
      </c>
      <c r="D20">
        <v>373.35</v>
      </c>
      <c r="E20">
        <v>350.65</v>
      </c>
      <c r="F20" s="2">
        <v>8.9166666666666661</v>
      </c>
      <c r="G20">
        <v>770400</v>
      </c>
      <c r="H20">
        <v>6.4736920000000003E-2</v>
      </c>
      <c r="I20" s="10">
        <f t="shared" si="2"/>
        <v>8.3191507254421193</v>
      </c>
      <c r="J20" s="11">
        <f t="shared" si="3"/>
        <v>136.82620242703865</v>
      </c>
      <c r="K20" s="12">
        <f>IF(MAX(J$1:J20)=J20,0,1-J20/MAX(J$1:J20))</f>
        <v>0</v>
      </c>
    </row>
    <row r="21" spans="1:14" x14ac:dyDescent="0.25">
      <c r="A21" t="s">
        <v>10</v>
      </c>
      <c r="B21" s="1">
        <v>45183.375</v>
      </c>
      <c r="C21" s="1">
        <v>45188.333333333343</v>
      </c>
      <c r="D21">
        <v>338.7</v>
      </c>
      <c r="E21">
        <v>342.4</v>
      </c>
      <c r="F21" s="2">
        <v>4.958333333333333</v>
      </c>
      <c r="G21">
        <v>428400</v>
      </c>
      <c r="H21">
        <v>1.0924120000000001E-2</v>
      </c>
      <c r="I21" s="10">
        <f t="shared" si="2"/>
        <v>1.4947058544572616</v>
      </c>
      <c r="J21" s="11">
        <f t="shared" si="3"/>
        <v>138.32090828149592</v>
      </c>
      <c r="K21" s="12">
        <f>IF(MAX(J$1:J21)=J21,0,1-J21/MAX(J$1:J21))</f>
        <v>0</v>
      </c>
    </row>
    <row r="22" spans="1:14" x14ac:dyDescent="0.25">
      <c r="A22" t="s">
        <v>11</v>
      </c>
      <c r="B22" s="1">
        <v>45189.583333333343</v>
      </c>
      <c r="C22" s="1">
        <v>45191.583333333343</v>
      </c>
      <c r="D22">
        <v>339.55</v>
      </c>
      <c r="E22">
        <v>332.1</v>
      </c>
      <c r="F22" s="2">
        <v>2</v>
      </c>
      <c r="G22">
        <v>172800</v>
      </c>
      <c r="H22">
        <v>2.2433000000000002E-2</v>
      </c>
      <c r="I22" s="10">
        <f t="shared" si="2"/>
        <v>3.1029529354787981</v>
      </c>
      <c r="J22" s="11">
        <f t="shared" si="3"/>
        <v>141.42386121697473</v>
      </c>
      <c r="K22" s="12">
        <f>IF(MAX(J$1:J22)=J22,0,1-J22/MAX(J$1:J22))</f>
        <v>0</v>
      </c>
    </row>
    <row r="23" spans="1:14" x14ac:dyDescent="0.25">
      <c r="A23" t="s">
        <v>10</v>
      </c>
      <c r="B23" s="1">
        <v>45194.333333333343</v>
      </c>
      <c r="C23" s="1">
        <v>45201.583333333343</v>
      </c>
      <c r="D23">
        <v>328.6</v>
      </c>
      <c r="E23">
        <v>346.95</v>
      </c>
      <c r="F23" s="2">
        <v>7.25</v>
      </c>
      <c r="G23">
        <v>626400</v>
      </c>
      <c r="H23">
        <v>5.5842969999999999E-2</v>
      </c>
      <c r="I23" s="10">
        <f t="shared" si="2"/>
        <v>7.8975284392236826</v>
      </c>
      <c r="J23" s="11">
        <f t="shared" si="3"/>
        <v>149.32138965619842</v>
      </c>
      <c r="K23" s="12">
        <f>IF(MAX(J$1:J23)=J23,0,1-J23/MAX(J$1:J23))</f>
        <v>0</v>
      </c>
    </row>
    <row r="24" spans="1:14" x14ac:dyDescent="0.25">
      <c r="A24" t="s">
        <v>11</v>
      </c>
      <c r="B24" s="1">
        <v>45204.541666666657</v>
      </c>
      <c r="C24" s="1">
        <v>45215.333333333343</v>
      </c>
      <c r="D24">
        <v>354.4</v>
      </c>
      <c r="E24">
        <v>356.1</v>
      </c>
      <c r="F24" s="2">
        <v>10.79166666666667</v>
      </c>
      <c r="G24">
        <v>932400</v>
      </c>
      <c r="H24">
        <v>-4.77394E-3</v>
      </c>
      <c r="I24" s="10">
        <f t="shared" si="2"/>
        <v>-0.71285135493531193</v>
      </c>
      <c r="J24" s="11">
        <f t="shared" si="3"/>
        <v>148.60853830126311</v>
      </c>
      <c r="K24" s="12">
        <f>IF(MAX(J$1:J24)=J24,0,1-J24/MAX(J$1:J24))</f>
        <v>4.7739399999999765E-3</v>
      </c>
    </row>
  </sheetData>
  <autoFilter ref="A1:H1"/>
  <mergeCells count="1">
    <mergeCell ref="M2:N2"/>
  </mergeCells>
  <conditionalFormatting sqref="I1:I24">
    <cfRule type="cellIs" dxfId="16" priority="15" operator="lessThan">
      <formula>0</formula>
    </cfRule>
    <cfRule type="cellIs" dxfId="15" priority="16" operator="greaterThan">
      <formula>0</formula>
    </cfRule>
    <cfRule type="expression" dxfId="14" priority="17">
      <formula>"&gt;0"</formula>
    </cfRule>
  </conditionalFormatting>
  <conditionalFormatting sqref="M15">
    <cfRule type="cellIs" dxfId="13" priority="3" operator="greaterThan">
      <formula>0.25</formula>
    </cfRule>
    <cfRule type="cellIs" dxfId="12" priority="4" operator="lessThan">
      <formula>0.25</formula>
    </cfRule>
  </conditionalFormatting>
  <conditionalFormatting sqref="M2">
    <cfRule type="cellIs" dxfId="11" priority="12" operator="lessThan">
      <formula>0</formula>
    </cfRule>
    <cfRule type="cellIs" dxfId="10" priority="13" operator="greaterThan">
      <formula>0</formula>
    </cfRule>
    <cfRule type="expression" dxfId="9" priority="14">
      <formula>"&gt;0"</formula>
    </cfRule>
  </conditionalFormatting>
  <conditionalFormatting sqref="M13">
    <cfRule type="cellIs" dxfId="8" priority="9" operator="lessThan">
      <formula>0</formula>
    </cfRule>
    <cfRule type="cellIs" dxfId="7" priority="10" operator="greaterThan">
      <formula>0</formula>
    </cfRule>
    <cfRule type="expression" dxfId="6" priority="11">
      <formula>"&gt;0"</formula>
    </cfRule>
  </conditionalFormatting>
  <conditionalFormatting sqref="M10">
    <cfRule type="cellIs" dxfId="5" priority="7" operator="lessThan">
      <formula>2</formula>
    </cfRule>
    <cfRule type="cellIs" dxfId="4" priority="8" operator="greaterThan">
      <formula>2</formula>
    </cfRule>
  </conditionalFormatting>
  <conditionalFormatting sqref="M14">
    <cfRule type="cellIs" dxfId="3" priority="5" operator="lessThan">
      <formula>3</formula>
    </cfRule>
    <cfRule type="cellIs" dxfId="2" priority="6" operator="greaterThan">
      <formula>3</formula>
    </cfRule>
  </conditionalFormatting>
  <conditionalFormatting sqref="M16">
    <cfRule type="cellIs" dxfId="1" priority="1" operator="lessThan">
      <formula>0.15</formula>
    </cfRule>
    <cfRule type="cellIs" dxfId="0" priority="2" operator="greaterThan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Сделки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Grigorii L. Tishchenko</cp:lastModifiedBy>
  <dcterms:created xsi:type="dcterms:W3CDTF">2023-10-26T08:28:46Z</dcterms:created>
  <dcterms:modified xsi:type="dcterms:W3CDTF">2023-10-26T10:23:39Z</dcterms:modified>
</cp:coreProperties>
</file>