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.Tishchenko\github\Fin_project\files\"/>
    </mc:Choice>
  </mc:AlternateContent>
  <bookViews>
    <workbookView xWindow="0" yWindow="0" windowWidth="28800" windowHeight="12330" tabRatio="844"/>
  </bookViews>
  <sheets>
    <sheet name="Сделки" sheetId="12" r:id="rId1"/>
  </sheets>
  <definedNames>
    <definedName name="_xlnm._FilterDatabase" localSheetId="0" hidden="1">Сделки!$A$1:$H$1</definedName>
  </definedNames>
  <calcPr calcId="162913"/>
</workbook>
</file>

<file path=xl/calcChain.xml><?xml version="1.0" encoding="utf-8"?>
<calcChain xmlns="http://schemas.openxmlformats.org/spreadsheetml/2006/main">
  <c r="J2" i="12" l="1"/>
  <c r="I3" i="12" s="1"/>
  <c r="I2" i="12"/>
  <c r="J3" i="12" l="1"/>
  <c r="K2" i="12"/>
  <c r="I4" i="12" l="1"/>
  <c r="K3" i="12"/>
  <c r="J4" i="12" l="1"/>
  <c r="K4" i="12" l="1"/>
  <c r="I5" i="12"/>
  <c r="J5" i="12" l="1"/>
  <c r="K5" i="12" l="1"/>
  <c r="I6" i="12"/>
  <c r="J6" i="12" l="1"/>
  <c r="I7" i="12" l="1"/>
  <c r="K6" i="12"/>
  <c r="J7" i="12" l="1"/>
  <c r="K7" i="12" l="1"/>
  <c r="I8" i="12"/>
  <c r="J8" i="12" s="1"/>
  <c r="K8" i="12" l="1"/>
  <c r="I9" i="12"/>
  <c r="J9" i="12" s="1"/>
  <c r="K9" i="12" l="1"/>
  <c r="I10" i="12"/>
  <c r="J10" i="12" s="1"/>
  <c r="K10" i="12" l="1"/>
  <c r="I11" i="12"/>
  <c r="J11" i="12" s="1"/>
  <c r="K11" i="12" l="1"/>
  <c r="I12" i="12"/>
  <c r="J12" i="12" s="1"/>
  <c r="K12" i="12" l="1"/>
  <c r="I13" i="12"/>
  <c r="J13" i="12" s="1"/>
  <c r="K13" i="12" l="1"/>
  <c r="I14" i="12"/>
  <c r="J14" i="12" s="1"/>
  <c r="K14" i="12" l="1"/>
  <c r="I15" i="12"/>
  <c r="J15" i="12" s="1"/>
  <c r="K15" i="12" l="1"/>
  <c r="I16" i="12"/>
  <c r="J16" i="12" s="1"/>
  <c r="K16" i="12" l="1"/>
  <c r="I17" i="12"/>
  <c r="M2" i="12" l="1"/>
  <c r="N5" i="12"/>
  <c r="M5" i="12"/>
  <c r="J17" i="12"/>
  <c r="K17" i="12" s="1"/>
  <c r="M15" i="12" s="1"/>
  <c r="M4" i="12"/>
  <c r="N3" i="12"/>
  <c r="M17" i="12"/>
  <c r="M3" i="12"/>
  <c r="M7" i="12" s="1"/>
  <c r="N4" i="12"/>
  <c r="M12" i="12" s="1"/>
  <c r="M16" i="12" l="1"/>
  <c r="M9" i="12"/>
  <c r="M8" i="12"/>
  <c r="M11" i="12"/>
  <c r="M13" i="12" s="1"/>
  <c r="M10" i="12"/>
  <c r="M14" i="12" l="1"/>
</calcChain>
</file>

<file path=xl/sharedStrings.xml><?xml version="1.0" encoding="utf-8"?>
<sst xmlns="http://schemas.openxmlformats.org/spreadsheetml/2006/main" count="62" uniqueCount="46">
  <si>
    <t>net_profit</t>
  </si>
  <si>
    <t>profit_chance</t>
  </si>
  <si>
    <t>type</t>
  </si>
  <si>
    <t>open_date</t>
  </si>
  <si>
    <t>close_date</t>
  </si>
  <si>
    <t>open_price</t>
  </si>
  <si>
    <t>close_price</t>
  </si>
  <si>
    <t>duration</t>
  </si>
  <si>
    <t>duration_sec</t>
  </si>
  <si>
    <t>income</t>
  </si>
  <si>
    <t>buy</t>
  </si>
  <si>
    <t>sell</t>
  </si>
  <si>
    <t>equity</t>
  </si>
  <si>
    <t>drop_down</t>
  </si>
  <si>
    <t>&gt;0</t>
  </si>
  <si>
    <t>&lt;0</t>
  </si>
  <si>
    <t>reinv_bet (1/0)</t>
  </si>
  <si>
    <t>bett(every/first)</t>
  </si>
  <si>
    <t>сумма</t>
  </si>
  <si>
    <t>bet_increase_x</t>
  </si>
  <si>
    <t>кол-во</t>
  </si>
  <si>
    <t>ср сумма</t>
  </si>
  <si>
    <t>average_win</t>
  </si>
  <si>
    <t>average_loss</t>
  </si>
  <si>
    <t>profit_factor (&gt;2)</t>
  </si>
  <si>
    <t>profit_prob</t>
  </si>
  <si>
    <t>loss_prob</t>
  </si>
  <si>
    <t>max dd (&lt;0,25)</t>
  </si>
  <si>
    <t>Фактор восстановления</t>
  </si>
  <si>
    <t>recovery_factor (&gt;0,15)</t>
  </si>
  <si>
    <t>Чистая прибыль (в %)</t>
  </si>
  <si>
    <t>Максимальная просадка</t>
  </si>
  <si>
    <t>Математическое ожидание</t>
  </si>
  <si>
    <t>math_exp (&gt;0)</t>
  </si>
  <si>
    <t>math_exp_by_ob (&gt;3)</t>
  </si>
  <si>
    <t>Значения в желтых ячейках можно менять</t>
  </si>
  <si>
    <t>Размер ставки</t>
  </si>
  <si>
    <t>Во сколько раз увеличть размер ставки (Маржинальная торговля)</t>
  </si>
  <si>
    <t>1 - прибыль реинвестируется; 0 - размер ставки постоянный</t>
  </si>
  <si>
    <t>Среднее положительных сделок</t>
  </si>
  <si>
    <t>Среднее отрицательных сделок</t>
  </si>
  <si>
    <t>Математическое ожидание 2</t>
  </si>
  <si>
    <t>Профит-фактор</t>
  </si>
  <si>
    <t>Вероятность наступления прибыльной сделки</t>
  </si>
  <si>
    <t>Отношение кол-ва прибыльных сделок к убыточным</t>
  </si>
  <si>
    <t>Вероятность наступления отрицательной сделки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</si>
</sst>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\ _₽_-;\-* #,##0.00\ _₽_-;_-* &quot;-&quot;??\ _₽_-;_-@_-"/>
    <numFmt numFmtId="164" formatCode="yyyy\-mm\-dd\ h:mm:ss"/>
    <numFmt numFmtId="165" formatCode="[hh]:mm:ss"/>
    <numFmt numFmtId="166" formatCode="_-* #,##0.00000\ _₽_-;\-* #,##0.00000\ _₽_-;_-* &quot;-&quot;??\ _₽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5" fontId="0" fillId="0" borderId="0" xfId="0" applyNumberFormat="1"/>
    <xf numFmtId="43" fontId="0" fillId="0" borderId="1" xfId="1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6" fontId="2" fillId="0" borderId="1" xfId="1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3" fontId="0" fillId="2" borderId="0" xfId="1" applyFont="1" applyFill="1" applyAlignment="1">
      <alignment horizontal="center" vertical="center"/>
    </xf>
    <xf numFmtId="43" fontId="0" fillId="0" borderId="0" xfId="1" applyNumberFormat="1" applyFont="1" applyBorder="1" applyAlignment="1">
      <alignment horizontal="center"/>
    </xf>
    <xf numFmtId="43" fontId="0" fillId="0" borderId="0" xfId="1" applyFont="1"/>
    <xf numFmtId="166" fontId="0" fillId="0" borderId="0" xfId="1" applyNumberFormat="1" applyFont="1"/>
    <xf numFmtId="43" fontId="0" fillId="0" borderId="1" xfId="1" applyFont="1" applyBorder="1" applyAlignment="1">
      <alignment horizontal="center"/>
    </xf>
    <xf numFmtId="43" fontId="0" fillId="2" borderId="0" xfId="1" applyFont="1" applyFill="1"/>
    <xf numFmtId="0" fontId="0" fillId="0" borderId="1" xfId="0" applyBorder="1" applyAlignment="1">
      <alignment horizontal="center"/>
    </xf>
    <xf numFmtId="43" fontId="0" fillId="0" borderId="1" xfId="1" applyNumberFormat="1" applyFont="1" applyBorder="1"/>
    <xf numFmtId="43" fontId="0" fillId="0" borderId="1" xfId="1" applyFont="1" applyBorder="1"/>
    <xf numFmtId="0" fontId="2" fillId="0" borderId="1" xfId="0" applyFont="1" applyFill="1" applyBorder="1"/>
    <xf numFmtId="43" fontId="0" fillId="0" borderId="1" xfId="0" applyNumberFormat="1" applyBorder="1"/>
    <xf numFmtId="0" fontId="2" fillId="0" borderId="4" xfId="0" applyFont="1" applyFill="1" applyBorder="1"/>
    <xf numFmtId="43" fontId="0" fillId="0" borderId="0" xfId="0" applyNumberFormat="1"/>
    <xf numFmtId="0" fontId="3" fillId="0" borderId="0" xfId="0" applyFont="1"/>
    <xf numFmtId="0" fontId="2" fillId="0" borderId="5" xfId="0" applyFont="1" applyFill="1" applyBorder="1"/>
    <xf numFmtId="0" fontId="2" fillId="0" borderId="0" xfId="0" applyFont="1" applyFill="1"/>
    <xf numFmtId="0" fontId="3" fillId="0" borderId="0" xfId="0" quotePrefix="1" applyFont="1"/>
    <xf numFmtId="0" fontId="3" fillId="0" borderId="0" xfId="0" applyFont="1" applyFill="1" applyBorder="1"/>
    <xf numFmtId="43" fontId="0" fillId="0" borderId="2" xfId="0" applyNumberFormat="1" applyBorder="1" applyAlignment="1">
      <alignment horizontal="center" vertical="center"/>
    </xf>
    <xf numFmtId="43" fontId="0" fillId="0" borderId="3" xfId="0" applyNumberFormat="1" applyBorder="1" applyAlignment="1">
      <alignment horizontal="center" vertical="center"/>
    </xf>
    <xf numFmtId="9" fontId="0" fillId="0" borderId="6" xfId="2" applyFont="1" applyBorder="1"/>
  </cellXfs>
  <cellStyles count="3">
    <cellStyle name="Обычный" xfId="0" builtinId="0"/>
    <cellStyle name="Процентный" xfId="2" builtinId="5"/>
    <cellStyle name="Финансовый" xfId="1" builtinId="3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7"/>
  <sheetViews>
    <sheetView tabSelected="1" workbookViewId="0">
      <selection activeCell="N24" sqref="N24"/>
    </sheetView>
  </sheetViews>
  <sheetFormatPr defaultRowHeight="15" x14ac:dyDescent="0.25"/>
  <cols>
    <col min="1" max="1" width="7.28515625" bestFit="1" customWidth="1"/>
    <col min="2" max="3" width="18.28515625" bestFit="1" customWidth="1"/>
    <col min="4" max="5" width="13.28515625" bestFit="1" customWidth="1"/>
    <col min="6" max="6" width="10.85546875" bestFit="1" customWidth="1"/>
    <col min="7" max="7" width="14.7109375" bestFit="1" customWidth="1"/>
    <col min="8" max="8" width="11.7109375" bestFit="1" customWidth="1"/>
    <col min="9" max="9" width="9.5703125" bestFit="1" customWidth="1"/>
    <col min="10" max="10" width="11" bestFit="1" customWidth="1"/>
    <col min="11" max="11" width="13.140625" bestFit="1" customWidth="1"/>
    <col min="12" max="12" width="22.140625" bestFit="1" customWidth="1"/>
    <col min="13" max="14" width="11.42578125" customWidth="1"/>
    <col min="15" max="15" width="15.7109375" bestFit="1" customWidth="1"/>
    <col min="16" max="16" width="11" bestFit="1" customWidth="1"/>
  </cols>
  <sheetData>
    <row r="1" spans="1:17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3" t="s">
        <v>9</v>
      </c>
      <c r="J1" s="4" t="s">
        <v>12</v>
      </c>
      <c r="K1" s="5" t="s">
        <v>13</v>
      </c>
      <c r="L1" s="6"/>
      <c r="M1" s="7" t="s">
        <v>14</v>
      </c>
      <c r="N1" s="7" t="s">
        <v>15</v>
      </c>
      <c r="O1" t="s">
        <v>16</v>
      </c>
      <c r="P1" s="8">
        <v>1</v>
      </c>
      <c r="Q1" s="21" t="s">
        <v>38</v>
      </c>
    </row>
    <row r="2" spans="1:17" x14ac:dyDescent="0.25">
      <c r="A2" t="s">
        <v>10</v>
      </c>
      <c r="B2" s="1">
        <v>44953.083333333343</v>
      </c>
      <c r="C2" s="1">
        <v>44956.791666666657</v>
      </c>
      <c r="D2">
        <v>22781.67</v>
      </c>
      <c r="E2">
        <v>22784.86</v>
      </c>
      <c r="F2" s="2">
        <v>3.708333333333333</v>
      </c>
      <c r="G2">
        <v>320400</v>
      </c>
      <c r="H2">
        <v>1.4002E-4</v>
      </c>
      <c r="I2" s="9">
        <f>IF(P$1,H2*P2*P$3,H2*P$3)</f>
        <v>1.4002000000000001E-2</v>
      </c>
      <c r="J2" s="10">
        <f>P2</f>
        <v>100</v>
      </c>
      <c r="K2" s="11">
        <f>IF(MAX(J$1:J2)=J2,0,1-J2/MAX(J$1:J2))</f>
        <v>0</v>
      </c>
      <c r="L2" s="6" t="s">
        <v>0</v>
      </c>
      <c r="M2" s="26">
        <f>SUM(I:I)</f>
        <v>65.8281347600754</v>
      </c>
      <c r="N2" s="27"/>
      <c r="O2" t="s">
        <v>17</v>
      </c>
      <c r="P2" s="8">
        <v>100</v>
      </c>
      <c r="Q2" s="24" t="s">
        <v>36</v>
      </c>
    </row>
    <row r="3" spans="1:17" x14ac:dyDescent="0.25">
      <c r="A3" t="s">
        <v>11</v>
      </c>
      <c r="B3" s="1">
        <v>44959.041666666657</v>
      </c>
      <c r="C3" s="1">
        <v>44972.458333333343</v>
      </c>
      <c r="D3">
        <v>23950.55</v>
      </c>
      <c r="E3">
        <v>22445.13</v>
      </c>
      <c r="F3" s="2">
        <v>13.41666666666667</v>
      </c>
      <c r="G3">
        <v>1159200</v>
      </c>
      <c r="H3">
        <v>6.7071119999999998E-2</v>
      </c>
      <c r="I3" s="9">
        <f t="shared" ref="I3:I17" si="0">IF(P$1,H3*J2*P$3,H3*P$2*P$3)</f>
        <v>6.7071119999999995</v>
      </c>
      <c r="J3" s="10">
        <f>I3+J2</f>
        <v>106.707112</v>
      </c>
      <c r="K3" s="11">
        <f>IF(MAX(J$1:J3)=J3,0,1-J3/MAX(J$1:J3))</f>
        <v>0</v>
      </c>
      <c r="L3" s="6" t="s">
        <v>18</v>
      </c>
      <c r="M3" s="12">
        <f>SUMIF(I:I,M1)</f>
        <v>80.877432990731563</v>
      </c>
      <c r="N3" s="12">
        <f>SUMIF(I:I,N1)</f>
        <v>-15.049298230656161</v>
      </c>
      <c r="O3" t="s">
        <v>19</v>
      </c>
      <c r="P3" s="13">
        <v>1</v>
      </c>
      <c r="Q3" s="21" t="s">
        <v>37</v>
      </c>
    </row>
    <row r="4" spans="1:17" x14ac:dyDescent="0.25">
      <c r="A4" t="s">
        <v>10</v>
      </c>
      <c r="B4" s="1">
        <v>44973.958333333343</v>
      </c>
      <c r="C4" s="1">
        <v>44979.25</v>
      </c>
      <c r="D4">
        <v>23517.72</v>
      </c>
      <c r="E4">
        <v>23950.15</v>
      </c>
      <c r="F4" s="2">
        <v>5.291666666666667</v>
      </c>
      <c r="G4">
        <v>457200</v>
      </c>
      <c r="H4">
        <v>1.838741E-2</v>
      </c>
      <c r="I4" s="9">
        <f t="shared" si="0"/>
        <v>1.9620674182599198</v>
      </c>
      <c r="J4" s="10">
        <f t="shared" ref="J4:J17" si="1">I4+J3</f>
        <v>108.66917941825992</v>
      </c>
      <c r="K4" s="11">
        <f>IF(MAX(J$1:J4)=J4,0,1-J4/MAX(J$1:J4))</f>
        <v>0</v>
      </c>
      <c r="L4" s="6" t="s">
        <v>20</v>
      </c>
      <c r="M4" s="14">
        <f>COUNTIF(I:I,M1)</f>
        <v>14</v>
      </c>
      <c r="N4" s="14">
        <f>COUNTIF(I:I,N1)</f>
        <v>2</v>
      </c>
      <c r="P4" s="23" t="s">
        <v>35</v>
      </c>
    </row>
    <row r="5" spans="1:17" x14ac:dyDescent="0.25">
      <c r="A5" t="s">
        <v>11</v>
      </c>
      <c r="B5" s="1">
        <v>44986.375</v>
      </c>
      <c r="C5" s="1">
        <v>44996.041666666657</v>
      </c>
      <c r="D5">
        <v>23756.14</v>
      </c>
      <c r="E5">
        <v>20586.75</v>
      </c>
      <c r="F5" s="2">
        <v>9.6666666666666661</v>
      </c>
      <c r="G5">
        <v>835200</v>
      </c>
      <c r="H5">
        <v>0.15395291</v>
      </c>
      <c r="I5" s="9">
        <f t="shared" si="0"/>
        <v>16.729936398753221</v>
      </c>
      <c r="J5" s="10">
        <f t="shared" si="1"/>
        <v>125.39911581701314</v>
      </c>
      <c r="K5" s="11">
        <f>IF(MAX(J$1:J5)=J5,0,1-J5/MAX(J$1:J5))</f>
        <v>0</v>
      </c>
      <c r="L5" s="6" t="s">
        <v>21</v>
      </c>
      <c r="M5" s="12">
        <f>AVERAGEIF(I:I,M1)</f>
        <v>5.7769594993379689</v>
      </c>
      <c r="N5" s="12">
        <f>AVERAGEIF(I:I,N1)</f>
        <v>-7.5246491153280806</v>
      </c>
    </row>
    <row r="6" spans="1:17" x14ac:dyDescent="0.25">
      <c r="A6" t="s">
        <v>10</v>
      </c>
      <c r="B6" s="1">
        <v>44999.875</v>
      </c>
      <c r="C6" s="1">
        <v>45007.791666666657</v>
      </c>
      <c r="D6">
        <v>24535.95</v>
      </c>
      <c r="E6">
        <v>26667.33</v>
      </c>
      <c r="F6" s="2">
        <v>7.916666666666667</v>
      </c>
      <c r="G6">
        <v>684000</v>
      </c>
      <c r="H6">
        <v>8.6867639999999996E-2</v>
      </c>
      <c r="I6" s="9">
        <f t="shared" si="0"/>
        <v>10.893125249110604</v>
      </c>
      <c r="J6" s="10">
        <f t="shared" si="1"/>
        <v>136.29224106612375</v>
      </c>
      <c r="K6" s="11">
        <f>IF(MAX(J$1:J6)=J6,0,1-J6/MAX(J$1:J6))</f>
        <v>0</v>
      </c>
      <c r="N6" s="20"/>
    </row>
    <row r="7" spans="1:17" x14ac:dyDescent="0.25">
      <c r="A7" t="s">
        <v>11</v>
      </c>
      <c r="B7" s="1">
        <v>45008.666666666657</v>
      </c>
      <c r="C7" s="1">
        <v>45014.25</v>
      </c>
      <c r="D7">
        <v>28464.959999999999</v>
      </c>
      <c r="E7">
        <v>28052.3</v>
      </c>
      <c r="F7" s="2">
        <v>5.583333333333333</v>
      </c>
      <c r="G7">
        <v>482400</v>
      </c>
      <c r="H7">
        <v>1.471038E-2</v>
      </c>
      <c r="I7" s="9">
        <f t="shared" si="0"/>
        <v>2.0049106571342854</v>
      </c>
      <c r="J7" s="10">
        <f t="shared" si="1"/>
        <v>138.29715172325803</v>
      </c>
      <c r="K7" s="11">
        <f>IF(MAX(J$1:J7)=J7,0,1-J7/MAX(J$1:J7))</f>
        <v>0</v>
      </c>
      <c r="L7" s="6" t="s">
        <v>22</v>
      </c>
      <c r="M7" s="15">
        <f>M3/M4</f>
        <v>5.7769594993379689</v>
      </c>
      <c r="N7" s="21" t="s">
        <v>39</v>
      </c>
    </row>
    <row r="8" spans="1:17" x14ac:dyDescent="0.25">
      <c r="A8" t="s">
        <v>10</v>
      </c>
      <c r="B8" s="1">
        <v>45016.333333333343</v>
      </c>
      <c r="C8" s="1">
        <v>45033.458333333343</v>
      </c>
      <c r="D8">
        <v>27797.32</v>
      </c>
      <c r="E8">
        <v>29570.81</v>
      </c>
      <c r="F8" s="2">
        <v>17.125</v>
      </c>
      <c r="G8">
        <v>1479600</v>
      </c>
      <c r="H8">
        <v>6.3800750000000003E-2</v>
      </c>
      <c r="I8" s="9">
        <f t="shared" si="0"/>
        <v>8.8234620028076556</v>
      </c>
      <c r="J8" s="10">
        <f t="shared" si="1"/>
        <v>147.12061372606567</v>
      </c>
      <c r="K8" s="11">
        <f>IF(MAX(J$1:J8)=J8,0,1-J8/MAX(J$1:J8))</f>
        <v>0</v>
      </c>
      <c r="L8" s="6" t="s">
        <v>23</v>
      </c>
      <c r="M8" s="15">
        <f>N3/N4</f>
        <v>-7.5246491153280806</v>
      </c>
      <c r="N8" s="21" t="s">
        <v>40</v>
      </c>
    </row>
    <row r="9" spans="1:17" x14ac:dyDescent="0.25">
      <c r="A9" t="s">
        <v>11</v>
      </c>
      <c r="B9" s="1">
        <v>45041.916666666657</v>
      </c>
      <c r="C9" s="1">
        <v>45042.5</v>
      </c>
      <c r="D9">
        <v>28233.25</v>
      </c>
      <c r="E9">
        <v>29965.45</v>
      </c>
      <c r="F9" s="2">
        <v>0.58333333333333337</v>
      </c>
      <c r="G9">
        <v>50400</v>
      </c>
      <c r="H9">
        <v>-5.7806570000000002E-2</v>
      </c>
      <c r="I9" s="9">
        <f t="shared" si="0"/>
        <v>-8.5045380557987755</v>
      </c>
      <c r="J9" s="10">
        <f t="shared" si="1"/>
        <v>138.61607567026689</v>
      </c>
      <c r="K9" s="11">
        <f>IF(MAX(J$1:J9)=J9,0,1-J9/MAX(J$1:J9))</f>
        <v>5.7806570000000002E-2</v>
      </c>
      <c r="L9" s="6" t="s">
        <v>1</v>
      </c>
      <c r="M9" s="15">
        <f>M4/N4</f>
        <v>7</v>
      </c>
      <c r="N9" s="21" t="s">
        <v>44</v>
      </c>
    </row>
    <row r="10" spans="1:17" x14ac:dyDescent="0.25">
      <c r="A10" t="s">
        <v>10</v>
      </c>
      <c r="B10" s="1">
        <v>45042.833333333343</v>
      </c>
      <c r="C10" s="1">
        <v>45047.041666666657</v>
      </c>
      <c r="D10">
        <v>28413.39</v>
      </c>
      <c r="E10">
        <v>28504.36</v>
      </c>
      <c r="F10" s="2">
        <v>4.208333333333333</v>
      </c>
      <c r="G10">
        <v>363600</v>
      </c>
      <c r="H10">
        <v>3.2016599999999998E-3</v>
      </c>
      <c r="I10" s="9">
        <f t="shared" si="0"/>
        <v>0.44380154483046669</v>
      </c>
      <c r="J10" s="10">
        <f t="shared" si="1"/>
        <v>139.05987721509737</v>
      </c>
      <c r="K10" s="11">
        <f>IF(MAX(J$1:J10)=J10,0,1-J10/MAX(J$1:J10))</f>
        <v>5.4789986982906158E-2</v>
      </c>
      <c r="L10" s="6" t="s">
        <v>24</v>
      </c>
      <c r="M10" s="15">
        <f>M5/N5*-1</f>
        <v>0.76773805805376605</v>
      </c>
      <c r="N10" s="21" t="s">
        <v>42</v>
      </c>
    </row>
    <row r="11" spans="1:17" x14ac:dyDescent="0.25">
      <c r="A11" t="s">
        <v>11</v>
      </c>
      <c r="B11" s="1">
        <v>45049.958333333343</v>
      </c>
      <c r="C11" s="1">
        <v>45061.208333333343</v>
      </c>
      <c r="D11">
        <v>29026.16</v>
      </c>
      <c r="E11">
        <v>27335.52</v>
      </c>
      <c r="F11" s="2">
        <v>11.25</v>
      </c>
      <c r="G11">
        <v>972000</v>
      </c>
      <c r="H11">
        <v>6.1847739999999998E-2</v>
      </c>
      <c r="I11" s="9">
        <f t="shared" si="0"/>
        <v>8.6005391304312653</v>
      </c>
      <c r="J11" s="10">
        <f t="shared" si="1"/>
        <v>147.66041634552863</v>
      </c>
      <c r="K11" s="11">
        <f>IF(MAX(J$1:J11)=J11,0,1-J11/MAX(J$1:J11))</f>
        <v>0</v>
      </c>
      <c r="L11" s="6" t="s">
        <v>25</v>
      </c>
      <c r="M11" s="15">
        <f>M4/(M4+N4)</f>
        <v>0.875</v>
      </c>
      <c r="N11" s="25" t="s">
        <v>43</v>
      </c>
    </row>
    <row r="12" spans="1:17" x14ac:dyDescent="0.25">
      <c r="A12" t="s">
        <v>10</v>
      </c>
      <c r="B12" s="1">
        <v>45070.625</v>
      </c>
      <c r="C12" s="1">
        <v>45077.416666666657</v>
      </c>
      <c r="D12">
        <v>26314.69</v>
      </c>
      <c r="E12">
        <v>27056.53</v>
      </c>
      <c r="F12" s="2">
        <v>6.791666666666667</v>
      </c>
      <c r="G12">
        <v>586800</v>
      </c>
      <c r="H12">
        <v>2.81911E-2</v>
      </c>
      <c r="I12" s="9">
        <f t="shared" si="0"/>
        <v>4.1627095632384323</v>
      </c>
      <c r="J12" s="10">
        <f t="shared" si="1"/>
        <v>151.82312590876705</v>
      </c>
      <c r="K12" s="11">
        <f>IF(MAX(J$1:J12)=J12,0,1-J12/MAX(J$1:J12))</f>
        <v>0</v>
      </c>
      <c r="L12" s="6" t="s">
        <v>26</v>
      </c>
      <c r="M12" s="15">
        <f>N4/(M4+N4)</f>
        <v>0.125</v>
      </c>
      <c r="N12" s="25" t="s">
        <v>45</v>
      </c>
    </row>
    <row r="13" spans="1:17" x14ac:dyDescent="0.25">
      <c r="A13" t="s">
        <v>11</v>
      </c>
      <c r="B13" s="1">
        <v>45083.833333333343</v>
      </c>
      <c r="C13" s="1">
        <v>45093.666666666657</v>
      </c>
      <c r="D13">
        <v>26944.98</v>
      </c>
      <c r="E13">
        <v>25959.77</v>
      </c>
      <c r="F13" s="2">
        <v>9.8333333333333339</v>
      </c>
      <c r="G13">
        <v>849600</v>
      </c>
      <c r="H13">
        <v>3.7951409999999998E-2</v>
      </c>
      <c r="I13" s="9">
        <f t="shared" si="0"/>
        <v>5.7619016988452412</v>
      </c>
      <c r="J13" s="10">
        <f t="shared" si="1"/>
        <v>157.58502760761229</v>
      </c>
      <c r="K13" s="11">
        <f>IF(MAX(J$1:J13)=J13,0,1-J13/MAX(J$1:J13))</f>
        <v>0</v>
      </c>
      <c r="L13" s="6" t="s">
        <v>33</v>
      </c>
      <c r="M13" s="3">
        <f>(M7*M11)+(M8*M12)</f>
        <v>4.1142584225047125</v>
      </c>
      <c r="N13" s="21" t="s">
        <v>32</v>
      </c>
    </row>
    <row r="14" spans="1:17" x14ac:dyDescent="0.25">
      <c r="A14" t="s">
        <v>10</v>
      </c>
      <c r="B14" s="1">
        <v>45114</v>
      </c>
      <c r="C14" s="1">
        <v>45121.75</v>
      </c>
      <c r="D14">
        <v>30052.6</v>
      </c>
      <c r="E14">
        <v>30091.83</v>
      </c>
      <c r="F14" s="2">
        <v>7.75</v>
      </c>
      <c r="G14">
        <v>669600</v>
      </c>
      <c r="H14">
        <v>1.3053800000000001E-3</v>
      </c>
      <c r="I14" s="9">
        <f t="shared" si="0"/>
        <v>0.20570834333842494</v>
      </c>
      <c r="J14" s="10">
        <f t="shared" si="1"/>
        <v>157.7907359509507</v>
      </c>
      <c r="K14" s="11">
        <f>IF(MAX(J$1:J14)=J14,0,1-J14/MAX(J$1:J14))</f>
        <v>0</v>
      </c>
      <c r="L14" s="6" t="s">
        <v>34</v>
      </c>
      <c r="M14" s="16">
        <f>1+M9*M10</f>
        <v>6.3741664063763626</v>
      </c>
      <c r="N14" s="21" t="s">
        <v>41</v>
      </c>
    </row>
    <row r="15" spans="1:17" x14ac:dyDescent="0.25">
      <c r="A15" t="s">
        <v>11</v>
      </c>
      <c r="B15" s="1">
        <v>45167.625</v>
      </c>
      <c r="C15" s="1">
        <v>45181.416666666657</v>
      </c>
      <c r="D15">
        <v>27423.439999999999</v>
      </c>
      <c r="E15">
        <v>26159.98</v>
      </c>
      <c r="F15" s="2">
        <v>13.79166666666667</v>
      </c>
      <c r="G15">
        <v>1191600</v>
      </c>
      <c r="H15">
        <v>4.8297439999999997E-2</v>
      </c>
      <c r="I15" s="9">
        <f t="shared" si="0"/>
        <v>7.6208886021468842</v>
      </c>
      <c r="J15" s="10">
        <f t="shared" si="1"/>
        <v>165.4116245530976</v>
      </c>
      <c r="K15" s="11">
        <f>IF(MAX(J$1:J15)=J15,0,1-J15/MAX(J$1:J15))</f>
        <v>0</v>
      </c>
      <c r="L15" s="17" t="s">
        <v>27</v>
      </c>
      <c r="M15" s="18">
        <f>MAX(K:K)</f>
        <v>5.7806570000000002E-2</v>
      </c>
      <c r="N15" s="21" t="s">
        <v>31</v>
      </c>
    </row>
    <row r="16" spans="1:17" x14ac:dyDescent="0.25">
      <c r="A16" t="s">
        <v>10</v>
      </c>
      <c r="B16" s="1">
        <v>45194</v>
      </c>
      <c r="C16" s="1">
        <v>45202.583333333343</v>
      </c>
      <c r="D16">
        <v>26248.17</v>
      </c>
      <c r="E16">
        <v>27350.59</v>
      </c>
      <c r="F16" s="2">
        <v>8.5833333333333339</v>
      </c>
      <c r="G16">
        <v>741600</v>
      </c>
      <c r="H16">
        <v>4.1999880000000003E-2</v>
      </c>
      <c r="I16" s="9">
        <f t="shared" si="0"/>
        <v>6.9472683818351531</v>
      </c>
      <c r="J16" s="10">
        <f t="shared" si="1"/>
        <v>172.35889293493275</v>
      </c>
      <c r="K16" s="11">
        <f>IF(MAX(J$1:J16)=J16,0,1-J16/MAX(J$1:J16))</f>
        <v>0</v>
      </c>
      <c r="L16" s="19" t="s">
        <v>29</v>
      </c>
      <c r="M16" s="10">
        <f>M17/M15</f>
        <v>11.387656240471523</v>
      </c>
      <c r="N16" s="21" t="s">
        <v>28</v>
      </c>
    </row>
    <row r="17" spans="1:14" x14ac:dyDescent="0.25">
      <c r="A17" t="s">
        <v>11</v>
      </c>
      <c r="B17" s="1">
        <v>45215.25</v>
      </c>
      <c r="C17" s="1">
        <v>45219.083333333343</v>
      </c>
      <c r="D17">
        <v>27879.58</v>
      </c>
      <c r="E17">
        <v>28980</v>
      </c>
      <c r="F17" s="2">
        <v>3.833333333333333</v>
      </c>
      <c r="G17">
        <v>331200</v>
      </c>
      <c r="H17">
        <v>-3.7971699999999997E-2</v>
      </c>
      <c r="I17" s="9">
        <f t="shared" si="0"/>
        <v>-6.5447601748573856</v>
      </c>
      <c r="J17" s="10">
        <f t="shared" si="1"/>
        <v>165.81413276007538</v>
      </c>
      <c r="K17" s="11">
        <f>IF(MAX(J$1:J17)=J17,0,1-J17/MAX(J$1:J17))</f>
        <v>3.7971699999999942E-2</v>
      </c>
      <c r="L17" s="22" t="s">
        <v>0</v>
      </c>
      <c r="M17" s="28">
        <f>M2/P2</f>
        <v>0.65828134760075396</v>
      </c>
      <c r="N17" s="21" t="s">
        <v>30</v>
      </c>
    </row>
  </sheetData>
  <autoFilter ref="A1:H1"/>
  <mergeCells count="1">
    <mergeCell ref="M2:N2"/>
  </mergeCells>
  <conditionalFormatting sqref="I1:I17">
    <cfRule type="cellIs" dxfId="16" priority="15" operator="lessThan">
      <formula>0</formula>
    </cfRule>
    <cfRule type="cellIs" dxfId="15" priority="16" operator="greaterThan">
      <formula>0</formula>
    </cfRule>
    <cfRule type="expression" dxfId="14" priority="17">
      <formula>"&gt;0"</formula>
    </cfRule>
  </conditionalFormatting>
  <conditionalFormatting sqref="M15">
    <cfRule type="cellIs" dxfId="13" priority="3" operator="greaterThan">
      <formula>0.25</formula>
    </cfRule>
    <cfRule type="cellIs" dxfId="12" priority="4" operator="lessThan">
      <formula>0.25</formula>
    </cfRule>
  </conditionalFormatting>
  <conditionalFormatting sqref="M2">
    <cfRule type="cellIs" dxfId="11" priority="12" operator="lessThan">
      <formula>0</formula>
    </cfRule>
    <cfRule type="cellIs" dxfId="10" priority="13" operator="greaterThan">
      <formula>0</formula>
    </cfRule>
    <cfRule type="expression" dxfId="9" priority="14">
      <formula>"&gt;0"</formula>
    </cfRule>
  </conditionalFormatting>
  <conditionalFormatting sqref="M13">
    <cfRule type="cellIs" dxfId="8" priority="9" operator="lessThan">
      <formula>0</formula>
    </cfRule>
    <cfRule type="cellIs" dxfId="7" priority="10" operator="greaterThan">
      <formula>0</formula>
    </cfRule>
    <cfRule type="expression" dxfId="6" priority="11">
      <formula>"&gt;0"</formula>
    </cfRule>
  </conditionalFormatting>
  <conditionalFormatting sqref="M10">
    <cfRule type="cellIs" dxfId="5" priority="7" operator="lessThan">
      <formula>2</formula>
    </cfRule>
    <cfRule type="cellIs" dxfId="4" priority="8" operator="greaterThan">
      <formula>2</formula>
    </cfRule>
  </conditionalFormatting>
  <conditionalFormatting sqref="M14">
    <cfRule type="cellIs" dxfId="3" priority="5" operator="lessThan">
      <formula>3</formula>
    </cfRule>
    <cfRule type="cellIs" dxfId="2" priority="6" operator="greaterThan">
      <formula>3</formula>
    </cfRule>
  </conditionalFormatting>
  <conditionalFormatting sqref="M16">
    <cfRule type="cellIs" dxfId="1" priority="1" operator="lessThan">
      <formula>0.15</formula>
    </cfRule>
    <cfRule type="cellIs" dxfId="0" priority="2" operator="greaterThan">
      <formula>0.15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Grigorii L. Tishchenko</cp:lastModifiedBy>
  <dcterms:created xsi:type="dcterms:W3CDTF">2023-10-26T08:19:25Z</dcterms:created>
  <dcterms:modified xsi:type="dcterms:W3CDTF">2023-10-26T10:23:10Z</dcterms:modified>
</cp:coreProperties>
</file>